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40" windowWidth="8295" windowHeight="6345"/>
  </bookViews>
  <sheets>
    <sheet name="GASB 68" sheetId="1" r:id="rId1"/>
    <sheet name="Actuarial Valuation" sheetId="2" r:id="rId2"/>
    <sheet name="CAFR" sheetId="3" r:id="rId3"/>
    <sheet name="Allocations" sheetId="9" r:id="rId4"/>
    <sheet name="Comments" sheetId="4" r:id="rId5"/>
    <sheet name="Variable IDs" sheetId="7" r:id="rId6"/>
    <sheet name="Database Input" sheetId="8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uri="GoogleSheetsCustomDataVersion1">
      <go:sheetsCustomData xmlns:go="http://customooxmlschemas.google.com/" r:id="" roundtripDataSignature="AMtx7mgwTdBcaZ4CxbmZconJkJ2Jyg/iMg=="/>
    </ext>
  </extLst>
</workbook>
</file>

<file path=xl/calcChain.xml><?xml version="1.0" encoding="utf-8"?>
<calcChain xmlns="http://schemas.openxmlformats.org/spreadsheetml/2006/main">
  <c r="E4849" i="8" l="1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C3090" i="8"/>
  <c r="C3178" i="8" s="1"/>
  <c r="B3090" i="8"/>
  <c r="B3178" i="8" s="1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C3003" i="8"/>
  <c r="C3091" i="8" s="1"/>
  <c r="B3003" i="8"/>
  <c r="B3091" i="8" s="1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B2489" i="8"/>
  <c r="B2516" i="8" s="1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C2462" i="8"/>
  <c r="C2489" i="8" s="1"/>
  <c r="B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C2436" i="8"/>
  <c r="C2463" i="8" s="1"/>
  <c r="B2436" i="8"/>
  <c r="B2463" i="8" s="1"/>
  <c r="B2490" i="8" s="1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B2345" i="8"/>
  <c r="B2346" i="8" s="1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C615" i="8"/>
  <c r="C706" i="8" s="1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C526" i="8"/>
  <c r="C617" i="8" s="1"/>
  <c r="E525" i="8"/>
  <c r="C525" i="8"/>
  <c r="C616" i="8" s="1"/>
  <c r="B525" i="8"/>
  <c r="B526" i="8" s="1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C134" i="8"/>
  <c r="C199" i="8" s="1"/>
  <c r="B134" i="8"/>
  <c r="B199" i="8" s="1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C71" i="8"/>
  <c r="C136" i="8" s="1"/>
  <c r="E70" i="8"/>
  <c r="C70" i="8"/>
  <c r="C135" i="8" s="1"/>
  <c r="B70" i="8"/>
  <c r="B135" i="8" s="1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C5" i="8"/>
  <c r="C6" i="8" s="1"/>
  <c r="B5" i="8"/>
  <c r="B6" i="8" s="1"/>
  <c r="E4" i="8"/>
  <c r="CL23" i="9"/>
  <c r="CI23" i="9"/>
  <c r="CG23" i="9"/>
  <c r="BZ23" i="9"/>
  <c r="BJ23" i="9"/>
  <c r="BE23" i="9"/>
  <c r="BC23" i="9"/>
  <c r="AV23" i="9"/>
  <c r="V23" i="9"/>
  <c r="CM23" i="9" s="1"/>
  <c r="CL22" i="9"/>
  <c r="CI22" i="9"/>
  <c r="CG22" i="9"/>
  <c r="BZ22" i="9"/>
  <c r="BJ22" i="9"/>
  <c r="BE22" i="9"/>
  <c r="BC22" i="9"/>
  <c r="AV22" i="9"/>
  <c r="V22" i="9"/>
  <c r="CM22" i="9" s="1"/>
  <c r="CL21" i="9"/>
  <c r="CI21" i="9"/>
  <c r="CG21" i="9"/>
  <c r="BZ21" i="9"/>
  <c r="BJ21" i="9"/>
  <c r="BE21" i="9"/>
  <c r="BC21" i="9"/>
  <c r="AV21" i="9"/>
  <c r="V21" i="9"/>
  <c r="CM21" i="9" s="1"/>
  <c r="CL20" i="9"/>
  <c r="CI20" i="9"/>
  <c r="CG20" i="9"/>
  <c r="BZ20" i="9"/>
  <c r="BJ20" i="9"/>
  <c r="BE20" i="9"/>
  <c r="BC20" i="9"/>
  <c r="AV20" i="9"/>
  <c r="V20" i="9"/>
  <c r="CM20" i="9" s="1"/>
  <c r="CL19" i="9"/>
  <c r="CI19" i="9"/>
  <c r="CG19" i="9"/>
  <c r="BZ19" i="9"/>
  <c r="BJ19" i="9"/>
  <c r="BE19" i="9"/>
  <c r="BC19" i="9"/>
  <c r="AV19" i="9"/>
  <c r="V19" i="9"/>
  <c r="CM19" i="9" s="1"/>
  <c r="CL18" i="9"/>
  <c r="CI18" i="9"/>
  <c r="CG18" i="9"/>
  <c r="BZ18" i="9"/>
  <c r="BJ18" i="9"/>
  <c r="BE18" i="9"/>
  <c r="BC18" i="9"/>
  <c r="AV18" i="9"/>
  <c r="V18" i="9"/>
  <c r="CM18" i="9" s="1"/>
  <c r="CL17" i="9"/>
  <c r="CI17" i="9"/>
  <c r="CG17" i="9"/>
  <c r="BZ17" i="9"/>
  <c r="BJ17" i="9"/>
  <c r="BE17" i="9"/>
  <c r="BC17" i="9"/>
  <c r="AV17" i="9"/>
  <c r="V17" i="9"/>
  <c r="CM17" i="9" s="1"/>
  <c r="CL16" i="9"/>
  <c r="CI16" i="9"/>
  <c r="CG16" i="9"/>
  <c r="BZ16" i="9"/>
  <c r="BJ16" i="9"/>
  <c r="BE16" i="9"/>
  <c r="BC16" i="9"/>
  <c r="AV16" i="9"/>
  <c r="V16" i="9"/>
  <c r="CM16" i="9" s="1"/>
  <c r="CL15" i="9"/>
  <c r="CI15" i="9"/>
  <c r="CG15" i="9"/>
  <c r="BZ15" i="9"/>
  <c r="BJ15" i="9"/>
  <c r="BE15" i="9"/>
  <c r="BC15" i="9"/>
  <c r="AV15" i="9"/>
  <c r="V15" i="9"/>
  <c r="CM15" i="9" s="1"/>
  <c r="CL14" i="9"/>
  <c r="CI14" i="9"/>
  <c r="CG14" i="9"/>
  <c r="BZ14" i="9"/>
  <c r="BJ14" i="9"/>
  <c r="BE14" i="9"/>
  <c r="BC14" i="9"/>
  <c r="AV14" i="9"/>
  <c r="V14" i="9"/>
  <c r="CM14" i="9" s="1"/>
  <c r="CL13" i="9"/>
  <c r="CI13" i="9"/>
  <c r="CG13" i="9"/>
  <c r="BZ13" i="9"/>
  <c r="BJ13" i="9"/>
  <c r="BE13" i="9"/>
  <c r="BC13" i="9"/>
  <c r="AV13" i="9"/>
  <c r="V13" i="9"/>
  <c r="CM13" i="9" s="1"/>
  <c r="CL12" i="9"/>
  <c r="CI12" i="9"/>
  <c r="CG12" i="9"/>
  <c r="BZ12" i="9"/>
  <c r="BJ12" i="9"/>
  <c r="BE12" i="9"/>
  <c r="BC12" i="9"/>
  <c r="AV12" i="9"/>
  <c r="V12" i="9"/>
  <c r="CM12" i="9" s="1"/>
  <c r="CL11" i="9"/>
  <c r="CI11" i="9"/>
  <c r="CG11" i="9"/>
  <c r="BZ11" i="9"/>
  <c r="BJ11" i="9"/>
  <c r="BE11" i="9"/>
  <c r="BC11" i="9"/>
  <c r="AV11" i="9"/>
  <c r="V11" i="9"/>
  <c r="CM11" i="9" s="1"/>
  <c r="CL10" i="9"/>
  <c r="CI10" i="9"/>
  <c r="CG10" i="9"/>
  <c r="BZ10" i="9"/>
  <c r="BJ10" i="9"/>
  <c r="BE10" i="9"/>
  <c r="BC10" i="9"/>
  <c r="AV10" i="9"/>
  <c r="V10" i="9"/>
  <c r="CM10" i="9" s="1"/>
  <c r="CL9" i="9"/>
  <c r="CI9" i="9"/>
  <c r="CG9" i="9"/>
  <c r="BZ9" i="9"/>
  <c r="BJ9" i="9"/>
  <c r="BE9" i="9"/>
  <c r="BC9" i="9"/>
  <c r="AV9" i="9"/>
  <c r="V9" i="9"/>
  <c r="CM9" i="9" s="1"/>
  <c r="CL8" i="9"/>
  <c r="CI8" i="9"/>
  <c r="CG8" i="9"/>
  <c r="BZ8" i="9"/>
  <c r="BJ8" i="9"/>
  <c r="BE8" i="9"/>
  <c r="BC8" i="9"/>
  <c r="AV8" i="9"/>
  <c r="V8" i="9"/>
  <c r="CM8" i="9" s="1"/>
  <c r="CL7" i="9"/>
  <c r="CI7" i="9"/>
  <c r="CG7" i="9"/>
  <c r="BZ7" i="9"/>
  <c r="BJ7" i="9"/>
  <c r="BE7" i="9"/>
  <c r="BC7" i="9"/>
  <c r="AV7" i="9"/>
  <c r="V7" i="9"/>
  <c r="CM7" i="9" s="1"/>
  <c r="CL6" i="9"/>
  <c r="CI6" i="9"/>
  <c r="CG6" i="9"/>
  <c r="BZ6" i="9"/>
  <c r="BJ6" i="9"/>
  <c r="BE6" i="9"/>
  <c r="BC6" i="9"/>
  <c r="AV6" i="9"/>
  <c r="V6" i="9"/>
  <c r="CM6" i="9" s="1"/>
  <c r="CL5" i="9"/>
  <c r="CI5" i="9"/>
  <c r="CG5" i="9"/>
  <c r="BZ5" i="9"/>
  <c r="BJ5" i="9"/>
  <c r="BE5" i="9"/>
  <c r="BC5" i="9"/>
  <c r="AV5" i="9"/>
  <c r="V5" i="9"/>
  <c r="CM5" i="9" s="1"/>
  <c r="CL4" i="9"/>
  <c r="CI4" i="9"/>
  <c r="CG4" i="9"/>
  <c r="BZ4" i="9"/>
  <c r="BJ4" i="9"/>
  <c r="BE4" i="9"/>
  <c r="BC4" i="9"/>
  <c r="AV4" i="9"/>
  <c r="V4" i="9"/>
  <c r="CM4" i="9" s="1"/>
  <c r="CL3" i="9"/>
  <c r="CI3" i="9"/>
  <c r="CG3" i="9"/>
  <c r="BZ3" i="9"/>
  <c r="BJ3" i="9"/>
  <c r="BE3" i="9"/>
  <c r="BC3" i="9"/>
  <c r="AV3" i="9"/>
  <c r="V3" i="9"/>
  <c r="CM3" i="9" s="1"/>
  <c r="G3090" i="8"/>
  <c r="G3002" i="8"/>
  <c r="F3002" i="8"/>
  <c r="F4" i="8"/>
  <c r="F2436" i="8"/>
  <c r="G2435" i="8"/>
  <c r="F2435" i="8"/>
  <c r="F2462" i="8"/>
  <c r="G69" i="8"/>
  <c r="G524" i="8"/>
  <c r="G134" i="8"/>
  <c r="F2344" i="8"/>
  <c r="F69" i="8"/>
  <c r="G4" i="8"/>
  <c r="G525" i="8"/>
  <c r="G70" i="8"/>
  <c r="F524" i="8"/>
  <c r="C201" i="8" l="1"/>
  <c r="B264" i="8"/>
  <c r="C708" i="8"/>
  <c r="B200" i="8"/>
  <c r="C264" i="8"/>
  <c r="B527" i="8"/>
  <c r="B7" i="8"/>
  <c r="C200" i="8"/>
  <c r="C707" i="8"/>
  <c r="C7" i="8"/>
  <c r="C527" i="8"/>
  <c r="B71" i="8"/>
  <c r="C72" i="8"/>
  <c r="C797" i="8"/>
  <c r="B2347" i="8"/>
  <c r="B2517" i="8"/>
  <c r="C2516" i="8"/>
  <c r="C2490" i="8"/>
  <c r="B2437" i="8"/>
  <c r="B2543" i="8"/>
  <c r="C2437" i="8"/>
  <c r="B3179" i="8"/>
  <c r="C3179" i="8"/>
  <c r="B3266" i="8"/>
  <c r="C3266" i="8"/>
  <c r="B3004" i="8"/>
  <c r="C3004" i="8"/>
  <c r="U23" i="3"/>
  <c r="L23" i="3"/>
  <c r="K23" i="3"/>
  <c r="J23" i="3"/>
  <c r="I23" i="3"/>
  <c r="R23" i="3" s="1"/>
  <c r="X22" i="3"/>
  <c r="U22" i="3"/>
  <c r="J22" i="3"/>
  <c r="K22" i="3" s="1"/>
  <c r="I22" i="3"/>
  <c r="R22" i="3" s="1"/>
  <c r="X21" i="3"/>
  <c r="U21" i="3"/>
  <c r="J21" i="3"/>
  <c r="L21" i="3" s="1"/>
  <c r="I21" i="3"/>
  <c r="R21" i="3" s="1"/>
  <c r="X20" i="3"/>
  <c r="U20" i="3"/>
  <c r="L20" i="3"/>
  <c r="J20" i="3"/>
  <c r="I20" i="3"/>
  <c r="K20" i="3" s="1"/>
  <c r="X19" i="3"/>
  <c r="U19" i="3"/>
  <c r="L19" i="3"/>
  <c r="K19" i="3"/>
  <c r="J19" i="3"/>
  <c r="I19" i="3"/>
  <c r="R19" i="3" s="1"/>
  <c r="X18" i="3"/>
  <c r="U18" i="3"/>
  <c r="J18" i="3"/>
  <c r="L18" i="3" s="1"/>
  <c r="I18" i="3"/>
  <c r="R18" i="3" s="1"/>
  <c r="X17" i="3"/>
  <c r="U17" i="3"/>
  <c r="J17" i="3"/>
  <c r="L17" i="3" s="1"/>
  <c r="I17" i="3"/>
  <c r="K17" i="3" s="1"/>
  <c r="X16" i="3"/>
  <c r="U16" i="3"/>
  <c r="L16" i="3"/>
  <c r="J16" i="3"/>
  <c r="I16" i="3"/>
  <c r="K16" i="3" s="1"/>
  <c r="AB15" i="3"/>
  <c r="X15" i="3"/>
  <c r="U15" i="3"/>
  <c r="S15" i="3"/>
  <c r="H15" i="3"/>
  <c r="F15" i="3"/>
  <c r="E15" i="3"/>
  <c r="AB14" i="3"/>
  <c r="X14" i="3"/>
  <c r="U14" i="3"/>
  <c r="S14" i="3"/>
  <c r="H14" i="3"/>
  <c r="F14" i="3"/>
  <c r="E14" i="3"/>
  <c r="AB13" i="3"/>
  <c r="X13" i="3"/>
  <c r="U13" i="3"/>
  <c r="S13" i="3"/>
  <c r="E13" i="3"/>
  <c r="H13" i="3" s="1"/>
  <c r="AB12" i="3"/>
  <c r="X12" i="3"/>
  <c r="U12" i="3"/>
  <c r="S12" i="3"/>
  <c r="E12" i="3"/>
  <c r="H12" i="3" s="1"/>
  <c r="AB11" i="3"/>
  <c r="X11" i="3"/>
  <c r="U11" i="3"/>
  <c r="S11" i="3"/>
  <c r="H11" i="3"/>
  <c r="F11" i="3"/>
  <c r="E11" i="3"/>
  <c r="AB10" i="3"/>
  <c r="X10" i="3"/>
  <c r="U10" i="3"/>
  <c r="S10" i="3"/>
  <c r="H10" i="3"/>
  <c r="F10" i="3"/>
  <c r="E10" i="3"/>
  <c r="AB9" i="3"/>
  <c r="X9" i="3"/>
  <c r="U9" i="3"/>
  <c r="S9" i="3"/>
  <c r="E9" i="3"/>
  <c r="H9" i="3" s="1"/>
  <c r="AB8" i="3"/>
  <c r="X8" i="3"/>
  <c r="U8" i="3"/>
  <c r="S8" i="3"/>
  <c r="E8" i="3"/>
  <c r="H8" i="3" s="1"/>
  <c r="X7" i="3"/>
  <c r="U7" i="3"/>
  <c r="S7" i="3"/>
  <c r="H7" i="3"/>
  <c r="F7" i="3"/>
  <c r="E7" i="3"/>
  <c r="X6" i="3"/>
  <c r="U6" i="3"/>
  <c r="S6" i="3"/>
  <c r="E6" i="3"/>
  <c r="H6" i="3" s="1"/>
  <c r="U5" i="3"/>
  <c r="S5" i="3"/>
  <c r="E5" i="3"/>
  <c r="F5" i="3" s="1"/>
  <c r="U4" i="3"/>
  <c r="S4" i="3"/>
  <c r="H4" i="3"/>
  <c r="F4" i="3"/>
  <c r="E4" i="3"/>
  <c r="U3" i="3"/>
  <c r="S3" i="3"/>
  <c r="H3" i="3"/>
  <c r="F3" i="3"/>
  <c r="E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CO24" i="2"/>
  <c r="CM24" i="2"/>
  <c r="CL24" i="2"/>
  <c r="CI24" i="2"/>
  <c r="CH24" i="2"/>
  <c r="CG24" i="2"/>
  <c r="CF24" i="2"/>
  <c r="CC24" i="2"/>
  <c r="CA24" i="2"/>
  <c r="BY24" i="2"/>
  <c r="BX24" i="2"/>
  <c r="BW24" i="2"/>
  <c r="BS24" i="2"/>
  <c r="BO24" i="2"/>
  <c r="BK24" i="2"/>
  <c r="BJ24" i="2"/>
  <c r="BI24" i="2"/>
  <c r="BG24" i="2"/>
  <c r="BF24" i="2"/>
  <c r="BE24" i="2"/>
  <c r="BC24" i="2"/>
  <c r="L24" i="2"/>
  <c r="H24" i="2"/>
  <c r="CO23" i="2"/>
  <c r="CM23" i="2"/>
  <c r="CI23" i="2"/>
  <c r="CH23" i="2"/>
  <c r="CG23" i="2"/>
  <c r="CF23" i="2"/>
  <c r="CC23" i="2"/>
  <c r="CA23" i="2"/>
  <c r="BY23" i="2"/>
  <c r="BX23" i="2"/>
  <c r="BW23" i="2"/>
  <c r="BS23" i="2"/>
  <c r="BO23" i="2"/>
  <c r="BK23" i="2"/>
  <c r="BJ23" i="2"/>
  <c r="BI23" i="2"/>
  <c r="BG23" i="2"/>
  <c r="BF23" i="2"/>
  <c r="BE23" i="2"/>
  <c r="BC23" i="2"/>
  <c r="L23" i="2"/>
  <c r="H23" i="2"/>
  <c r="CO22" i="2"/>
  <c r="CM22" i="2"/>
  <c r="CL22" i="2"/>
  <c r="CI22" i="2"/>
  <c r="CH22" i="2"/>
  <c r="CG22" i="2"/>
  <c r="CF22" i="2"/>
  <c r="CC22" i="2"/>
  <c r="CA22" i="2"/>
  <c r="BY22" i="2"/>
  <c r="BX22" i="2"/>
  <c r="BW22" i="2"/>
  <c r="BS22" i="2"/>
  <c r="BO22" i="2"/>
  <c r="BK22" i="2"/>
  <c r="BJ22" i="2"/>
  <c r="BI22" i="2"/>
  <c r="BG22" i="2"/>
  <c r="BF22" i="2"/>
  <c r="BE22" i="2"/>
  <c r="BC22" i="2"/>
  <c r="L22" i="2"/>
  <c r="H22" i="2"/>
  <c r="CO21" i="2"/>
  <c r="CM21" i="2"/>
  <c r="CL21" i="2"/>
  <c r="CI21" i="2"/>
  <c r="CH21" i="2"/>
  <c r="CG21" i="2"/>
  <c r="CF21" i="2"/>
  <c r="CC21" i="2"/>
  <c r="CA21" i="2"/>
  <c r="BY21" i="2"/>
  <c r="BX21" i="2"/>
  <c r="BW21" i="2"/>
  <c r="BS21" i="2"/>
  <c r="BO21" i="2"/>
  <c r="BK21" i="2"/>
  <c r="BJ21" i="2"/>
  <c r="BI21" i="2"/>
  <c r="BG21" i="2"/>
  <c r="BF21" i="2"/>
  <c r="BE21" i="2"/>
  <c r="BC21" i="2"/>
  <c r="L21" i="2"/>
  <c r="H21" i="2"/>
  <c r="CO20" i="2"/>
  <c r="CM20" i="2"/>
  <c r="CL20" i="2"/>
  <c r="CI20" i="2"/>
  <c r="CH20" i="2"/>
  <c r="CG20" i="2"/>
  <c r="CF20" i="2"/>
  <c r="CC20" i="2"/>
  <c r="CA20" i="2"/>
  <c r="BY20" i="2"/>
  <c r="BX20" i="2"/>
  <c r="BW20" i="2"/>
  <c r="BS20" i="2"/>
  <c r="BO20" i="2"/>
  <c r="BK20" i="2"/>
  <c r="BJ20" i="2"/>
  <c r="BI20" i="2"/>
  <c r="BG20" i="2"/>
  <c r="BF20" i="2"/>
  <c r="BE20" i="2"/>
  <c r="BC20" i="2"/>
  <c r="L20" i="2"/>
  <c r="H20" i="2"/>
  <c r="CO19" i="2"/>
  <c r="CM19" i="2"/>
  <c r="CL19" i="2"/>
  <c r="CI19" i="2"/>
  <c r="CH19" i="2"/>
  <c r="CG19" i="2"/>
  <c r="CF19" i="2"/>
  <c r="CC19" i="2"/>
  <c r="CA19" i="2"/>
  <c r="BY19" i="2"/>
  <c r="BX19" i="2"/>
  <c r="BW19" i="2"/>
  <c r="BS19" i="2"/>
  <c r="BO19" i="2"/>
  <c r="BK19" i="2"/>
  <c r="BJ19" i="2"/>
  <c r="BI19" i="2"/>
  <c r="BG19" i="2"/>
  <c r="BF19" i="2"/>
  <c r="BE19" i="2"/>
  <c r="BC19" i="2"/>
  <c r="L19" i="2"/>
  <c r="H19" i="2"/>
  <c r="CO18" i="2"/>
  <c r="CM18" i="2"/>
  <c r="CL18" i="2"/>
  <c r="CI18" i="2"/>
  <c r="CH18" i="2"/>
  <c r="CG18" i="2"/>
  <c r="CF18" i="2"/>
  <c r="CC18" i="2"/>
  <c r="CA18" i="2"/>
  <c r="BY18" i="2"/>
  <c r="BX18" i="2"/>
  <c r="BW18" i="2"/>
  <c r="BS18" i="2"/>
  <c r="BO18" i="2"/>
  <c r="BK18" i="2"/>
  <c r="BJ18" i="2"/>
  <c r="BI18" i="2"/>
  <c r="BG18" i="2"/>
  <c r="BF18" i="2"/>
  <c r="BE18" i="2"/>
  <c r="BC18" i="2"/>
  <c r="L18" i="2"/>
  <c r="H18" i="2"/>
  <c r="CO17" i="2"/>
  <c r="CM17" i="2"/>
  <c r="CL17" i="2"/>
  <c r="CI17" i="2"/>
  <c r="CH17" i="2"/>
  <c r="CG17" i="2"/>
  <c r="CF17" i="2"/>
  <c r="CC17" i="2"/>
  <c r="CA17" i="2"/>
  <c r="BY17" i="2"/>
  <c r="BX17" i="2"/>
  <c r="BW17" i="2"/>
  <c r="BS17" i="2"/>
  <c r="BO17" i="2"/>
  <c r="BK17" i="2"/>
  <c r="BJ17" i="2"/>
  <c r="BI17" i="2"/>
  <c r="BG17" i="2"/>
  <c r="BF17" i="2"/>
  <c r="BE17" i="2"/>
  <c r="BC17" i="2"/>
  <c r="L17" i="2"/>
  <c r="H17" i="2"/>
  <c r="CO16" i="2"/>
  <c r="CM16" i="2"/>
  <c r="CL16" i="2"/>
  <c r="CI16" i="2"/>
  <c r="CH16" i="2"/>
  <c r="CG16" i="2"/>
  <c r="CF16" i="2"/>
  <c r="CC16" i="2"/>
  <c r="CA16" i="2"/>
  <c r="BY16" i="2"/>
  <c r="BX16" i="2"/>
  <c r="BW16" i="2"/>
  <c r="BS16" i="2"/>
  <c r="BO16" i="2"/>
  <c r="BK16" i="2"/>
  <c r="BJ16" i="2"/>
  <c r="BI16" i="2"/>
  <c r="BG16" i="2"/>
  <c r="BF16" i="2"/>
  <c r="BE16" i="2"/>
  <c r="BC16" i="2"/>
  <c r="L16" i="2"/>
  <c r="H16" i="2"/>
  <c r="CO15" i="2"/>
  <c r="CM15" i="2"/>
  <c r="CL15" i="2"/>
  <c r="CI15" i="2"/>
  <c r="CH15" i="2"/>
  <c r="CG15" i="2"/>
  <c r="CF15" i="2"/>
  <c r="CC15" i="2"/>
  <c r="CA15" i="2"/>
  <c r="BY15" i="2"/>
  <c r="BX15" i="2"/>
  <c r="BW15" i="2"/>
  <c r="BS15" i="2"/>
  <c r="BO15" i="2"/>
  <c r="BK15" i="2"/>
  <c r="BJ15" i="2"/>
  <c r="BI15" i="2"/>
  <c r="BG15" i="2"/>
  <c r="BF15" i="2"/>
  <c r="BE15" i="2"/>
  <c r="BC15" i="2"/>
  <c r="L15" i="2"/>
  <c r="CO14" i="2"/>
  <c r="CM14" i="2"/>
  <c r="CI14" i="2"/>
  <c r="CH14" i="2"/>
  <c r="CG14" i="2"/>
  <c r="CF14" i="2"/>
  <c r="CC14" i="2"/>
  <c r="CA14" i="2"/>
  <c r="BY14" i="2"/>
  <c r="BX14" i="2"/>
  <c r="BW14" i="2"/>
  <c r="BS14" i="2"/>
  <c r="BO14" i="2"/>
  <c r="BK14" i="2"/>
  <c r="BJ14" i="2"/>
  <c r="BI14" i="2"/>
  <c r="BG14" i="2"/>
  <c r="BF14" i="2"/>
  <c r="BE14" i="2"/>
  <c r="BC14" i="2"/>
  <c r="L14" i="2"/>
  <c r="CM13" i="2"/>
  <c r="CL13" i="2"/>
  <c r="CG13" i="2"/>
  <c r="CF13" i="2"/>
  <c r="CC13" i="2"/>
  <c r="CA13" i="2"/>
  <c r="BY13" i="2"/>
  <c r="BX13" i="2"/>
  <c r="BW13" i="2"/>
  <c r="BS13" i="2"/>
  <c r="BO13" i="2"/>
  <c r="BK13" i="2"/>
  <c r="BJ13" i="2"/>
  <c r="BI13" i="2"/>
  <c r="BG13" i="2"/>
  <c r="BF13" i="2"/>
  <c r="BE13" i="2"/>
  <c r="BC13" i="2"/>
  <c r="L13" i="2"/>
  <c r="CL12" i="2"/>
  <c r="CG12" i="2"/>
  <c r="CF12" i="2"/>
  <c r="CC12" i="2"/>
  <c r="CA12" i="2"/>
  <c r="BY12" i="2"/>
  <c r="BX12" i="2"/>
  <c r="BW12" i="2"/>
  <c r="BS12" i="2"/>
  <c r="BO12" i="2"/>
  <c r="BK12" i="2"/>
  <c r="BJ12" i="2"/>
  <c r="BI12" i="2"/>
  <c r="BG12" i="2"/>
  <c r="BF12" i="2"/>
  <c r="BE12" i="2"/>
  <c r="BC12" i="2"/>
  <c r="L12" i="2"/>
  <c r="CG11" i="2"/>
  <c r="CF11" i="2"/>
  <c r="CC11" i="2"/>
  <c r="CA11" i="2"/>
  <c r="BY11" i="2"/>
  <c r="BX11" i="2"/>
  <c r="BW11" i="2"/>
  <c r="BS11" i="2"/>
  <c r="BO11" i="2"/>
  <c r="BK11" i="2"/>
  <c r="BJ11" i="2"/>
  <c r="BI11" i="2"/>
  <c r="BG11" i="2"/>
  <c r="BF11" i="2"/>
  <c r="BE11" i="2"/>
  <c r="BC11" i="2"/>
  <c r="L11" i="2"/>
  <c r="BI10" i="2"/>
  <c r="BG10" i="2"/>
  <c r="BF10" i="2"/>
  <c r="BE10" i="2"/>
  <c r="BC10" i="2"/>
  <c r="L10" i="2"/>
  <c r="BI9" i="2"/>
  <c r="BG9" i="2"/>
  <c r="BF9" i="2"/>
  <c r="BE9" i="2"/>
  <c r="BC9" i="2"/>
  <c r="L9" i="2"/>
  <c r="BI8" i="2"/>
  <c r="BG8" i="2"/>
  <c r="BF8" i="2"/>
  <c r="BE8" i="2"/>
  <c r="BC8" i="2"/>
  <c r="L8" i="2"/>
  <c r="BI7" i="2"/>
  <c r="BG7" i="2"/>
  <c r="BF7" i="2"/>
  <c r="BE7" i="2"/>
  <c r="BC7" i="2"/>
  <c r="L7" i="2"/>
  <c r="BI6" i="2"/>
  <c r="BG6" i="2"/>
  <c r="BF6" i="2"/>
  <c r="BE6" i="2"/>
  <c r="BC6" i="2"/>
  <c r="L6" i="2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I5" i="2"/>
  <c r="BG5" i="2"/>
  <c r="BF5" i="2"/>
  <c r="BE5" i="2"/>
  <c r="BC5" i="2"/>
  <c r="L5" i="2"/>
  <c r="B5" i="2"/>
  <c r="BI4" i="2"/>
  <c r="BG4" i="2"/>
  <c r="BF4" i="2"/>
  <c r="BE4" i="2"/>
  <c r="BC4" i="2"/>
  <c r="L4" i="2"/>
  <c r="B15" i="1"/>
  <c r="B16" i="1" s="1"/>
  <c r="B17" i="1" s="1"/>
  <c r="B14" i="1"/>
  <c r="BO10" i="1"/>
  <c r="BN10" i="1"/>
  <c r="BL10" i="1"/>
  <c r="BK10" i="1"/>
  <c r="BI10" i="1"/>
  <c r="BH10" i="1"/>
  <c r="BJ10" i="1" s="1"/>
  <c r="BG10" i="1"/>
  <c r="BF10" i="1"/>
  <c r="BE10" i="1"/>
  <c r="BD10" i="1"/>
  <c r="BC10" i="1"/>
  <c r="BA10" i="1"/>
  <c r="AZ10" i="1"/>
  <c r="AY10" i="1"/>
  <c r="AM10" i="1"/>
  <c r="AJ10" i="1"/>
  <c r="AF10" i="1"/>
  <c r="AE10" i="1"/>
  <c r="AB10" i="1"/>
  <c r="AD10" i="1" s="1"/>
  <c r="AA10" i="1"/>
  <c r="AC10" i="1" s="1"/>
  <c r="I10" i="1"/>
  <c r="J10" i="1" s="1"/>
  <c r="G10" i="1"/>
  <c r="F10" i="1"/>
  <c r="BO9" i="1"/>
  <c r="BN9" i="1"/>
  <c r="BL9" i="1"/>
  <c r="BK9" i="1"/>
  <c r="BI9" i="1"/>
  <c r="BJ9" i="1" s="1"/>
  <c r="BH9" i="1"/>
  <c r="BG9" i="1"/>
  <c r="BF9" i="1"/>
  <c r="BE9" i="1"/>
  <c r="BD9" i="1"/>
  <c r="BC9" i="1"/>
  <c r="BB9" i="1"/>
  <c r="BA9" i="1"/>
  <c r="AZ9" i="1"/>
  <c r="AY9" i="1"/>
  <c r="AW9" i="1"/>
  <c r="AV9" i="1"/>
  <c r="AU9" i="1"/>
  <c r="AQ9" i="1"/>
  <c r="AP9" i="1"/>
  <c r="AO9" i="1"/>
  <c r="AN9" i="1"/>
  <c r="AM9" i="1"/>
  <c r="AL9" i="1"/>
  <c r="AK9" i="1"/>
  <c r="AJ9" i="1"/>
  <c r="AH9" i="1"/>
  <c r="AG9" i="1"/>
  <c r="AF9" i="1"/>
  <c r="AE9" i="1"/>
  <c r="AB9" i="1"/>
  <c r="AD9" i="1" s="1"/>
  <c r="AA9" i="1"/>
  <c r="X9" i="1"/>
  <c r="W9" i="1"/>
  <c r="V9" i="1"/>
  <c r="U9" i="1"/>
  <c r="Y9" i="1" s="1"/>
  <c r="S9" i="1"/>
  <c r="R9" i="1"/>
  <c r="Q9" i="1"/>
  <c r="J9" i="1"/>
  <c r="I9" i="1"/>
  <c r="H9" i="1"/>
  <c r="G9" i="1"/>
  <c r="F9" i="1"/>
  <c r="BO8" i="1"/>
  <c r="BN8" i="1"/>
  <c r="BL8" i="1"/>
  <c r="BK8" i="1"/>
  <c r="BJ8" i="1"/>
  <c r="BI8" i="1"/>
  <c r="BH8" i="1"/>
  <c r="BG8" i="1"/>
  <c r="BF8" i="1"/>
  <c r="BE8" i="1"/>
  <c r="BD8" i="1"/>
  <c r="BC8" i="1"/>
  <c r="BA8" i="1"/>
  <c r="AZ8" i="1"/>
  <c r="AY8" i="1"/>
  <c r="AW8" i="1"/>
  <c r="AV8" i="1"/>
  <c r="AU8" i="1"/>
  <c r="AQ8" i="1"/>
  <c r="AP8" i="1"/>
  <c r="AO8" i="1"/>
  <c r="AN8" i="1"/>
  <c r="AM8" i="1"/>
  <c r="AL8" i="1"/>
  <c r="AK8" i="1"/>
  <c r="AJ8" i="1"/>
  <c r="AI8" i="1"/>
  <c r="AH8" i="1"/>
  <c r="AF8" i="1"/>
  <c r="AE8" i="1"/>
  <c r="AB8" i="1"/>
  <c r="AC8" i="1" s="1"/>
  <c r="AA8" i="1"/>
  <c r="X8" i="1"/>
  <c r="W8" i="1"/>
  <c r="V8" i="1"/>
  <c r="U8" i="1"/>
  <c r="Y8" i="1" s="1"/>
  <c r="S8" i="1"/>
  <c r="R8" i="1"/>
  <c r="Q8" i="1"/>
  <c r="J8" i="1"/>
  <c r="I8" i="1"/>
  <c r="H8" i="1"/>
  <c r="G8" i="1"/>
  <c r="F8" i="1"/>
  <c r="BO7" i="1"/>
  <c r="BN7" i="1"/>
  <c r="BL7" i="1"/>
  <c r="BK7" i="1"/>
  <c r="BJ7" i="1"/>
  <c r="BI7" i="1"/>
  <c r="BH7" i="1"/>
  <c r="BG7" i="1"/>
  <c r="BF7" i="1"/>
  <c r="BE7" i="1"/>
  <c r="BC7" i="1"/>
  <c r="BA7" i="1"/>
  <c r="AZ7" i="1"/>
  <c r="AY7" i="1"/>
  <c r="AW7" i="1"/>
  <c r="AV7" i="1"/>
  <c r="AU7" i="1"/>
  <c r="AQ7" i="1"/>
  <c r="AP7" i="1"/>
  <c r="AO7" i="1"/>
  <c r="AN7" i="1"/>
  <c r="AM7" i="1"/>
  <c r="AL7" i="1"/>
  <c r="AK7" i="1"/>
  <c r="AJ7" i="1"/>
  <c r="AH7" i="1"/>
  <c r="AF7" i="1"/>
  <c r="AE7" i="1"/>
  <c r="AD7" i="1"/>
  <c r="AB7" i="1"/>
  <c r="AA7" i="1"/>
  <c r="AC7" i="1" s="1"/>
  <c r="Z7" i="1"/>
  <c r="X7" i="1"/>
  <c r="W7" i="1"/>
  <c r="V7" i="1"/>
  <c r="U7" i="1"/>
  <c r="S7" i="1"/>
  <c r="R7" i="1"/>
  <c r="Q7" i="1"/>
  <c r="J7" i="1"/>
  <c r="I7" i="1"/>
  <c r="H7" i="1"/>
  <c r="G7" i="1"/>
  <c r="F7" i="1"/>
  <c r="BO6" i="1"/>
  <c r="BN6" i="1"/>
  <c r="BL6" i="1"/>
  <c r="BK6" i="1"/>
  <c r="BI6" i="1"/>
  <c r="BJ6" i="1" s="1"/>
  <c r="BH6" i="1"/>
  <c r="BG6" i="1"/>
  <c r="BF6" i="1"/>
  <c r="BE6" i="1"/>
  <c r="BD6" i="1"/>
  <c r="BC6" i="1"/>
  <c r="BA6" i="1"/>
  <c r="AZ6" i="1"/>
  <c r="AY6" i="1"/>
  <c r="AW6" i="1"/>
  <c r="AV6" i="1"/>
  <c r="AU6" i="1"/>
  <c r="AQ6" i="1"/>
  <c r="AP6" i="1"/>
  <c r="AO6" i="1"/>
  <c r="AN6" i="1"/>
  <c r="AM6" i="1"/>
  <c r="AL6" i="1"/>
  <c r="AK6" i="1"/>
  <c r="AJ6" i="1"/>
  <c r="AI6" i="1"/>
  <c r="AH6" i="1"/>
  <c r="AF6" i="1"/>
  <c r="AE6" i="1"/>
  <c r="AB6" i="1"/>
  <c r="AD6" i="1" s="1"/>
  <c r="AA6" i="1"/>
  <c r="AC6" i="1" s="1"/>
  <c r="X6" i="1"/>
  <c r="W6" i="1"/>
  <c r="V6" i="1"/>
  <c r="U6" i="1"/>
  <c r="S6" i="1"/>
  <c r="R6" i="1"/>
  <c r="Q6" i="1"/>
  <c r="J6" i="1"/>
  <c r="I6" i="1"/>
  <c r="H6" i="1"/>
  <c r="G6" i="1"/>
  <c r="F6" i="1"/>
  <c r="BO5" i="1"/>
  <c r="BN5" i="1"/>
  <c r="BL5" i="1"/>
  <c r="BK5" i="1"/>
  <c r="BJ5" i="1"/>
  <c r="BI5" i="1"/>
  <c r="BH5" i="1"/>
  <c r="BG5" i="1"/>
  <c r="BF5" i="1"/>
  <c r="BE5" i="1"/>
  <c r="BC5" i="1"/>
  <c r="BA5" i="1"/>
  <c r="AZ5" i="1"/>
  <c r="AY5" i="1"/>
  <c r="AW5" i="1"/>
  <c r="AV5" i="1"/>
  <c r="AU5" i="1"/>
  <c r="AQ5" i="1"/>
  <c r="AP5" i="1"/>
  <c r="AO5" i="1"/>
  <c r="AN5" i="1"/>
  <c r="AM5" i="1"/>
  <c r="AL5" i="1"/>
  <c r="AK5" i="1"/>
  <c r="AJ5" i="1"/>
  <c r="AH5" i="1"/>
  <c r="AF5" i="1"/>
  <c r="AE5" i="1"/>
  <c r="AD5" i="1"/>
  <c r="AB5" i="1"/>
  <c r="AA5" i="1"/>
  <c r="AC5" i="1" s="1"/>
  <c r="Z5" i="1"/>
  <c r="X5" i="1"/>
  <c r="W5" i="1"/>
  <c r="V5" i="1"/>
  <c r="U5" i="1"/>
  <c r="S5" i="1"/>
  <c r="R5" i="1"/>
  <c r="Q5" i="1"/>
  <c r="J5" i="1"/>
  <c r="I5" i="1"/>
  <c r="H5" i="1"/>
  <c r="G5" i="1"/>
  <c r="F5" i="1"/>
  <c r="BO4" i="1"/>
  <c r="BN4" i="1"/>
  <c r="BL4" i="1"/>
  <c r="BK4" i="1"/>
  <c r="BI4" i="1"/>
  <c r="BJ4" i="1" s="1"/>
  <c r="BH4" i="1"/>
  <c r="BG4" i="1"/>
  <c r="BF4" i="1"/>
  <c r="BE4" i="1"/>
  <c r="BC4" i="1"/>
  <c r="BA4" i="1"/>
  <c r="AZ4" i="1"/>
  <c r="AY4" i="1"/>
  <c r="AW4" i="1"/>
  <c r="AV4" i="1"/>
  <c r="AU4" i="1"/>
  <c r="AM4" i="1"/>
  <c r="AJ4" i="1"/>
  <c r="AF4" i="1"/>
  <c r="AE4" i="1"/>
  <c r="AD4" i="1"/>
  <c r="AB4" i="1"/>
  <c r="AA4" i="1"/>
  <c r="AC4" i="1" s="1"/>
  <c r="Z4" i="1"/>
  <c r="U4" i="1"/>
  <c r="S4" i="1"/>
  <c r="R4" i="1"/>
  <c r="Q4" i="1"/>
  <c r="J4" i="1"/>
  <c r="I4" i="1"/>
  <c r="H4" i="1"/>
  <c r="G4" i="1"/>
  <c r="F4" i="1"/>
  <c r="B4" i="1"/>
  <c r="B5" i="1" s="1"/>
  <c r="B6" i="1" s="1"/>
  <c r="B7" i="1" s="1"/>
  <c r="BO3" i="1"/>
  <c r="BN3" i="1"/>
  <c r="BL3" i="1"/>
  <c r="BK3" i="1"/>
  <c r="BJ3" i="1"/>
  <c r="BI3" i="1"/>
  <c r="BH3" i="1"/>
  <c r="BG3" i="1"/>
  <c r="BF3" i="1"/>
  <c r="BE3" i="1"/>
  <c r="BA3" i="1"/>
  <c r="AZ3" i="1"/>
  <c r="AY3" i="1"/>
  <c r="AW3" i="1"/>
  <c r="AV3" i="1"/>
  <c r="AU3" i="1"/>
  <c r="AM3" i="1"/>
  <c r="AJ3" i="1"/>
  <c r="AF3" i="1"/>
  <c r="AE3" i="1"/>
  <c r="AD3" i="1"/>
  <c r="AB3" i="1"/>
  <c r="AA3" i="1"/>
  <c r="AC3" i="1" s="1"/>
  <c r="Z3" i="1"/>
  <c r="U3" i="1"/>
  <c r="S3" i="1"/>
  <c r="R3" i="1"/>
  <c r="Q3" i="1"/>
  <c r="J3" i="1"/>
  <c r="I3" i="1"/>
  <c r="H3" i="1"/>
  <c r="G3" i="1"/>
  <c r="F3" i="1"/>
  <c r="F3178" i="8"/>
  <c r="G2436" i="8"/>
  <c r="F2490" i="8"/>
  <c r="F2463" i="8"/>
  <c r="G2489" i="8"/>
  <c r="H525" i="8" a="1"/>
  <c r="F2489" i="8"/>
  <c r="F526" i="8"/>
  <c r="G3178" i="8"/>
  <c r="F2346" i="8"/>
  <c r="H3002" i="8" a="1"/>
  <c r="F3090" i="8"/>
  <c r="F134" i="8"/>
  <c r="G71" i="8"/>
  <c r="H69" i="8" a="1"/>
  <c r="H134" i="8" a="1"/>
  <c r="G5" i="8"/>
  <c r="F199" i="8"/>
  <c r="F70" i="8"/>
  <c r="G526" i="8"/>
  <c r="G136" i="8"/>
  <c r="F135" i="8"/>
  <c r="G616" i="8"/>
  <c r="F2345" i="8"/>
  <c r="G617" i="8"/>
  <c r="F3003" i="8"/>
  <c r="H4" i="8" a="1"/>
  <c r="G2462" i="8"/>
  <c r="H3090" i="8" a="1"/>
  <c r="H70" i="8" a="1"/>
  <c r="G6" i="8"/>
  <c r="H2435" i="8" a="1"/>
  <c r="G2463" i="8"/>
  <c r="G3091" i="8"/>
  <c r="G706" i="8"/>
  <c r="G615" i="8"/>
  <c r="F5" i="8"/>
  <c r="F525" i="8"/>
  <c r="G3003" i="8"/>
  <c r="F3091" i="8"/>
  <c r="G135" i="8"/>
  <c r="F6" i="8"/>
  <c r="F2516" i="8"/>
  <c r="H524" i="8" a="1"/>
  <c r="G199" i="8"/>
  <c r="H3002" i="8" l="1"/>
  <c r="H134" i="8"/>
  <c r="H2435" i="8"/>
  <c r="H70" i="8"/>
  <c r="H69" i="8"/>
  <c r="H4" i="8"/>
  <c r="H3090" i="8"/>
  <c r="H524" i="8"/>
  <c r="H525" i="8"/>
  <c r="B3005" i="8"/>
  <c r="B3092" i="8"/>
  <c r="C2464" i="8"/>
  <c r="C2438" i="8"/>
  <c r="C2517" i="8"/>
  <c r="C2543" i="8"/>
  <c r="B3354" i="8"/>
  <c r="B3267" i="8"/>
  <c r="B136" i="8"/>
  <c r="B72" i="8"/>
  <c r="C8" i="8"/>
  <c r="C265" i="8"/>
  <c r="B528" i="8"/>
  <c r="B265" i="8"/>
  <c r="B329" i="8"/>
  <c r="C3092" i="8"/>
  <c r="C3005" i="8"/>
  <c r="B2544" i="8"/>
  <c r="B2348" i="8"/>
  <c r="B2570" i="8"/>
  <c r="C3354" i="8"/>
  <c r="C3267" i="8"/>
  <c r="B2438" i="8"/>
  <c r="B2464" i="8"/>
  <c r="C888" i="8"/>
  <c r="C137" i="8"/>
  <c r="C73" i="8"/>
  <c r="C798" i="8"/>
  <c r="B8" i="8"/>
  <c r="C329" i="8"/>
  <c r="C799" i="8"/>
  <c r="C266" i="8"/>
  <c r="C618" i="8"/>
  <c r="C528" i="8"/>
  <c r="R17" i="3"/>
  <c r="F9" i="3"/>
  <c r="F13" i="3"/>
  <c r="AC9" i="1"/>
  <c r="R16" i="3"/>
  <c r="K18" i="3"/>
  <c r="Y6" i="1"/>
  <c r="Z8" i="1"/>
  <c r="AD8" i="1"/>
  <c r="Z9" i="1"/>
  <c r="Y10" i="1"/>
  <c r="H5" i="3"/>
  <c r="F6" i="3"/>
  <c r="F8" i="3"/>
  <c r="F12" i="3"/>
  <c r="K21" i="3"/>
  <c r="L22" i="3"/>
  <c r="R20" i="3"/>
  <c r="Y3" i="1"/>
  <c r="Y4" i="1"/>
  <c r="Y5" i="1"/>
  <c r="Z6" i="1"/>
  <c r="Y7" i="1"/>
  <c r="Z10" i="1"/>
  <c r="F2347" i="8"/>
  <c r="G797" i="8"/>
  <c r="F2543" i="8"/>
  <c r="F71" i="8"/>
  <c r="G200" i="8"/>
  <c r="G7" i="8"/>
  <c r="G527" i="8"/>
  <c r="F527" i="8"/>
  <c r="G2437" i="8"/>
  <c r="H3178" i="8" a="1"/>
  <c r="F2437" i="8"/>
  <c r="G264" i="8"/>
  <c r="G708" i="8"/>
  <c r="H2436" i="8" a="1"/>
  <c r="H526" i="8" a="1"/>
  <c r="H2489" i="8" a="1"/>
  <c r="F2517" i="8"/>
  <c r="H135" i="8" a="1"/>
  <c r="F7" i="8"/>
  <c r="H199" i="8" a="1"/>
  <c r="H2462" i="8" a="1"/>
  <c r="G72" i="8"/>
  <c r="G707" i="8"/>
  <c r="H136" i="8" a="1"/>
  <c r="H6" i="8" a="1"/>
  <c r="H71" i="8" a="1"/>
  <c r="F3266" i="8"/>
  <c r="F200" i="8"/>
  <c r="G2516" i="8"/>
  <c r="G3179" i="8"/>
  <c r="G2490" i="8"/>
  <c r="F3004" i="8"/>
  <c r="F3179" i="8"/>
  <c r="G3004" i="8"/>
  <c r="G3266" i="8"/>
  <c r="H3091" i="8" a="1"/>
  <c r="H3003" i="8" a="1"/>
  <c r="G201" i="8"/>
  <c r="H2463" i="8" a="1"/>
  <c r="F264" i="8"/>
  <c r="H136" i="8" l="1"/>
  <c r="H135" i="8"/>
  <c r="H3003" i="8"/>
  <c r="H3091" i="8"/>
  <c r="H3178" i="8"/>
  <c r="H2436" i="8"/>
  <c r="H6" i="8"/>
  <c r="H2489" i="8"/>
  <c r="H199" i="8"/>
  <c r="H2463" i="8"/>
  <c r="H2462" i="8"/>
  <c r="H526" i="8"/>
  <c r="H71" i="8"/>
  <c r="C889" i="8"/>
  <c r="C202" i="8"/>
  <c r="B394" i="8"/>
  <c r="B529" i="8"/>
  <c r="C9" i="8"/>
  <c r="C2570" i="8"/>
  <c r="C331" i="8"/>
  <c r="C394" i="8"/>
  <c r="B2465" i="8"/>
  <c r="B2439" i="8"/>
  <c r="C3442" i="8"/>
  <c r="B2349" i="8"/>
  <c r="C3006" i="8"/>
  <c r="C3093" i="8"/>
  <c r="B3355" i="8"/>
  <c r="B3093" i="8"/>
  <c r="B3006" i="8"/>
  <c r="C529" i="8"/>
  <c r="C619" i="8"/>
  <c r="C979" i="8"/>
  <c r="C3180" i="8"/>
  <c r="B330" i="8"/>
  <c r="C330" i="8"/>
  <c r="B137" i="8"/>
  <c r="B73" i="8"/>
  <c r="C2491" i="8"/>
  <c r="B2597" i="8"/>
  <c r="C709" i="8"/>
  <c r="C890" i="8"/>
  <c r="B9" i="8"/>
  <c r="C138" i="8"/>
  <c r="C74" i="8"/>
  <c r="B2491" i="8"/>
  <c r="C3355" i="8"/>
  <c r="B2571" i="8"/>
  <c r="B201" i="8"/>
  <c r="B3442" i="8"/>
  <c r="C2544" i="8"/>
  <c r="B3180" i="8"/>
  <c r="C2439" i="8"/>
  <c r="C2465" i="8"/>
  <c r="F2464" i="8"/>
  <c r="G2438" i="8"/>
  <c r="F265" i="8"/>
  <c r="H3266" i="8" a="1"/>
  <c r="G329" i="8"/>
  <c r="G3005" i="8"/>
  <c r="H200" i="8" a="1"/>
  <c r="H2516" i="8" a="1"/>
  <c r="G798" i="8"/>
  <c r="G2517" i="8"/>
  <c r="G73" i="8"/>
  <c r="F528" i="8"/>
  <c r="G3354" i="8"/>
  <c r="F136" i="8"/>
  <c r="G265" i="8"/>
  <c r="F72" i="8"/>
  <c r="H2437" i="8" a="1"/>
  <c r="G618" i="8"/>
  <c r="F2544" i="8"/>
  <c r="F2438" i="8"/>
  <c r="F2570" i="8"/>
  <c r="H72" i="8" a="1"/>
  <c r="F3005" i="8"/>
  <c r="F3267" i="8"/>
  <c r="G528" i="8"/>
  <c r="H3179" i="8" a="1"/>
  <c r="G2543" i="8"/>
  <c r="G888" i="8"/>
  <c r="H7" i="8" a="1"/>
  <c r="H264" i="8" a="1"/>
  <c r="G137" i="8"/>
  <c r="G8" i="8"/>
  <c r="F8" i="8"/>
  <c r="H2490" i="8" a="1"/>
  <c r="F2348" i="8"/>
  <c r="F3354" i="8"/>
  <c r="G3092" i="8"/>
  <c r="F3092" i="8"/>
  <c r="G799" i="8"/>
  <c r="F329" i="8"/>
  <c r="G2464" i="8"/>
  <c r="G3267" i="8"/>
  <c r="G266" i="8"/>
  <c r="H527" i="8" a="1"/>
  <c r="H3004" i="8" a="1"/>
  <c r="H3179" i="8" l="1"/>
  <c r="H200" i="8"/>
  <c r="H3004" i="8"/>
  <c r="H72" i="8"/>
  <c r="H3266" i="8"/>
  <c r="H7" i="8"/>
  <c r="H2490" i="8"/>
  <c r="H2437" i="8"/>
  <c r="H264" i="8"/>
  <c r="H2516" i="8"/>
  <c r="H527" i="8"/>
  <c r="C2492" i="8"/>
  <c r="B3530" i="8"/>
  <c r="B2598" i="8"/>
  <c r="B2518" i="8"/>
  <c r="B202" i="8"/>
  <c r="B395" i="8"/>
  <c r="C1070" i="8"/>
  <c r="B3443" i="8"/>
  <c r="B2466" i="8"/>
  <c r="B2440" i="8"/>
  <c r="C459" i="8"/>
  <c r="B530" i="8"/>
  <c r="C267" i="8"/>
  <c r="B10" i="8"/>
  <c r="C800" i="8"/>
  <c r="C2518" i="8"/>
  <c r="C710" i="8"/>
  <c r="B3094" i="8"/>
  <c r="B3007" i="8"/>
  <c r="C3181" i="8"/>
  <c r="B2350" i="8"/>
  <c r="C10" i="8"/>
  <c r="C980" i="8"/>
  <c r="C2466" i="8"/>
  <c r="C2440" i="8"/>
  <c r="C2571" i="8"/>
  <c r="B266" i="8"/>
  <c r="C3443" i="8"/>
  <c r="C139" i="8"/>
  <c r="C75" i="8"/>
  <c r="C981" i="8"/>
  <c r="B2624" i="8"/>
  <c r="C395" i="8"/>
  <c r="C3268" i="8"/>
  <c r="B3181" i="8"/>
  <c r="B2492" i="8"/>
  <c r="C396" i="8"/>
  <c r="B459" i="8"/>
  <c r="B3268" i="8"/>
  <c r="C203" i="8"/>
  <c r="B138" i="8"/>
  <c r="B74" i="8"/>
  <c r="C620" i="8"/>
  <c r="C530" i="8"/>
  <c r="C3094" i="8"/>
  <c r="C3007" i="8"/>
  <c r="C3530" i="8"/>
  <c r="C2597" i="8"/>
  <c r="F9" i="8"/>
  <c r="G3180" i="8"/>
  <c r="G890" i="8"/>
  <c r="G459" i="8"/>
  <c r="H8" i="8" a="1"/>
  <c r="F2439" i="8"/>
  <c r="G3355" i="8"/>
  <c r="G529" i="8"/>
  <c r="F394" i="8"/>
  <c r="F201" i="8"/>
  <c r="F3442" i="8"/>
  <c r="H2438" i="8" a="1"/>
  <c r="G2465" i="8"/>
  <c r="G3442" i="8"/>
  <c r="G3006" i="8"/>
  <c r="H73" i="8" a="1"/>
  <c r="H329" i="8" a="1"/>
  <c r="H137" i="8" a="1"/>
  <c r="G330" i="8"/>
  <c r="H2464" i="8" a="1"/>
  <c r="H265" i="8" a="1"/>
  <c r="F2491" i="8"/>
  <c r="G2544" i="8"/>
  <c r="G394" i="8"/>
  <c r="F3093" i="8"/>
  <c r="G2491" i="8"/>
  <c r="H3354" i="8" a="1"/>
  <c r="H2543" i="8" a="1"/>
  <c r="H3267" i="8" a="1"/>
  <c r="F2349" i="8"/>
  <c r="F2571" i="8"/>
  <c r="G9" i="8"/>
  <c r="G979" i="8"/>
  <c r="G889" i="8"/>
  <c r="H201" i="8" a="1"/>
  <c r="G74" i="8"/>
  <c r="G138" i="8"/>
  <c r="H2517" i="8" a="1"/>
  <c r="F330" i="8"/>
  <c r="G619" i="8"/>
  <c r="G2439" i="8"/>
  <c r="F2465" i="8"/>
  <c r="G3093" i="8"/>
  <c r="G2570" i="8"/>
  <c r="G331" i="8"/>
  <c r="F3006" i="8"/>
  <c r="G202" i="8"/>
  <c r="F529" i="8"/>
  <c r="F2597" i="8"/>
  <c r="G709" i="8"/>
  <c r="F3180" i="8"/>
  <c r="H3092" i="8" a="1"/>
  <c r="H3005" i="8" a="1"/>
  <c r="F137" i="8"/>
  <c r="H528" i="8" a="1"/>
  <c r="F3355" i="8"/>
  <c r="F73" i="8"/>
  <c r="F459" i="8"/>
  <c r="H137" i="8" l="1"/>
  <c r="H528" i="8"/>
  <c r="H3092" i="8"/>
  <c r="H2517" i="8"/>
  <c r="H329" i="8"/>
  <c r="H8" i="8"/>
  <c r="H265" i="8"/>
  <c r="H2438" i="8"/>
  <c r="H2543" i="8"/>
  <c r="H201" i="8"/>
  <c r="H3354" i="8"/>
  <c r="H73" i="8"/>
  <c r="H2464" i="8"/>
  <c r="H3005" i="8"/>
  <c r="H3267" i="8"/>
  <c r="C3095" i="8"/>
  <c r="C3008" i="8"/>
  <c r="C3618" i="8"/>
  <c r="B2519" i="8"/>
  <c r="B2651" i="8"/>
  <c r="C1071" i="8"/>
  <c r="C621" i="8"/>
  <c r="C531" i="8"/>
  <c r="B203" i="8"/>
  <c r="C1072" i="8"/>
  <c r="C204" i="8"/>
  <c r="B331" i="8"/>
  <c r="C2467" i="8"/>
  <c r="C2441" i="8"/>
  <c r="C3269" i="8"/>
  <c r="B3182" i="8"/>
  <c r="B11" i="8"/>
  <c r="B531" i="8"/>
  <c r="C1161" i="8"/>
  <c r="B2625" i="8"/>
  <c r="C2624" i="8"/>
  <c r="C711" i="8"/>
  <c r="C461" i="8"/>
  <c r="C2598" i="8"/>
  <c r="C2493" i="8"/>
  <c r="C11" i="8"/>
  <c r="B2493" i="8"/>
  <c r="B267" i="8"/>
  <c r="C2519" i="8"/>
  <c r="B3269" i="8"/>
  <c r="C460" i="8"/>
  <c r="C3182" i="8"/>
  <c r="C268" i="8"/>
  <c r="C3531" i="8"/>
  <c r="C801" i="8"/>
  <c r="C891" i="8"/>
  <c r="C332" i="8"/>
  <c r="B3531" i="8"/>
  <c r="B2545" i="8"/>
  <c r="B139" i="8"/>
  <c r="B75" i="8"/>
  <c r="B3356" i="8"/>
  <c r="C3356" i="8"/>
  <c r="C140" i="8"/>
  <c r="C76" i="8"/>
  <c r="B2351" i="8"/>
  <c r="B3095" i="8"/>
  <c r="B3008" i="8"/>
  <c r="C2545" i="8"/>
  <c r="B2467" i="8"/>
  <c r="B2441" i="8"/>
  <c r="B460" i="8"/>
  <c r="B3618" i="8"/>
  <c r="H330" i="8" a="1"/>
  <c r="H394" i="8" a="1"/>
  <c r="G2440" i="8"/>
  <c r="F74" i="8"/>
  <c r="H2570" i="8" a="1"/>
  <c r="F3530" i="8"/>
  <c r="H2465" i="8" a="1"/>
  <c r="G3181" i="8"/>
  <c r="G1070" i="8"/>
  <c r="H9" i="8" a="1"/>
  <c r="F2598" i="8"/>
  <c r="F202" i="8"/>
  <c r="H3093" i="8" a="1"/>
  <c r="F3268" i="8"/>
  <c r="F2466" i="8"/>
  <c r="F530" i="8"/>
  <c r="G620" i="8"/>
  <c r="H2439" i="8" a="1"/>
  <c r="G980" i="8"/>
  <c r="H266" i="8" a="1"/>
  <c r="H3355" i="8" a="1"/>
  <c r="H3442" i="8" a="1"/>
  <c r="H3006" i="8" a="1"/>
  <c r="F2624" i="8"/>
  <c r="G710" i="8"/>
  <c r="H202" i="8" a="1"/>
  <c r="G3007" i="8"/>
  <c r="H2491" i="8" a="1"/>
  <c r="H2544" i="8" a="1"/>
  <c r="F2492" i="8"/>
  <c r="H3180" i="8" a="1"/>
  <c r="G461" i="8"/>
  <c r="G2466" i="8"/>
  <c r="G3094" i="8"/>
  <c r="G530" i="8"/>
  <c r="F10" i="8"/>
  <c r="H138" i="8" a="1"/>
  <c r="G10" i="8"/>
  <c r="F138" i="8"/>
  <c r="G981" i="8"/>
  <c r="G2597" i="8"/>
  <c r="F3443" i="8"/>
  <c r="F266" i="8"/>
  <c r="G396" i="8"/>
  <c r="G139" i="8"/>
  <c r="F3181" i="8"/>
  <c r="F2350" i="8"/>
  <c r="F395" i="8"/>
  <c r="F2440" i="8"/>
  <c r="F460" i="8"/>
  <c r="G460" i="8"/>
  <c r="G2492" i="8"/>
  <c r="G395" i="8"/>
  <c r="G2571" i="8"/>
  <c r="G3443" i="8"/>
  <c r="H74" i="8" a="1"/>
  <c r="F2518" i="8"/>
  <c r="G203" i="8"/>
  <c r="F3094" i="8"/>
  <c r="G3268" i="8"/>
  <c r="G267" i="8"/>
  <c r="G2518" i="8"/>
  <c r="G75" i="8"/>
  <c r="H459" i="8" a="1"/>
  <c r="G800" i="8"/>
  <c r="H529" i="8" a="1"/>
  <c r="G3530" i="8"/>
  <c r="F3007" i="8"/>
  <c r="H529" i="8" l="1"/>
  <c r="H74" i="8"/>
  <c r="H2465" i="8"/>
  <c r="H266" i="8"/>
  <c r="H138" i="8"/>
  <c r="H459" i="8"/>
  <c r="H3180" i="8"/>
  <c r="H2491" i="8"/>
  <c r="H3006" i="8"/>
  <c r="H3442" i="8"/>
  <c r="H394" i="8"/>
  <c r="H3093" i="8"/>
  <c r="H9" i="8"/>
  <c r="H2570" i="8"/>
  <c r="H2439" i="8"/>
  <c r="H2544" i="8"/>
  <c r="H202" i="8"/>
  <c r="H3355" i="8"/>
  <c r="H330" i="8"/>
  <c r="B3706" i="8"/>
  <c r="B2352" i="8"/>
  <c r="C2520" i="8"/>
  <c r="B2494" i="8"/>
  <c r="B3009" i="8"/>
  <c r="B3096" i="8"/>
  <c r="C3444" i="8"/>
  <c r="B140" i="8"/>
  <c r="B76" i="8"/>
  <c r="B3619" i="8"/>
  <c r="C2625" i="8"/>
  <c r="B2652" i="8"/>
  <c r="C2468" i="8"/>
  <c r="C2442" i="8"/>
  <c r="B396" i="8"/>
  <c r="C1163" i="8"/>
  <c r="C622" i="8"/>
  <c r="C532" i="8"/>
  <c r="C3183" i="8"/>
  <c r="C141" i="8"/>
  <c r="C77" i="8"/>
  <c r="C3270" i="8"/>
  <c r="C802" i="8"/>
  <c r="C712" i="8"/>
  <c r="B2678" i="8"/>
  <c r="C3706" i="8"/>
  <c r="B3183" i="8"/>
  <c r="B204" i="8"/>
  <c r="C982" i="8"/>
  <c r="C3619" i="8"/>
  <c r="B3357" i="8"/>
  <c r="B332" i="8"/>
  <c r="C12" i="8"/>
  <c r="B532" i="8"/>
  <c r="B3270" i="8"/>
  <c r="B2442" i="8"/>
  <c r="B2468" i="8"/>
  <c r="C2572" i="8"/>
  <c r="C205" i="8"/>
  <c r="B3444" i="8"/>
  <c r="B2572" i="8"/>
  <c r="C892" i="8"/>
  <c r="C2546" i="8"/>
  <c r="B2520" i="8"/>
  <c r="C1252" i="8"/>
  <c r="C3357" i="8"/>
  <c r="C2494" i="8"/>
  <c r="C269" i="8"/>
  <c r="B268" i="8"/>
  <c r="C397" i="8"/>
  <c r="C333" i="8"/>
  <c r="C2651" i="8"/>
  <c r="B12" i="8"/>
  <c r="C1162" i="8"/>
  <c r="B2546" i="8"/>
  <c r="C3096" i="8"/>
  <c r="C3009" i="8"/>
  <c r="H75" i="8" a="1"/>
  <c r="H2597" i="8" a="1"/>
  <c r="G2519" i="8"/>
  <c r="F2441" i="8"/>
  <c r="G268" i="8"/>
  <c r="F2545" i="8"/>
  <c r="H460" i="8" a="1"/>
  <c r="G621" i="8"/>
  <c r="G3182" i="8"/>
  <c r="F3008" i="8"/>
  <c r="G2545" i="8"/>
  <c r="F2351" i="8"/>
  <c r="H3007" i="8" a="1"/>
  <c r="G2467" i="8"/>
  <c r="F3531" i="8"/>
  <c r="F3356" i="8"/>
  <c r="F2467" i="8"/>
  <c r="G1072" i="8"/>
  <c r="G1071" i="8"/>
  <c r="F3618" i="8"/>
  <c r="H331" i="8" a="1"/>
  <c r="H395" i="8" a="1"/>
  <c r="H2518" i="8" a="1"/>
  <c r="F3182" i="8"/>
  <c r="H10" i="8" a="1"/>
  <c r="H3268" i="8" a="1"/>
  <c r="H3443" i="8" a="1"/>
  <c r="H2466" i="8" a="1"/>
  <c r="F3269" i="8"/>
  <c r="G3269" i="8"/>
  <c r="G2598" i="8"/>
  <c r="G891" i="8"/>
  <c r="G11" i="8"/>
  <c r="G2441" i="8"/>
  <c r="F2625" i="8"/>
  <c r="G801" i="8"/>
  <c r="G3356" i="8"/>
  <c r="G711" i="8"/>
  <c r="G3008" i="8"/>
  <c r="G2493" i="8"/>
  <c r="G3618" i="8"/>
  <c r="H2492" i="8" a="1"/>
  <c r="F11" i="8"/>
  <c r="H2440" i="8" a="1"/>
  <c r="G3531" i="8"/>
  <c r="F139" i="8"/>
  <c r="G1161" i="8"/>
  <c r="F3095" i="8"/>
  <c r="H203" i="8" a="1"/>
  <c r="F531" i="8"/>
  <c r="F267" i="8"/>
  <c r="G2624" i="8"/>
  <c r="G204" i="8"/>
  <c r="F2519" i="8"/>
  <c r="G332" i="8"/>
  <c r="G531" i="8"/>
  <c r="G140" i="8"/>
  <c r="F2651" i="8"/>
  <c r="G3095" i="8"/>
  <c r="F2493" i="8"/>
  <c r="F75" i="8"/>
  <c r="H2571" i="8" a="1"/>
  <c r="H530" i="8" a="1"/>
  <c r="H3530" i="8" a="1"/>
  <c r="H3181" i="8" a="1"/>
  <c r="G76" i="8"/>
  <c r="H267" i="8" a="1"/>
  <c r="F331" i="8"/>
  <c r="H139" i="8" a="1"/>
  <c r="H3094" i="8" a="1"/>
  <c r="F203" i="8"/>
  <c r="H3007" i="8" l="1"/>
  <c r="H2466" i="8"/>
  <c r="H2518" i="8"/>
  <c r="H3094" i="8"/>
  <c r="H3181" i="8"/>
  <c r="H2492" i="8"/>
  <c r="H395" i="8"/>
  <c r="H139" i="8"/>
  <c r="H3530" i="8"/>
  <c r="H3443" i="8"/>
  <c r="H331" i="8"/>
  <c r="H530" i="8"/>
  <c r="H3268" i="8"/>
  <c r="H2597" i="8"/>
  <c r="H203" i="8"/>
  <c r="H2440" i="8"/>
  <c r="H460" i="8"/>
  <c r="H267" i="8"/>
  <c r="H2571" i="8"/>
  <c r="H10" i="8"/>
  <c r="H75" i="8"/>
  <c r="C1343" i="8"/>
  <c r="B2599" i="8"/>
  <c r="C3184" i="8"/>
  <c r="C462" i="8"/>
  <c r="C3445" i="8"/>
  <c r="C983" i="8"/>
  <c r="C13" i="8"/>
  <c r="C893" i="8"/>
  <c r="B461" i="8"/>
  <c r="B2573" i="8"/>
  <c r="C2521" i="8"/>
  <c r="C2573" i="8"/>
  <c r="B2495" i="8"/>
  <c r="B3358" i="8"/>
  <c r="B3445" i="8"/>
  <c r="B3271" i="8"/>
  <c r="C142" i="8"/>
  <c r="C78" i="8"/>
  <c r="C3271" i="8"/>
  <c r="C2443" i="8"/>
  <c r="C2469" i="8"/>
  <c r="B2679" i="8"/>
  <c r="B3707" i="8"/>
  <c r="C3532" i="8"/>
  <c r="B3097" i="8"/>
  <c r="B3010" i="8"/>
  <c r="C2547" i="8"/>
  <c r="B3794" i="8"/>
  <c r="C398" i="8"/>
  <c r="C3794" i="8"/>
  <c r="C1254" i="8"/>
  <c r="B13" i="8"/>
  <c r="C270" i="8"/>
  <c r="C206" i="8"/>
  <c r="C3010" i="8"/>
  <c r="C3097" i="8"/>
  <c r="C1253" i="8"/>
  <c r="C2678" i="8"/>
  <c r="B2469" i="8"/>
  <c r="B2443" i="8"/>
  <c r="B533" i="8"/>
  <c r="B397" i="8"/>
  <c r="C3707" i="8"/>
  <c r="B269" i="8"/>
  <c r="C803" i="8"/>
  <c r="C3358" i="8"/>
  <c r="C623" i="8"/>
  <c r="C533" i="8"/>
  <c r="C2495" i="8"/>
  <c r="C2652" i="8"/>
  <c r="B141" i="8"/>
  <c r="B77" i="8"/>
  <c r="B3184" i="8"/>
  <c r="B2521" i="8"/>
  <c r="B2353" i="8"/>
  <c r="B333" i="8"/>
  <c r="C334" i="8"/>
  <c r="B2547" i="8"/>
  <c r="B3532" i="8"/>
  <c r="C2599" i="8"/>
  <c r="C1073" i="8"/>
  <c r="B2705" i="8"/>
  <c r="C713" i="8"/>
  <c r="B205" i="8"/>
  <c r="H140" i="8" a="1"/>
  <c r="F140" i="8"/>
  <c r="G2494" i="8"/>
  <c r="H2467" i="8" a="1"/>
  <c r="H531" i="8" a="1"/>
  <c r="G1163" i="8"/>
  <c r="F2468" i="8"/>
  <c r="H3182" i="8" a="1"/>
  <c r="H332" i="8" a="1"/>
  <c r="G532" i="8"/>
  <c r="F3357" i="8"/>
  <c r="G333" i="8"/>
  <c r="G77" i="8"/>
  <c r="H3356" i="8" a="1"/>
  <c r="H2545" i="8" a="1"/>
  <c r="F3096" i="8"/>
  <c r="F2652" i="8"/>
  <c r="G2520" i="8"/>
  <c r="H268" i="8" a="1"/>
  <c r="H2493" i="8" a="1"/>
  <c r="G3183" i="8"/>
  <c r="H396" i="8" a="1"/>
  <c r="H3008" i="8" a="1"/>
  <c r="F2572" i="8"/>
  <c r="G3444" i="8"/>
  <c r="H76" i="8" a="1"/>
  <c r="G2625" i="8"/>
  <c r="G397" i="8"/>
  <c r="F3009" i="8"/>
  <c r="H11" i="8" a="1"/>
  <c r="G982" i="8"/>
  <c r="F2442" i="8"/>
  <c r="F3444" i="8"/>
  <c r="G892" i="8"/>
  <c r="F12" i="8"/>
  <c r="H2441" i="8" a="1"/>
  <c r="H3095" i="8" a="1"/>
  <c r="G2546" i="8"/>
  <c r="G141" i="8"/>
  <c r="H2519" i="8" a="1"/>
  <c r="F204" i="8"/>
  <c r="F3270" i="8"/>
  <c r="G1162" i="8"/>
  <c r="H204" i="8" a="1"/>
  <c r="H2598" i="8" a="1"/>
  <c r="F3183" i="8"/>
  <c r="F532" i="8"/>
  <c r="H3618" i="8" a="1"/>
  <c r="H3531" i="8" a="1"/>
  <c r="F2352" i="8"/>
  <c r="G462" i="8"/>
  <c r="F3619" i="8"/>
  <c r="G3619" i="8"/>
  <c r="G1252" i="8"/>
  <c r="H3269" i="8" a="1"/>
  <c r="G269" i="8"/>
  <c r="G3009" i="8"/>
  <c r="F3706" i="8"/>
  <c r="G712" i="8"/>
  <c r="G3096" i="8"/>
  <c r="G2442" i="8"/>
  <c r="F2494" i="8"/>
  <c r="F76" i="8"/>
  <c r="G3357" i="8"/>
  <c r="G2651" i="8"/>
  <c r="F2678" i="8"/>
  <c r="F268" i="8"/>
  <c r="G12" i="8"/>
  <c r="G802" i="8"/>
  <c r="G3706" i="8"/>
  <c r="G622" i="8"/>
  <c r="H2624" i="8" a="1"/>
  <c r="F2520" i="8"/>
  <c r="F396" i="8"/>
  <c r="F2546" i="8"/>
  <c r="G2468" i="8"/>
  <c r="G2572" i="8"/>
  <c r="G205" i="8"/>
  <c r="G3270" i="8"/>
  <c r="F332" i="8"/>
  <c r="H3095" i="8" l="1"/>
  <c r="H3269" i="8"/>
  <c r="H3531" i="8"/>
  <c r="H2598" i="8"/>
  <c r="H3008" i="8"/>
  <c r="H268" i="8"/>
  <c r="H3618" i="8"/>
  <c r="H204" i="8"/>
  <c r="H2519" i="8"/>
  <c r="H2441" i="8"/>
  <c r="H11" i="8"/>
  <c r="H76" i="8"/>
  <c r="H396" i="8"/>
  <c r="H2545" i="8"/>
  <c r="H332" i="8"/>
  <c r="H531" i="8"/>
  <c r="H140" i="8"/>
  <c r="H2624" i="8"/>
  <c r="H2493" i="8"/>
  <c r="H3356" i="8"/>
  <c r="H3182" i="8"/>
  <c r="H2467" i="8"/>
  <c r="C804" i="8"/>
  <c r="B270" i="8"/>
  <c r="B2574" i="8"/>
  <c r="B398" i="8"/>
  <c r="C894" i="8"/>
  <c r="C1164" i="8"/>
  <c r="B3272" i="8"/>
  <c r="B206" i="8"/>
  <c r="C2522" i="8"/>
  <c r="C1345" i="8"/>
  <c r="C2574" i="8"/>
  <c r="B3185" i="8"/>
  <c r="B3795" i="8"/>
  <c r="B3359" i="8"/>
  <c r="B3446" i="8"/>
  <c r="C2600" i="8"/>
  <c r="C1074" i="8"/>
  <c r="B2626" i="8"/>
  <c r="B3620" i="8"/>
  <c r="C399" i="8"/>
  <c r="B2354" i="8"/>
  <c r="C3446" i="8"/>
  <c r="B334" i="8"/>
  <c r="B2470" i="8"/>
  <c r="B2444" i="8"/>
  <c r="C1344" i="8"/>
  <c r="C3098" i="8"/>
  <c r="C3011" i="8"/>
  <c r="C335" i="8"/>
  <c r="C2470" i="8"/>
  <c r="C2444" i="8"/>
  <c r="C143" i="8"/>
  <c r="C79" i="8"/>
  <c r="B462" i="8"/>
  <c r="C463" i="8"/>
  <c r="C3620" i="8"/>
  <c r="B2732" i="8"/>
  <c r="C2626" i="8"/>
  <c r="B2548" i="8"/>
  <c r="C2679" i="8"/>
  <c r="C624" i="8"/>
  <c r="C534" i="8"/>
  <c r="B2496" i="8"/>
  <c r="C3882" i="8"/>
  <c r="B3882" i="8"/>
  <c r="B2706" i="8"/>
  <c r="C207" i="8"/>
  <c r="B3533" i="8"/>
  <c r="B2522" i="8"/>
  <c r="C2548" i="8"/>
  <c r="C14" i="8"/>
  <c r="C3533" i="8"/>
  <c r="C3272" i="8"/>
  <c r="C1434" i="8"/>
  <c r="B142" i="8"/>
  <c r="B78" i="8"/>
  <c r="C714" i="8"/>
  <c r="C3795" i="8"/>
  <c r="B534" i="8"/>
  <c r="C2705" i="8"/>
  <c r="C3185" i="8"/>
  <c r="C271" i="8"/>
  <c r="B14" i="8"/>
  <c r="B3098" i="8"/>
  <c r="B3011" i="8"/>
  <c r="C2496" i="8"/>
  <c r="C3359" i="8"/>
  <c r="B2600" i="8"/>
  <c r="C984" i="8"/>
  <c r="H2546" i="8" a="1"/>
  <c r="H3270" i="8" a="1"/>
  <c r="G3184" i="8"/>
  <c r="G1073" i="8"/>
  <c r="H2494" i="8" a="1"/>
  <c r="H205" i="8" a="1"/>
  <c r="F2679" i="8"/>
  <c r="F3445" i="8"/>
  <c r="H397" i="8" a="1"/>
  <c r="G2678" i="8"/>
  <c r="H12" i="8" a="1"/>
  <c r="F533" i="8"/>
  <c r="G2521" i="8"/>
  <c r="F205" i="8"/>
  <c r="H3009" i="8" a="1"/>
  <c r="G3097" i="8"/>
  <c r="H2572" i="8" a="1"/>
  <c r="F2705" i="8"/>
  <c r="G533" i="8"/>
  <c r="H3619" i="8" a="1"/>
  <c r="G3445" i="8"/>
  <c r="F3532" i="8"/>
  <c r="H3444" i="8" a="1"/>
  <c r="G1343" i="8"/>
  <c r="G2573" i="8"/>
  <c r="F3184" i="8"/>
  <c r="G713" i="8"/>
  <c r="H333" i="8" a="1"/>
  <c r="G2469" i="8"/>
  <c r="F141" i="8"/>
  <c r="H532" i="8" a="1"/>
  <c r="F3707" i="8"/>
  <c r="H2625" i="8" a="1"/>
  <c r="F2573" i="8"/>
  <c r="F3097" i="8"/>
  <c r="F2547" i="8"/>
  <c r="G623" i="8"/>
  <c r="H141" i="8" a="1"/>
  <c r="H2468" i="8" a="1"/>
  <c r="G13" i="8"/>
  <c r="F333" i="8"/>
  <c r="G2443" i="8"/>
  <c r="F462" i="8"/>
  <c r="H2442" i="8" a="1"/>
  <c r="G270" i="8"/>
  <c r="G463" i="8"/>
  <c r="F2353" i="8"/>
  <c r="G1254" i="8"/>
  <c r="G3707" i="8"/>
  <c r="G334" i="8"/>
  <c r="G2495" i="8"/>
  <c r="F269" i="8"/>
  <c r="F2599" i="8"/>
  <c r="H3706" i="8" a="1"/>
  <c r="G3358" i="8"/>
  <c r="G2547" i="8"/>
  <c r="G3271" i="8"/>
  <c r="F3358" i="8"/>
  <c r="H3357" i="8" a="1"/>
  <c r="F2495" i="8"/>
  <c r="F3271" i="8"/>
  <c r="G803" i="8"/>
  <c r="F13" i="8"/>
  <c r="F461" i="8"/>
  <c r="F3010" i="8"/>
  <c r="H269" i="8" a="1"/>
  <c r="F2521" i="8"/>
  <c r="G3794" i="8"/>
  <c r="H3183" i="8" a="1"/>
  <c r="F77" i="8"/>
  <c r="H461" i="8" a="1"/>
  <c r="G78" i="8"/>
  <c r="G2599" i="8"/>
  <c r="H2520" i="8" a="1"/>
  <c r="F397" i="8"/>
  <c r="F2469" i="8"/>
  <c r="G398" i="8"/>
  <c r="G2652" i="8"/>
  <c r="H3096" i="8" a="1"/>
  <c r="G3532" i="8"/>
  <c r="F3794" i="8"/>
  <c r="G893" i="8"/>
  <c r="G3010" i="8"/>
  <c r="G1253" i="8"/>
  <c r="H2651" i="8" a="1"/>
  <c r="F2443" i="8"/>
  <c r="G983" i="8"/>
  <c r="G206" i="8"/>
  <c r="G142" i="8"/>
  <c r="H77" i="8" a="1"/>
  <c r="H461" i="8" l="1"/>
  <c r="H532" i="8"/>
  <c r="H2494" i="8"/>
  <c r="H77" i="8"/>
  <c r="H3009" i="8"/>
  <c r="H397" i="8"/>
  <c r="H3183" i="8"/>
  <c r="H3619" i="8"/>
  <c r="H3096" i="8"/>
  <c r="H2520" i="8"/>
  <c r="H2442" i="8"/>
  <c r="H2651" i="8"/>
  <c r="H3706" i="8"/>
  <c r="H3444" i="8"/>
  <c r="H3357" i="8"/>
  <c r="H2625" i="8"/>
  <c r="H333" i="8"/>
  <c r="H3270" i="8"/>
  <c r="H2468" i="8"/>
  <c r="H2546" i="8"/>
  <c r="H141" i="8"/>
  <c r="H12" i="8"/>
  <c r="H205" i="8"/>
  <c r="H269" i="8"/>
  <c r="H2572" i="8"/>
  <c r="B2627" i="8"/>
  <c r="C2523" i="8"/>
  <c r="C3273" i="8"/>
  <c r="B207" i="8"/>
  <c r="C3360" i="8"/>
  <c r="C15" i="8"/>
  <c r="C2575" i="8"/>
  <c r="B3621" i="8"/>
  <c r="C3970" i="8"/>
  <c r="C625" i="8"/>
  <c r="C535" i="8"/>
  <c r="B15" i="8"/>
  <c r="B535" i="8"/>
  <c r="C805" i="8"/>
  <c r="C1525" i="8"/>
  <c r="B2549" i="8"/>
  <c r="C715" i="8"/>
  <c r="B2575" i="8"/>
  <c r="B2759" i="8"/>
  <c r="C144" i="8"/>
  <c r="C80" i="8"/>
  <c r="C2497" i="8"/>
  <c r="C3099" i="8"/>
  <c r="C3012" i="8"/>
  <c r="B2471" i="8"/>
  <c r="B2445" i="8"/>
  <c r="B399" i="8"/>
  <c r="B2355" i="8"/>
  <c r="B3708" i="8"/>
  <c r="B3534" i="8"/>
  <c r="B3883" i="8"/>
  <c r="C895" i="8"/>
  <c r="B3970" i="8"/>
  <c r="C208" i="8"/>
  <c r="C3186" i="8"/>
  <c r="B2653" i="8"/>
  <c r="C1436" i="8"/>
  <c r="C1075" i="8"/>
  <c r="C3447" i="8"/>
  <c r="B3099" i="8"/>
  <c r="B3012" i="8"/>
  <c r="C3621" i="8"/>
  <c r="C272" i="8"/>
  <c r="B2523" i="8"/>
  <c r="C2706" i="8"/>
  <c r="C2653" i="8"/>
  <c r="B3186" i="8"/>
  <c r="C336" i="8"/>
  <c r="C2732" i="8"/>
  <c r="C3883" i="8"/>
  <c r="B143" i="8"/>
  <c r="B79" i="8"/>
  <c r="B2733" i="8"/>
  <c r="C3708" i="8"/>
  <c r="C2471" i="8"/>
  <c r="C2445" i="8"/>
  <c r="C400" i="8"/>
  <c r="B2497" i="8"/>
  <c r="C3534" i="8"/>
  <c r="C464" i="8"/>
  <c r="C2627" i="8"/>
  <c r="B3447" i="8"/>
  <c r="B3273" i="8"/>
  <c r="B271" i="8"/>
  <c r="C1255" i="8"/>
  <c r="B463" i="8"/>
  <c r="B335" i="8"/>
  <c r="C1435" i="8"/>
  <c r="C1165" i="8"/>
  <c r="C2601" i="8"/>
  <c r="C2549" i="8"/>
  <c r="B3360" i="8"/>
  <c r="C985" i="8"/>
  <c r="B2601" i="8"/>
  <c r="H2652" i="8" a="1"/>
  <c r="G2522" i="8"/>
  <c r="G207" i="8"/>
  <c r="F2600" i="8"/>
  <c r="G2574" i="8"/>
  <c r="G271" i="8"/>
  <c r="H3358" i="8" a="1"/>
  <c r="G464" i="8"/>
  <c r="F2732" i="8"/>
  <c r="H2469" i="8" a="1"/>
  <c r="F78" i="8"/>
  <c r="G3533" i="8"/>
  <c r="F2354" i="8"/>
  <c r="H3010" i="8" a="1"/>
  <c r="F398" i="8"/>
  <c r="F334" i="8"/>
  <c r="H533" i="8" a="1"/>
  <c r="G1164" i="8"/>
  <c r="G14" i="8"/>
  <c r="H334" i="8" a="1"/>
  <c r="G2444" i="8"/>
  <c r="G714" i="8"/>
  <c r="H2495" i="8" a="1"/>
  <c r="F270" i="8"/>
  <c r="F3533" i="8"/>
  <c r="H2521" i="8" a="1"/>
  <c r="G399" i="8"/>
  <c r="F2522" i="8"/>
  <c r="H270" i="8" a="1"/>
  <c r="G3446" i="8"/>
  <c r="H2443" i="8" a="1"/>
  <c r="H3445" i="8" a="1"/>
  <c r="F3098" i="8"/>
  <c r="G3272" i="8"/>
  <c r="H3271" i="8" a="1"/>
  <c r="G3795" i="8"/>
  <c r="G984" i="8"/>
  <c r="F534" i="8"/>
  <c r="H2547" i="8" a="1"/>
  <c r="G3098" i="8"/>
  <c r="F2548" i="8"/>
  <c r="H462" i="8" a="1"/>
  <c r="F3446" i="8"/>
  <c r="G3185" i="8"/>
  <c r="F2574" i="8"/>
  <c r="F3620" i="8"/>
  <c r="G804" i="8"/>
  <c r="G2548" i="8"/>
  <c r="G1344" i="8"/>
  <c r="F3795" i="8"/>
  <c r="G2496" i="8"/>
  <c r="G1074" i="8"/>
  <c r="G79" i="8"/>
  <c r="H2599" i="8" a="1"/>
  <c r="F206" i="8"/>
  <c r="G2470" i="8"/>
  <c r="H3184" i="8" a="1"/>
  <c r="H3707" i="8" a="1"/>
  <c r="F3359" i="8"/>
  <c r="G3011" i="8"/>
  <c r="H3794" i="8" a="1"/>
  <c r="G3620" i="8"/>
  <c r="F2496" i="8"/>
  <c r="H206" i="8" a="1"/>
  <c r="G2679" i="8"/>
  <c r="G1434" i="8"/>
  <c r="H3532" i="8" a="1"/>
  <c r="G1345" i="8"/>
  <c r="F2444" i="8"/>
  <c r="G894" i="8"/>
  <c r="H3097" i="8" a="1"/>
  <c r="F2470" i="8"/>
  <c r="G624" i="8"/>
  <c r="H2573" i="8" a="1"/>
  <c r="G3359" i="8"/>
  <c r="F2626" i="8"/>
  <c r="F3185" i="8"/>
  <c r="G143" i="8"/>
  <c r="G534" i="8"/>
  <c r="F3272" i="8"/>
  <c r="F3882" i="8"/>
  <c r="F14" i="8"/>
  <c r="F142" i="8"/>
  <c r="H2678" i="8" a="1"/>
  <c r="G2705" i="8"/>
  <c r="G3882" i="8"/>
  <c r="H142" i="8" a="1"/>
  <c r="F2706" i="8"/>
  <c r="H13" i="8" a="1"/>
  <c r="F463" i="8"/>
  <c r="F3011" i="8"/>
  <c r="H398" i="8" a="1"/>
  <c r="G2600" i="8"/>
  <c r="G2626" i="8"/>
  <c r="G335" i="8"/>
  <c r="H78" i="8" a="1"/>
  <c r="H462" i="8" l="1"/>
  <c r="H78" i="8"/>
  <c r="H533" i="8"/>
  <c r="H3184" i="8"/>
  <c r="H270" i="8"/>
  <c r="H2495" i="8"/>
  <c r="H142" i="8"/>
  <c r="H3271" i="8"/>
  <c r="H398" i="8"/>
  <c r="H3794" i="8"/>
  <c r="H2469" i="8"/>
  <c r="H2573" i="8"/>
  <c r="H3532" i="8"/>
  <c r="H2547" i="8"/>
  <c r="H3010" i="8"/>
  <c r="H2599" i="8"/>
  <c r="H2521" i="8"/>
  <c r="H334" i="8"/>
  <c r="H2678" i="8"/>
  <c r="H3445" i="8"/>
  <c r="H2443" i="8"/>
  <c r="H2652" i="8"/>
  <c r="H13" i="8"/>
  <c r="H3707" i="8"/>
  <c r="H3358" i="8"/>
  <c r="H3097" i="8"/>
  <c r="H206" i="8"/>
  <c r="C1076" i="8"/>
  <c r="B336" i="8"/>
  <c r="C2576" i="8"/>
  <c r="C2654" i="8"/>
  <c r="C2498" i="8"/>
  <c r="B3187" i="8"/>
  <c r="C1166" i="8"/>
  <c r="C273" i="8"/>
  <c r="C986" i="8"/>
  <c r="B3622" i="8"/>
  <c r="B2356" i="8"/>
  <c r="C3187" i="8"/>
  <c r="C145" i="8"/>
  <c r="C81" i="8"/>
  <c r="B2576" i="8"/>
  <c r="C896" i="8"/>
  <c r="C716" i="8"/>
  <c r="B3709" i="8"/>
  <c r="C16" i="8"/>
  <c r="B272" i="8"/>
  <c r="B2628" i="8"/>
  <c r="C1346" i="8"/>
  <c r="C3622" i="8"/>
  <c r="C465" i="8"/>
  <c r="C3971" i="8"/>
  <c r="C401" i="8"/>
  <c r="C2680" i="8"/>
  <c r="B2550" i="8"/>
  <c r="C3709" i="8"/>
  <c r="B2498" i="8"/>
  <c r="C209" i="8"/>
  <c r="B2602" i="8"/>
  <c r="B16" i="8"/>
  <c r="C2602" i="8"/>
  <c r="C3361" i="8"/>
  <c r="B400" i="8"/>
  <c r="B3361" i="8"/>
  <c r="B3448" i="8"/>
  <c r="C2628" i="8"/>
  <c r="C1526" i="8"/>
  <c r="B3535" i="8"/>
  <c r="B2524" i="8"/>
  <c r="C3796" i="8"/>
  <c r="B144" i="8"/>
  <c r="B80" i="8"/>
  <c r="C2733" i="8"/>
  <c r="C3535" i="8"/>
  <c r="C1527" i="8"/>
  <c r="C3274" i="8"/>
  <c r="B4058" i="8"/>
  <c r="B3971" i="8"/>
  <c r="B3796" i="8"/>
  <c r="B464" i="8"/>
  <c r="C2524" i="8"/>
  <c r="C4058" i="8"/>
  <c r="C3448" i="8"/>
  <c r="B2654" i="8"/>
  <c r="C1256" i="8"/>
  <c r="C2472" i="8"/>
  <c r="C2446" i="8"/>
  <c r="B2760" i="8"/>
  <c r="B208" i="8"/>
  <c r="C2759" i="8"/>
  <c r="B3274" i="8"/>
  <c r="C337" i="8"/>
  <c r="B3013" i="8"/>
  <c r="B3100" i="8"/>
  <c r="B2680" i="8"/>
  <c r="B2446" i="8"/>
  <c r="B2472" i="8"/>
  <c r="C3100" i="8"/>
  <c r="C3013" i="8"/>
  <c r="B2786" i="8"/>
  <c r="C806" i="8"/>
  <c r="C1616" i="8"/>
  <c r="B536" i="8"/>
  <c r="C626" i="8"/>
  <c r="C536" i="8"/>
  <c r="C2550" i="8"/>
  <c r="G400" i="8"/>
  <c r="F3099" i="8"/>
  <c r="H463" i="8" a="1"/>
  <c r="G15" i="8"/>
  <c r="H399" i="8" a="1"/>
  <c r="F3970" i="8"/>
  <c r="G80" i="8"/>
  <c r="H2679" i="8" a="1"/>
  <c r="G2445" i="8"/>
  <c r="G895" i="8"/>
  <c r="H2600" i="8" a="1"/>
  <c r="G2575" i="8"/>
  <c r="G805" i="8"/>
  <c r="H79" i="8" a="1"/>
  <c r="F2653" i="8"/>
  <c r="F2549" i="8"/>
  <c r="H3098" i="8" a="1"/>
  <c r="G2706" i="8"/>
  <c r="H2626" i="8" a="1"/>
  <c r="F464" i="8"/>
  <c r="F79" i="8"/>
  <c r="H3882" i="8" a="1"/>
  <c r="G3273" i="8"/>
  <c r="F2355" i="8"/>
  <c r="F2627" i="8"/>
  <c r="G715" i="8"/>
  <c r="H3272" i="8" a="1"/>
  <c r="F3360" i="8"/>
  <c r="F15" i="8"/>
  <c r="H3795" i="8" a="1"/>
  <c r="G2653" i="8"/>
  <c r="H143" i="8" a="1"/>
  <c r="G2523" i="8"/>
  <c r="G336" i="8"/>
  <c r="G208" i="8"/>
  <c r="F3273" i="8"/>
  <c r="F2601" i="8"/>
  <c r="H3011" i="8" a="1"/>
  <c r="F3708" i="8"/>
  <c r="F2471" i="8"/>
  <c r="F3534" i="8"/>
  <c r="F143" i="8"/>
  <c r="G3534" i="8"/>
  <c r="H2548" i="8" a="1"/>
  <c r="G2497" i="8"/>
  <c r="H3185" i="8" a="1"/>
  <c r="H3359" i="8" a="1"/>
  <c r="F399" i="8"/>
  <c r="F2523" i="8"/>
  <c r="G1436" i="8"/>
  <c r="H3620" i="8" a="1"/>
  <c r="G272" i="8"/>
  <c r="G3447" i="8"/>
  <c r="H207" i="8" a="1"/>
  <c r="G2601" i="8"/>
  <c r="F3621" i="8"/>
  <c r="F2445" i="8"/>
  <c r="G1435" i="8"/>
  <c r="F3447" i="8"/>
  <c r="H2496" i="8" a="1"/>
  <c r="G3621" i="8"/>
  <c r="G985" i="8"/>
  <c r="H3446" i="8" a="1"/>
  <c r="F2497" i="8"/>
  <c r="G3708" i="8"/>
  <c r="H2574" i="8" a="1"/>
  <c r="G144" i="8"/>
  <c r="G2549" i="8"/>
  <c r="G3012" i="8"/>
  <c r="F207" i="8"/>
  <c r="F271" i="8"/>
  <c r="G1525" i="8"/>
  <c r="G625" i="8"/>
  <c r="G2732" i="8"/>
  <c r="G2627" i="8"/>
  <c r="H2705" i="8" a="1"/>
  <c r="G3970" i="8"/>
  <c r="G1075" i="8"/>
  <c r="H271" i="8" a="1"/>
  <c r="F2575" i="8"/>
  <c r="H2470" i="8" a="1"/>
  <c r="H335" i="8" a="1"/>
  <c r="G3186" i="8"/>
  <c r="H534" i="8" a="1"/>
  <c r="G3360" i="8"/>
  <c r="G1255" i="8"/>
  <c r="H2444" i="8" a="1"/>
  <c r="H3533" i="8" a="1"/>
  <c r="F3883" i="8"/>
  <c r="H14" i="8" a="1"/>
  <c r="F3186" i="8"/>
  <c r="G465" i="8"/>
  <c r="F2733" i="8"/>
  <c r="F335" i="8"/>
  <c r="G3099" i="8"/>
  <c r="F3012" i="8"/>
  <c r="G3883" i="8"/>
  <c r="H2522" i="8" a="1"/>
  <c r="G1165" i="8"/>
  <c r="G535" i="8"/>
  <c r="F535" i="8"/>
  <c r="G2471" i="8"/>
  <c r="F2759" i="8"/>
  <c r="H143" i="8" l="1"/>
  <c r="H2522" i="8"/>
  <c r="H2548" i="8"/>
  <c r="H3011" i="8"/>
  <c r="H399" i="8"/>
  <c r="H3272" i="8"/>
  <c r="H3098" i="8"/>
  <c r="H2600" i="8"/>
  <c r="H271" i="8"/>
  <c r="H14" i="8"/>
  <c r="H534" i="8"/>
  <c r="H207" i="8"/>
  <c r="H3882" i="8"/>
  <c r="H2574" i="8"/>
  <c r="H2496" i="8"/>
  <c r="H3795" i="8"/>
  <c r="H463" i="8"/>
  <c r="H79" i="8"/>
  <c r="H2679" i="8"/>
  <c r="H2705" i="8"/>
  <c r="H3359" i="8"/>
  <c r="H3533" i="8"/>
  <c r="H335" i="8"/>
  <c r="H3185" i="8"/>
  <c r="H2444" i="8"/>
  <c r="H2470" i="8"/>
  <c r="H3620" i="8"/>
  <c r="H2626" i="8"/>
  <c r="H3446" i="8"/>
  <c r="C3014" i="8"/>
  <c r="C3101" i="8"/>
  <c r="B2473" i="8"/>
  <c r="B2447" i="8"/>
  <c r="C717" i="8"/>
  <c r="B2499" i="8"/>
  <c r="B2707" i="8"/>
  <c r="C2499" i="8"/>
  <c r="C4146" i="8"/>
  <c r="B4059" i="8"/>
  <c r="C3362" i="8"/>
  <c r="B145" i="8"/>
  <c r="B81" i="8"/>
  <c r="C897" i="8"/>
  <c r="B3188" i="8"/>
  <c r="C402" i="8"/>
  <c r="B2787" i="8"/>
  <c r="C3536" i="8"/>
  <c r="B209" i="8"/>
  <c r="B2551" i="8"/>
  <c r="C1617" i="8"/>
  <c r="B3536" i="8"/>
  <c r="B465" i="8"/>
  <c r="B2525" i="8"/>
  <c r="C466" i="8"/>
  <c r="B337" i="8"/>
  <c r="C987" i="8"/>
  <c r="C146" i="8"/>
  <c r="C82" i="8"/>
  <c r="C1077" i="8"/>
  <c r="C1257" i="8"/>
  <c r="C2525" i="8"/>
  <c r="C210" i="8"/>
  <c r="B2357" i="8"/>
  <c r="C2603" i="8"/>
  <c r="C1167" i="8"/>
  <c r="B537" i="8"/>
  <c r="C2447" i="8"/>
  <c r="C2473" i="8"/>
  <c r="C1347" i="8"/>
  <c r="C2551" i="8"/>
  <c r="B3884" i="8"/>
  <c r="B4146" i="8"/>
  <c r="C1618" i="8"/>
  <c r="C2760" i="8"/>
  <c r="C3884" i="8"/>
  <c r="B3623" i="8"/>
  <c r="B17" i="8"/>
  <c r="C537" i="8"/>
  <c r="C627" i="8"/>
  <c r="B2813" i="8"/>
  <c r="C3188" i="8"/>
  <c r="B3101" i="8"/>
  <c r="B3014" i="8"/>
  <c r="B3362" i="8"/>
  <c r="B273" i="8"/>
  <c r="B2681" i="8"/>
  <c r="C2655" i="8"/>
  <c r="B3449" i="8"/>
  <c r="C3449" i="8"/>
  <c r="C274" i="8"/>
  <c r="C3797" i="8"/>
  <c r="C2707" i="8"/>
  <c r="C4059" i="8"/>
  <c r="C3710" i="8"/>
  <c r="B2655" i="8"/>
  <c r="C17" i="8"/>
  <c r="C807" i="8"/>
  <c r="B2603" i="8"/>
  <c r="C2681" i="8"/>
  <c r="C2577" i="8"/>
  <c r="C1707" i="8"/>
  <c r="C2786" i="8"/>
  <c r="C3623" i="8"/>
  <c r="C2629" i="8"/>
  <c r="B2629" i="8"/>
  <c r="B2577" i="8"/>
  <c r="C1437" i="8"/>
  <c r="B3797" i="8"/>
  <c r="C3275" i="8"/>
  <c r="B3710" i="8"/>
  <c r="C338" i="8"/>
  <c r="B3275" i="8"/>
  <c r="B401" i="8"/>
  <c r="G81" i="8"/>
  <c r="G4058" i="8"/>
  <c r="G209" i="8"/>
  <c r="G3448" i="8"/>
  <c r="H15" i="8" a="1"/>
  <c r="F208" i="8"/>
  <c r="G716" i="8"/>
  <c r="G1526" i="8"/>
  <c r="H2445" i="8" a="1"/>
  <c r="F2786" i="8"/>
  <c r="F2680" i="8"/>
  <c r="H2549" i="8" a="1"/>
  <c r="F3535" i="8"/>
  <c r="H336" i="8" a="1"/>
  <c r="G16" i="8"/>
  <c r="G896" i="8"/>
  <c r="H3012" i="8" a="1"/>
  <c r="G2446" i="8"/>
  <c r="G337" i="8"/>
  <c r="G2654" i="8"/>
  <c r="H2627" i="8" a="1"/>
  <c r="G2759" i="8"/>
  <c r="G2524" i="8"/>
  <c r="G1616" i="8"/>
  <c r="F3013" i="8"/>
  <c r="H2653" i="8" a="1"/>
  <c r="F2654" i="8"/>
  <c r="F400" i="8"/>
  <c r="F3622" i="8"/>
  <c r="F2356" i="8"/>
  <c r="H80" i="8" a="1"/>
  <c r="F2628" i="8"/>
  <c r="H535" i="8" a="1"/>
  <c r="G145" i="8"/>
  <c r="F80" i="8"/>
  <c r="F2576" i="8"/>
  <c r="F3448" i="8"/>
  <c r="H2471" i="8" a="1"/>
  <c r="G3361" i="8"/>
  <c r="G2472" i="8"/>
  <c r="H2497" i="8" a="1"/>
  <c r="G1527" i="8"/>
  <c r="H3099" i="8" a="1"/>
  <c r="G1346" i="8"/>
  <c r="G2576" i="8"/>
  <c r="G273" i="8"/>
  <c r="F3971" i="8"/>
  <c r="H3273" i="8" a="1"/>
  <c r="G3796" i="8"/>
  <c r="H272" i="8" a="1"/>
  <c r="H2732" i="8" a="1"/>
  <c r="F4058" i="8"/>
  <c r="H3621" i="8" a="1"/>
  <c r="G3013" i="8"/>
  <c r="F3709" i="8"/>
  <c r="G1256" i="8"/>
  <c r="H3534" i="8" a="1"/>
  <c r="G2628" i="8"/>
  <c r="F272" i="8"/>
  <c r="G3535" i="8"/>
  <c r="H3447" i="8" a="1"/>
  <c r="G2680" i="8"/>
  <c r="G401" i="8"/>
  <c r="F3187" i="8"/>
  <c r="G1076" i="8"/>
  <c r="F2446" i="8"/>
  <c r="F2550" i="8"/>
  <c r="F465" i="8"/>
  <c r="H3708" i="8" a="1"/>
  <c r="F3274" i="8"/>
  <c r="G3274" i="8"/>
  <c r="H3360" i="8" a="1"/>
  <c r="G536" i="8"/>
  <c r="H464" i="8" a="1"/>
  <c r="G466" i="8"/>
  <c r="H400" i="8" a="1"/>
  <c r="F3361" i="8"/>
  <c r="G806" i="8"/>
  <c r="F3100" i="8"/>
  <c r="H3883" i="8" a="1"/>
  <c r="F16" i="8"/>
  <c r="G626" i="8"/>
  <c r="H2706" i="8" a="1"/>
  <c r="G2733" i="8"/>
  <c r="G3622" i="8"/>
  <c r="F2472" i="8"/>
  <c r="H2523" i="8" a="1"/>
  <c r="F3796" i="8"/>
  <c r="H3970" i="8" a="1"/>
  <c r="F2602" i="8"/>
  <c r="G1166" i="8"/>
  <c r="H2575" i="8" a="1"/>
  <c r="F536" i="8"/>
  <c r="F2760" i="8"/>
  <c r="G2550" i="8"/>
  <c r="F2498" i="8"/>
  <c r="H3186" i="8" a="1"/>
  <c r="G3709" i="8"/>
  <c r="H2601" i="8" a="1"/>
  <c r="G3100" i="8"/>
  <c r="F144" i="8"/>
  <c r="G2602" i="8"/>
  <c r="G2498" i="8"/>
  <c r="H208" i="8" a="1"/>
  <c r="G3971" i="8"/>
  <c r="G3187" i="8"/>
  <c r="G986" i="8"/>
  <c r="H144" i="8" a="1"/>
  <c r="F2524" i="8"/>
  <c r="F336" i="8"/>
  <c r="H465" i="8" a="1"/>
  <c r="H465" i="8" l="1"/>
  <c r="H464" i="8"/>
  <c r="H80" i="8"/>
  <c r="H208" i="8"/>
  <c r="H3186" i="8"/>
  <c r="H2471" i="8"/>
  <c r="H15" i="8"/>
  <c r="H3621" i="8"/>
  <c r="H3360" i="8"/>
  <c r="H2549" i="8"/>
  <c r="H2706" i="8"/>
  <c r="H2732" i="8"/>
  <c r="H272" i="8"/>
  <c r="H3099" i="8"/>
  <c r="H3970" i="8"/>
  <c r="H3534" i="8"/>
  <c r="H144" i="8"/>
  <c r="H3012" i="8"/>
  <c r="H400" i="8"/>
  <c r="H3708" i="8"/>
  <c r="H2445" i="8"/>
  <c r="H3883" i="8"/>
  <c r="H3273" i="8"/>
  <c r="H2497" i="8"/>
  <c r="H2523" i="8"/>
  <c r="H2627" i="8"/>
  <c r="H336" i="8"/>
  <c r="H3447" i="8"/>
  <c r="H2653" i="8"/>
  <c r="H2601" i="8"/>
  <c r="H2575" i="8"/>
  <c r="H535" i="8"/>
  <c r="B3798" i="8"/>
  <c r="C2656" i="8"/>
  <c r="C2604" i="8"/>
  <c r="C1528" i="8"/>
  <c r="B2656" i="8"/>
  <c r="C2682" i="8"/>
  <c r="C3276" i="8"/>
  <c r="C2578" i="8"/>
  <c r="C2500" i="8"/>
  <c r="B538" i="8"/>
  <c r="C275" i="8"/>
  <c r="C147" i="8"/>
  <c r="C83" i="8"/>
  <c r="B2552" i="8"/>
  <c r="B3624" i="8"/>
  <c r="C3624" i="8"/>
  <c r="C988" i="8"/>
  <c r="B210" i="8"/>
  <c r="B4147" i="8"/>
  <c r="C2526" i="8"/>
  <c r="B2526" i="8"/>
  <c r="C3102" i="8"/>
  <c r="C3015" i="8"/>
  <c r="C3711" i="8"/>
  <c r="C1798" i="8"/>
  <c r="C2708" i="8"/>
  <c r="C898" i="8"/>
  <c r="B2682" i="8"/>
  <c r="C4147" i="8"/>
  <c r="C3885" i="8"/>
  <c r="C3537" i="8"/>
  <c r="B338" i="8"/>
  <c r="B3102" i="8"/>
  <c r="B3015" i="8"/>
  <c r="B2840" i="8"/>
  <c r="C628" i="8"/>
  <c r="C538" i="8"/>
  <c r="B3711" i="8"/>
  <c r="C2787" i="8"/>
  <c r="B4234" i="8"/>
  <c r="C1168" i="8"/>
  <c r="C211" i="8"/>
  <c r="B402" i="8"/>
  <c r="B2578" i="8"/>
  <c r="C467" i="8"/>
  <c r="C4234" i="8"/>
  <c r="B2500" i="8"/>
  <c r="B3363" i="8"/>
  <c r="B466" i="8"/>
  <c r="C403" i="8"/>
  <c r="C3363" i="8"/>
  <c r="B3885" i="8"/>
  <c r="B2604" i="8"/>
  <c r="C2813" i="8"/>
  <c r="C18" i="8"/>
  <c r="C3798" i="8"/>
  <c r="C2734" i="8"/>
  <c r="B2708" i="8"/>
  <c r="B3189" i="8"/>
  <c r="C2474" i="8"/>
  <c r="C2448" i="8"/>
  <c r="C1258" i="8"/>
  <c r="B2358" i="8"/>
  <c r="C2552" i="8"/>
  <c r="C1708" i="8"/>
  <c r="B3276" i="8"/>
  <c r="C3450" i="8"/>
  <c r="B2734" i="8"/>
  <c r="C808" i="8"/>
  <c r="C3189" i="8"/>
  <c r="B2630" i="8"/>
  <c r="C339" i="8"/>
  <c r="B3537" i="8"/>
  <c r="B3450" i="8"/>
  <c r="C718" i="8"/>
  <c r="B18" i="8"/>
  <c r="C3972" i="8"/>
  <c r="C1709" i="8"/>
  <c r="B3972" i="8"/>
  <c r="C1438" i="8"/>
  <c r="C2630" i="8"/>
  <c r="C1348" i="8"/>
  <c r="C1078" i="8"/>
  <c r="B274" i="8"/>
  <c r="B2814" i="8"/>
  <c r="B146" i="8"/>
  <c r="B82" i="8"/>
  <c r="B2474" i="8"/>
  <c r="B2448" i="8"/>
  <c r="G4059" i="8"/>
  <c r="G82" i="8"/>
  <c r="G627" i="8"/>
  <c r="G2577" i="8"/>
  <c r="F2707" i="8"/>
  <c r="F2813" i="8"/>
  <c r="F3884" i="8"/>
  <c r="G2655" i="8"/>
  <c r="H466" i="8" a="1"/>
  <c r="H3709" i="8" a="1"/>
  <c r="G2551" i="8"/>
  <c r="H337" i="8" a="1"/>
  <c r="F4059" i="8"/>
  <c r="G2473" i="8"/>
  <c r="G1257" i="8"/>
  <c r="H145" i="8" a="1"/>
  <c r="H2733" i="8" a="1"/>
  <c r="G2707" i="8"/>
  <c r="H3622" i="8" a="1"/>
  <c r="G3275" i="8"/>
  <c r="G987" i="8"/>
  <c r="F337" i="8"/>
  <c r="G17" i="8"/>
  <c r="F81" i="8"/>
  <c r="H3013" i="8" a="1"/>
  <c r="F3710" i="8"/>
  <c r="H536" i="8" a="1"/>
  <c r="F3101" i="8"/>
  <c r="G467" i="8"/>
  <c r="G2525" i="8"/>
  <c r="F3449" i="8"/>
  <c r="H2472" i="8" a="1"/>
  <c r="H2628" i="8" a="1"/>
  <c r="F2681" i="8"/>
  <c r="F2655" i="8"/>
  <c r="F401" i="8"/>
  <c r="G210" i="8"/>
  <c r="H3361" i="8" a="1"/>
  <c r="G274" i="8"/>
  <c r="F2447" i="8"/>
  <c r="F4146" i="8"/>
  <c r="H81" i="8" a="1"/>
  <c r="G3188" i="8"/>
  <c r="F2551" i="8"/>
  <c r="G2629" i="8"/>
  <c r="F2357" i="8"/>
  <c r="G1167" i="8"/>
  <c r="F2603" i="8"/>
  <c r="F537" i="8"/>
  <c r="H16" i="8" a="1"/>
  <c r="G3362" i="8"/>
  <c r="H3796" i="8" a="1"/>
  <c r="H3274" i="8" a="1"/>
  <c r="H2524" i="8" a="1"/>
  <c r="H4058" i="8" a="1"/>
  <c r="H2550" i="8" a="1"/>
  <c r="H2759" i="8" a="1"/>
  <c r="H3971" i="8" a="1"/>
  <c r="F466" i="8"/>
  <c r="G3101" i="8"/>
  <c r="G3797" i="8"/>
  <c r="H3100" i="8" a="1"/>
  <c r="F209" i="8"/>
  <c r="F273" i="8"/>
  <c r="G3449" i="8"/>
  <c r="G2760" i="8"/>
  <c r="G537" i="8"/>
  <c r="F17" i="8"/>
  <c r="G2786" i="8"/>
  <c r="G402" i="8"/>
  <c r="H401" i="8" a="1"/>
  <c r="H3187" i="8" a="1"/>
  <c r="G146" i="8"/>
  <c r="F3536" i="8"/>
  <c r="G3884" i="8"/>
  <c r="F2629" i="8"/>
  <c r="F145" i="8"/>
  <c r="G897" i="8"/>
  <c r="H2680" i="8" a="1"/>
  <c r="G1707" i="8"/>
  <c r="G3014" i="8"/>
  <c r="G4146" i="8"/>
  <c r="G1437" i="8"/>
  <c r="H209" i="8" a="1"/>
  <c r="G1617" i="8"/>
  <c r="H2446" i="8" a="1"/>
  <c r="F2473" i="8"/>
  <c r="G3536" i="8"/>
  <c r="G338" i="8"/>
  <c r="G1347" i="8"/>
  <c r="F3797" i="8"/>
  <c r="G717" i="8"/>
  <c r="H273" i="8" a="1"/>
  <c r="G3710" i="8"/>
  <c r="H3448" i="8" a="1"/>
  <c r="H2576" i="8" a="1"/>
  <c r="G807" i="8"/>
  <c r="H2498" i="8" a="1"/>
  <c r="G2603" i="8"/>
  <c r="F3014" i="8"/>
  <c r="F2577" i="8"/>
  <c r="G2499" i="8"/>
  <c r="F3362" i="8"/>
  <c r="G2447" i="8"/>
  <c r="G3623" i="8"/>
  <c r="F3623" i="8"/>
  <c r="H3535" i="8" a="1"/>
  <c r="F3188" i="8"/>
  <c r="H2654" i="8" a="1"/>
  <c r="G1618" i="8"/>
  <c r="F2499" i="8"/>
  <c r="F2525" i="8"/>
  <c r="F3275" i="8"/>
  <c r="H2602" i="8" a="1"/>
  <c r="G2681" i="8"/>
  <c r="F2787" i="8"/>
  <c r="G1077" i="8"/>
  <c r="H466" i="8" l="1"/>
  <c r="H3100" i="8"/>
  <c r="H401" i="8"/>
  <c r="H2602" i="8"/>
  <c r="H3274" i="8"/>
  <c r="H3361" i="8"/>
  <c r="H2654" i="8"/>
  <c r="H273" i="8"/>
  <c r="H2680" i="8"/>
  <c r="H3796" i="8"/>
  <c r="H2446" i="8"/>
  <c r="H2576" i="8"/>
  <c r="H3709" i="8"/>
  <c r="H3622" i="8"/>
  <c r="H3013" i="8"/>
  <c r="H81" i="8"/>
  <c r="H16" i="8"/>
  <c r="H209" i="8"/>
  <c r="H3448" i="8"/>
  <c r="H2524" i="8"/>
  <c r="H2733" i="8"/>
  <c r="H3971" i="8"/>
  <c r="H3535" i="8"/>
  <c r="H2472" i="8"/>
  <c r="H145" i="8"/>
  <c r="H2759" i="8"/>
  <c r="H4058" i="8"/>
  <c r="H2550" i="8"/>
  <c r="H2498" i="8"/>
  <c r="H2628" i="8"/>
  <c r="H337" i="8"/>
  <c r="H536" i="8"/>
  <c r="H3187" i="8"/>
  <c r="B3538" i="8"/>
  <c r="C404" i="8"/>
  <c r="C809" i="8"/>
  <c r="C899" i="8"/>
  <c r="C3538" i="8"/>
  <c r="C1799" i="8"/>
  <c r="B2359" i="8"/>
  <c r="C2475" i="8"/>
  <c r="C2449" i="8"/>
  <c r="B2605" i="8"/>
  <c r="B3103" i="8"/>
  <c r="B3016" i="8"/>
  <c r="C1889" i="8"/>
  <c r="B2475" i="8"/>
  <c r="B2449" i="8"/>
  <c r="B147" i="8"/>
  <c r="B83" i="8"/>
  <c r="C1529" i="8"/>
  <c r="C1800" i="8"/>
  <c r="C3277" i="8"/>
  <c r="B2761" i="8"/>
  <c r="B3364" i="8"/>
  <c r="C1349" i="8"/>
  <c r="C2501" i="8"/>
  <c r="B2735" i="8"/>
  <c r="C3886" i="8"/>
  <c r="C2840" i="8"/>
  <c r="B3973" i="8"/>
  <c r="C468" i="8"/>
  <c r="B3451" i="8"/>
  <c r="C4322" i="8"/>
  <c r="C276" i="8"/>
  <c r="B3799" i="8"/>
  <c r="B3190" i="8"/>
  <c r="C3625" i="8"/>
  <c r="C4235" i="8"/>
  <c r="C3103" i="8"/>
  <c r="C3016" i="8"/>
  <c r="C2553" i="8"/>
  <c r="C212" i="8"/>
  <c r="B539" i="8"/>
  <c r="C1619" i="8"/>
  <c r="C2683" i="8"/>
  <c r="B19" i="8"/>
  <c r="B2867" i="8"/>
  <c r="B2709" i="8"/>
  <c r="C3190" i="8"/>
  <c r="B275" i="8"/>
  <c r="C3712" i="8"/>
  <c r="B2579" i="8"/>
  <c r="B211" i="8"/>
  <c r="B339" i="8"/>
  <c r="C1439" i="8"/>
  <c r="C2579" i="8"/>
  <c r="C2761" i="8"/>
  <c r="C2814" i="8"/>
  <c r="B2501" i="8"/>
  <c r="B2841" i="8"/>
  <c r="C1169" i="8"/>
  <c r="C2657" i="8"/>
  <c r="B4060" i="8"/>
  <c r="B2657" i="8"/>
  <c r="B3277" i="8"/>
  <c r="C19" i="8"/>
  <c r="B2631" i="8"/>
  <c r="C3451" i="8"/>
  <c r="B2527" i="8"/>
  <c r="B467" i="8"/>
  <c r="C1259" i="8"/>
  <c r="C629" i="8"/>
  <c r="C539" i="8"/>
  <c r="B403" i="8"/>
  <c r="C3973" i="8"/>
  <c r="C2735" i="8"/>
  <c r="C3799" i="8"/>
  <c r="B2553" i="8"/>
  <c r="C340" i="8"/>
  <c r="C2527" i="8"/>
  <c r="C3364" i="8"/>
  <c r="B2683" i="8"/>
  <c r="C2631" i="8"/>
  <c r="B3886" i="8"/>
  <c r="C4060" i="8"/>
  <c r="B3625" i="8"/>
  <c r="B4322" i="8"/>
  <c r="C719" i="8"/>
  <c r="C989" i="8"/>
  <c r="B4235" i="8"/>
  <c r="C1079" i="8"/>
  <c r="B3712" i="8"/>
  <c r="C148" i="8"/>
  <c r="C84" i="8"/>
  <c r="C2605" i="8"/>
  <c r="C2709" i="8"/>
  <c r="H210" i="8" a="1"/>
  <c r="G2656" i="8"/>
  <c r="G718" i="8"/>
  <c r="F2500" i="8"/>
  <c r="H146" i="8" a="1"/>
  <c r="G2552" i="8"/>
  <c r="F3363" i="8"/>
  <c r="G2630" i="8"/>
  <c r="G339" i="8"/>
  <c r="G3972" i="8"/>
  <c r="G2526" i="8"/>
  <c r="G83" i="8"/>
  <c r="F2578" i="8"/>
  <c r="F2656" i="8"/>
  <c r="F18" i="8"/>
  <c r="G808" i="8"/>
  <c r="G988" i="8"/>
  <c r="F538" i="8"/>
  <c r="G2682" i="8"/>
  <c r="F3015" i="8"/>
  <c r="F4147" i="8"/>
  <c r="F210" i="8"/>
  <c r="H467" i="8" a="1"/>
  <c r="G1708" i="8"/>
  <c r="F3798" i="8"/>
  <c r="F2840" i="8"/>
  <c r="F338" i="8"/>
  <c r="F2448" i="8"/>
  <c r="H3710" i="8" a="1"/>
  <c r="F2552" i="8"/>
  <c r="H3275" i="8" a="1"/>
  <c r="H402" i="8" a="1"/>
  <c r="G3189" i="8"/>
  <c r="G2578" i="8"/>
  <c r="H3014" i="8" a="1"/>
  <c r="G275" i="8"/>
  <c r="F3711" i="8"/>
  <c r="G2500" i="8"/>
  <c r="F2358" i="8"/>
  <c r="F467" i="8"/>
  <c r="G1528" i="8"/>
  <c r="F3624" i="8"/>
  <c r="G1438" i="8"/>
  <c r="H2525" i="8" a="1"/>
  <c r="G3624" i="8"/>
  <c r="H3449" i="8" a="1"/>
  <c r="G1709" i="8"/>
  <c r="H2499" i="8" a="1"/>
  <c r="G3885" i="8"/>
  <c r="F3276" i="8"/>
  <c r="H2551" i="8" a="1"/>
  <c r="F146" i="8"/>
  <c r="H2655" i="8" a="1"/>
  <c r="F2708" i="8"/>
  <c r="H2577" i="8" a="1"/>
  <c r="G18" i="8"/>
  <c r="H338" i="8" a="1"/>
  <c r="G2474" i="8"/>
  <c r="G1348" i="8"/>
  <c r="G2813" i="8"/>
  <c r="F2682" i="8"/>
  <c r="G2448" i="8"/>
  <c r="H4146" i="8" a="1"/>
  <c r="G3102" i="8"/>
  <c r="G628" i="8"/>
  <c r="F82" i="8"/>
  <c r="H537" i="8" a="1"/>
  <c r="F274" i="8"/>
  <c r="H3536" i="8" a="1"/>
  <c r="F3885" i="8"/>
  <c r="H2473" i="8" a="1"/>
  <c r="F3972" i="8"/>
  <c r="H3101" i="8" a="1"/>
  <c r="G4234" i="8"/>
  <c r="H4059" i="8" a="1"/>
  <c r="H17" i="8" a="1"/>
  <c r="G211" i="8"/>
  <c r="H2447" i="8" a="1"/>
  <c r="F3189" i="8"/>
  <c r="H2707" i="8" a="1"/>
  <c r="G3537" i="8"/>
  <c r="G1798" i="8"/>
  <c r="G3711" i="8"/>
  <c r="H3797" i="8" a="1"/>
  <c r="F3102" i="8"/>
  <c r="H2786" i="8" a="1"/>
  <c r="F2604" i="8"/>
  <c r="H82" i="8" a="1"/>
  <c r="H274" i="8" a="1"/>
  <c r="G3798" i="8"/>
  <c r="H2681" i="8" a="1"/>
  <c r="G2734" i="8"/>
  <c r="H3188" i="8" a="1"/>
  <c r="G403" i="8"/>
  <c r="H3362" i="8" a="1"/>
  <c r="G898" i="8"/>
  <c r="H3884" i="8" a="1"/>
  <c r="F2474" i="8"/>
  <c r="F2734" i="8"/>
  <c r="G1168" i="8"/>
  <c r="H2629" i="8" a="1"/>
  <c r="G2787" i="8"/>
  <c r="G4147" i="8"/>
  <c r="H2760" i="8" a="1"/>
  <c r="G1078" i="8"/>
  <c r="G1258" i="8"/>
  <c r="G2708" i="8"/>
  <c r="F3450" i="8"/>
  <c r="F2814" i="8"/>
  <c r="G3015" i="8"/>
  <c r="G3276" i="8"/>
  <c r="H2603" i="8" a="1"/>
  <c r="G538" i="8"/>
  <c r="G468" i="8"/>
  <c r="F2526" i="8"/>
  <c r="G3450" i="8"/>
  <c r="F2630" i="8"/>
  <c r="G147" i="8"/>
  <c r="F4234" i="8"/>
  <c r="F402" i="8"/>
  <c r="H3623" i="8" a="1"/>
  <c r="G3363" i="8"/>
  <c r="F3537" i="8"/>
  <c r="G2604" i="8"/>
  <c r="H467" i="8" l="1"/>
  <c r="H4059" i="8"/>
  <c r="H3362" i="8"/>
  <c r="H402" i="8"/>
  <c r="H2577" i="8"/>
  <c r="H2499" i="8"/>
  <c r="H537" i="8"/>
  <c r="H3710" i="8"/>
  <c r="H2629" i="8"/>
  <c r="H146" i="8"/>
  <c r="H82" i="8"/>
  <c r="H2707" i="8"/>
  <c r="H3101" i="8"/>
  <c r="H3188" i="8"/>
  <c r="H3623" i="8"/>
  <c r="H2655" i="8"/>
  <c r="H3449" i="8"/>
  <c r="H2786" i="8"/>
  <c r="H2447" i="8"/>
  <c r="H2473" i="8"/>
  <c r="H2681" i="8"/>
  <c r="H3275" i="8"/>
  <c r="H2551" i="8"/>
  <c r="H2525" i="8"/>
  <c r="H4146" i="8"/>
  <c r="H3014" i="8"/>
  <c r="H2603" i="8"/>
  <c r="H2760" i="8"/>
  <c r="H3884" i="8"/>
  <c r="H210" i="8"/>
  <c r="H3797" i="8"/>
  <c r="H17" i="8"/>
  <c r="H3536" i="8"/>
  <c r="H274" i="8"/>
  <c r="H338" i="8"/>
  <c r="C2554" i="8"/>
  <c r="C720" i="8"/>
  <c r="C2736" i="8"/>
  <c r="C149" i="8"/>
  <c r="C85" i="8"/>
  <c r="C1080" i="8"/>
  <c r="C2658" i="8"/>
  <c r="C3887" i="8"/>
  <c r="C4061" i="8"/>
  <c r="C213" i="8"/>
  <c r="C1170" i="8"/>
  <c r="B4410" i="8"/>
  <c r="C4148" i="8"/>
  <c r="C3452" i="8"/>
  <c r="C405" i="8"/>
  <c r="C630" i="8"/>
  <c r="C540" i="8"/>
  <c r="B2684" i="8"/>
  <c r="B2868" i="8"/>
  <c r="C2841" i="8"/>
  <c r="C2606" i="8"/>
  <c r="B2736" i="8"/>
  <c r="B3278" i="8"/>
  <c r="C341" i="8"/>
  <c r="B4061" i="8"/>
  <c r="C3974" i="8"/>
  <c r="C2528" i="8"/>
  <c r="B3452" i="8"/>
  <c r="C1620" i="8"/>
  <c r="B2450" i="8"/>
  <c r="B2476" i="8"/>
  <c r="B2632" i="8"/>
  <c r="C2502" i="8"/>
  <c r="C1890" i="8"/>
  <c r="C990" i="8"/>
  <c r="C469" i="8"/>
  <c r="B2580" i="8"/>
  <c r="C2762" i="8"/>
  <c r="C3539" i="8"/>
  <c r="C20" i="8"/>
  <c r="C2684" i="8"/>
  <c r="B404" i="8"/>
  <c r="B2606" i="8"/>
  <c r="B340" i="8"/>
  <c r="B20" i="8"/>
  <c r="C1710" i="8"/>
  <c r="C277" i="8"/>
  <c r="C3104" i="8"/>
  <c r="C3017" i="8"/>
  <c r="B3887" i="8"/>
  <c r="C1440" i="8"/>
  <c r="B2788" i="8"/>
  <c r="C900" i="8"/>
  <c r="B3800" i="8"/>
  <c r="B4323" i="8"/>
  <c r="C810" i="8"/>
  <c r="B3713" i="8"/>
  <c r="B3974" i="8"/>
  <c r="B2710" i="8"/>
  <c r="B468" i="8"/>
  <c r="C1260" i="8"/>
  <c r="B2528" i="8"/>
  <c r="C2710" i="8"/>
  <c r="C3191" i="8"/>
  <c r="C3713" i="8"/>
  <c r="C4410" i="8"/>
  <c r="C2867" i="8"/>
  <c r="B2762" i="8"/>
  <c r="C1891" i="8"/>
  <c r="B148" i="8"/>
  <c r="B84" i="8"/>
  <c r="B2502" i="8"/>
  <c r="B3017" i="8"/>
  <c r="B3104" i="8"/>
  <c r="C2476" i="8"/>
  <c r="C2450" i="8"/>
  <c r="B2360" i="8"/>
  <c r="C3626" i="8"/>
  <c r="B3626" i="8"/>
  <c r="C2632" i="8"/>
  <c r="C1350" i="8"/>
  <c r="B2554" i="8"/>
  <c r="B2658" i="8"/>
  <c r="B3365" i="8"/>
  <c r="B4148" i="8"/>
  <c r="C2788" i="8"/>
  <c r="C1530" i="8"/>
  <c r="B276" i="8"/>
  <c r="C3800" i="8"/>
  <c r="C3278" i="8"/>
  <c r="B2894" i="8"/>
  <c r="B540" i="8"/>
  <c r="C2580" i="8"/>
  <c r="C4323" i="8"/>
  <c r="B3539" i="8"/>
  <c r="C3365" i="8"/>
  <c r="B212" i="8"/>
  <c r="C1980" i="8"/>
  <c r="B3191" i="8"/>
  <c r="G989" i="8"/>
  <c r="H3276" i="8" a="1"/>
  <c r="G2501" i="8"/>
  <c r="F2527" i="8"/>
  <c r="G84" i="8"/>
  <c r="G3277" i="8"/>
  <c r="F3364" i="8"/>
  <c r="F2735" i="8"/>
  <c r="H275" i="8" a="1"/>
  <c r="G3712" i="8"/>
  <c r="F2841" i="8"/>
  <c r="G3103" i="8"/>
  <c r="H2526" i="8" a="1"/>
  <c r="G3538" i="8"/>
  <c r="F2709" i="8"/>
  <c r="F2359" i="8"/>
  <c r="G148" i="8"/>
  <c r="H2630" i="8" a="1"/>
  <c r="G1799" i="8"/>
  <c r="G2605" i="8"/>
  <c r="G4060" i="8"/>
  <c r="H147" i="8" a="1"/>
  <c r="G2475" i="8"/>
  <c r="F4060" i="8"/>
  <c r="H2448" i="8" a="1"/>
  <c r="F3103" i="8"/>
  <c r="F3973" i="8"/>
  <c r="G2449" i="8"/>
  <c r="G2527" i="8"/>
  <c r="G3190" i="8"/>
  <c r="G3886" i="8"/>
  <c r="F3451" i="8"/>
  <c r="G469" i="8"/>
  <c r="G340" i="8"/>
  <c r="F275" i="8"/>
  <c r="G4235" i="8"/>
  <c r="G2579" i="8"/>
  <c r="H3537" i="8" a="1"/>
  <c r="G2735" i="8"/>
  <c r="F539" i="8"/>
  <c r="F2605" i="8"/>
  <c r="H403" i="8" a="1"/>
  <c r="F2579" i="8"/>
  <c r="H468" i="8" a="1"/>
  <c r="G3799" i="8"/>
  <c r="H3711" i="8" a="1"/>
  <c r="G1529" i="8"/>
  <c r="F3016" i="8"/>
  <c r="G3973" i="8"/>
  <c r="H3363" i="8" a="1"/>
  <c r="F2449" i="8"/>
  <c r="H2604" i="8" a="1"/>
  <c r="G3451" i="8"/>
  <c r="H3102" i="8" a="1"/>
  <c r="G1619" i="8"/>
  <c r="H2578" i="8" a="1"/>
  <c r="F339" i="8"/>
  <c r="H3972" i="8" a="1"/>
  <c r="G3016" i="8"/>
  <c r="F211" i="8"/>
  <c r="F4322" i="8"/>
  <c r="H4147" i="8" a="1"/>
  <c r="H2787" i="8" a="1"/>
  <c r="H2656" i="8" a="1"/>
  <c r="H3015" i="8" a="1"/>
  <c r="G212" i="8"/>
  <c r="H3798" i="8" a="1"/>
  <c r="F2761" i="8"/>
  <c r="H3189" i="8" a="1"/>
  <c r="F3625" i="8"/>
  <c r="H339" i="8" a="1"/>
  <c r="G809" i="8"/>
  <c r="F147" i="8"/>
  <c r="F2553" i="8"/>
  <c r="H2682" i="8" a="1"/>
  <c r="G19" i="8"/>
  <c r="G1889" i="8"/>
  <c r="G404" i="8"/>
  <c r="H2500" i="8" a="1"/>
  <c r="F19" i="8"/>
  <c r="H2813" i="8" a="1"/>
  <c r="F468" i="8"/>
  <c r="G2631" i="8"/>
  <c r="F3886" i="8"/>
  <c r="H3450" i="8" a="1"/>
  <c r="G2683" i="8"/>
  <c r="G3364" i="8"/>
  <c r="G1169" i="8"/>
  <c r="H18" i="8" a="1"/>
  <c r="G2657" i="8"/>
  <c r="H538" i="8" a="1"/>
  <c r="F3799" i="8"/>
  <c r="H3885" i="8" a="1"/>
  <c r="H3624" i="8" a="1"/>
  <c r="F3538" i="8"/>
  <c r="G539" i="8"/>
  <c r="F2501" i="8"/>
  <c r="H2734" i="8" a="1"/>
  <c r="F83" i="8"/>
  <c r="G2814" i="8"/>
  <c r="G1800" i="8"/>
  <c r="H2552" i="8" a="1"/>
  <c r="G719" i="8"/>
  <c r="G629" i="8"/>
  <c r="F3712" i="8"/>
  <c r="H4234" i="8" a="1"/>
  <c r="F2683" i="8"/>
  <c r="G2709" i="8"/>
  <c r="F4235" i="8"/>
  <c r="H211" i="8" a="1"/>
  <c r="G2553" i="8"/>
  <c r="F3190" i="8"/>
  <c r="G4322" i="8"/>
  <c r="H2474" i="8" a="1"/>
  <c r="F3277" i="8"/>
  <c r="G276" i="8"/>
  <c r="F2631" i="8"/>
  <c r="H2708" i="8" a="1"/>
  <c r="F2475" i="8"/>
  <c r="G1079" i="8"/>
  <c r="F403" i="8"/>
  <c r="H83" i="8" a="1"/>
  <c r="G2840" i="8"/>
  <c r="F2657" i="8"/>
  <c r="G3625" i="8"/>
  <c r="F2867" i="8"/>
  <c r="G1259" i="8"/>
  <c r="G2761" i="8"/>
  <c r="G899" i="8"/>
  <c r="G1439" i="8"/>
  <c r="G1349" i="8"/>
  <c r="H468" i="8" l="1"/>
  <c r="H339" i="8"/>
  <c r="H2656" i="8"/>
  <c r="H3972" i="8"/>
  <c r="H2500" i="8"/>
  <c r="H403" i="8"/>
  <c r="H2787" i="8"/>
  <c r="H147" i="8"/>
  <c r="H3363" i="8"/>
  <c r="H2474" i="8"/>
  <c r="H2526" i="8"/>
  <c r="H2734" i="8"/>
  <c r="H83" i="8"/>
  <c r="H3450" i="8"/>
  <c r="H4234" i="8"/>
  <c r="H3189" i="8"/>
  <c r="H3885" i="8"/>
  <c r="H2578" i="8"/>
  <c r="H3798" i="8"/>
  <c r="H538" i="8"/>
  <c r="H3102" i="8"/>
  <c r="H2682" i="8"/>
  <c r="H3537" i="8"/>
  <c r="H4147" i="8"/>
  <c r="H2630" i="8"/>
  <c r="H3711" i="8"/>
  <c r="H3276" i="8"/>
  <c r="H2448" i="8"/>
  <c r="H211" i="8"/>
  <c r="H275" i="8"/>
  <c r="H3624" i="8"/>
  <c r="H2708" i="8"/>
  <c r="H2813" i="8"/>
  <c r="H2552" i="8"/>
  <c r="H3015" i="8"/>
  <c r="H18" i="8"/>
  <c r="H2604" i="8"/>
  <c r="B3627" i="8"/>
  <c r="B2685" i="8"/>
  <c r="C1441" i="8"/>
  <c r="C2503" i="8"/>
  <c r="C3279" i="8"/>
  <c r="B2555" i="8"/>
  <c r="B3279" i="8"/>
  <c r="B277" i="8"/>
  <c r="C2607" i="8"/>
  <c r="B2921" i="8"/>
  <c r="C3888" i="8"/>
  <c r="C1621" i="8"/>
  <c r="B4236" i="8"/>
  <c r="B3714" i="8"/>
  <c r="B2361" i="8"/>
  <c r="B3192" i="8"/>
  <c r="B2529" i="8"/>
  <c r="C2894" i="8"/>
  <c r="C2737" i="8"/>
  <c r="B2737" i="8"/>
  <c r="B3801" i="8"/>
  <c r="C342" i="8"/>
  <c r="C2711" i="8"/>
  <c r="C3627" i="8"/>
  <c r="B2607" i="8"/>
  <c r="C721" i="8"/>
  <c r="B4498" i="8"/>
  <c r="C278" i="8"/>
  <c r="C3975" i="8"/>
  <c r="C1171" i="8"/>
  <c r="C2581" i="8"/>
  <c r="B2581" i="8"/>
  <c r="C2451" i="8"/>
  <c r="C2477" i="8"/>
  <c r="C1982" i="8"/>
  <c r="C3801" i="8"/>
  <c r="C1351" i="8"/>
  <c r="B4411" i="8"/>
  <c r="C991" i="8"/>
  <c r="C1531" i="8"/>
  <c r="C3018" i="8"/>
  <c r="C3105" i="8"/>
  <c r="C1801" i="8"/>
  <c r="C21" i="8"/>
  <c r="C2789" i="8"/>
  <c r="C1981" i="8"/>
  <c r="B2477" i="8"/>
  <c r="B2451" i="8"/>
  <c r="B3540" i="8"/>
  <c r="C4062" i="8"/>
  <c r="C406" i="8"/>
  <c r="B2763" i="8"/>
  <c r="C2868" i="8"/>
  <c r="B2711" i="8"/>
  <c r="C1261" i="8"/>
  <c r="C2685" i="8"/>
  <c r="C2763" i="8"/>
  <c r="C2071" i="8"/>
  <c r="C3453" i="8"/>
  <c r="C4411" i="8"/>
  <c r="B541" i="8"/>
  <c r="C3366" i="8"/>
  <c r="B341" i="8"/>
  <c r="C2815" i="8"/>
  <c r="B3453" i="8"/>
  <c r="C2659" i="8"/>
  <c r="C3714" i="8"/>
  <c r="B3105" i="8"/>
  <c r="B3018" i="8"/>
  <c r="B149" i="8"/>
  <c r="B85" i="8"/>
  <c r="B2789" i="8"/>
  <c r="C901" i="8"/>
  <c r="C3192" i="8"/>
  <c r="B405" i="8"/>
  <c r="B469" i="8"/>
  <c r="B2659" i="8"/>
  <c r="C2633" i="8"/>
  <c r="C470" i="8"/>
  <c r="C4236" i="8"/>
  <c r="C4149" i="8"/>
  <c r="C150" i="8"/>
  <c r="C86" i="8"/>
  <c r="B213" i="8"/>
  <c r="C4498" i="8"/>
  <c r="B4062" i="8"/>
  <c r="B3888" i="8"/>
  <c r="B2815" i="8"/>
  <c r="B3975" i="8"/>
  <c r="B21" i="8"/>
  <c r="B2633" i="8"/>
  <c r="C1081" i="8"/>
  <c r="C2529" i="8"/>
  <c r="B2503" i="8"/>
  <c r="C1711" i="8"/>
  <c r="C2555" i="8"/>
  <c r="B4149" i="8"/>
  <c r="B3366" i="8"/>
  <c r="B2895" i="8"/>
  <c r="C631" i="8"/>
  <c r="C541" i="8"/>
  <c r="C3540" i="8"/>
  <c r="C214" i="8"/>
  <c r="C811" i="8"/>
  <c r="G2710" i="8"/>
  <c r="F20" i="8"/>
  <c r="G2867" i="8"/>
  <c r="G2606" i="8"/>
  <c r="G2476" i="8"/>
  <c r="G2502" i="8"/>
  <c r="F2788" i="8"/>
  <c r="H3451" i="8" a="1"/>
  <c r="G1170" i="8"/>
  <c r="H4322" i="8" a="1"/>
  <c r="G2841" i="8"/>
  <c r="H404" i="8" a="1"/>
  <c r="G1080" i="8"/>
  <c r="H340" i="8" a="1"/>
  <c r="F2684" i="8"/>
  <c r="F2476" i="8"/>
  <c r="H2709" i="8" a="1"/>
  <c r="F2580" i="8"/>
  <c r="H4235" i="8" a="1"/>
  <c r="F2554" i="8"/>
  <c r="F2606" i="8"/>
  <c r="F212" i="8"/>
  <c r="F3800" i="8"/>
  <c r="G4061" i="8"/>
  <c r="F2360" i="8"/>
  <c r="F3974" i="8"/>
  <c r="F3104" i="8"/>
  <c r="F404" i="8"/>
  <c r="H148" i="8" a="1"/>
  <c r="G470" i="8"/>
  <c r="G1350" i="8"/>
  <c r="F340" i="8"/>
  <c r="H3538" i="8" a="1"/>
  <c r="G3713" i="8"/>
  <c r="F2894" i="8"/>
  <c r="G990" i="8"/>
  <c r="G3974" i="8"/>
  <c r="G720" i="8"/>
  <c r="H4060" i="8" a="1"/>
  <c r="G3887" i="8"/>
  <c r="H3016" i="8" a="1"/>
  <c r="F4323" i="8"/>
  <c r="G540" i="8"/>
  <c r="F3626" i="8"/>
  <c r="H2553" i="8" a="1"/>
  <c r="F84" i="8"/>
  <c r="G3800" i="8"/>
  <c r="F2762" i="8"/>
  <c r="F2658" i="8"/>
  <c r="F3365" i="8"/>
  <c r="H539" i="8" a="1"/>
  <c r="G2632" i="8"/>
  <c r="H2657" i="8" a="1"/>
  <c r="G3278" i="8"/>
  <c r="G2684" i="8"/>
  <c r="H19" i="8" a="1"/>
  <c r="G2450" i="8"/>
  <c r="H3277" i="8" a="1"/>
  <c r="G1710" i="8"/>
  <c r="G1620" i="8"/>
  <c r="G3539" i="8"/>
  <c r="H2475" i="8" a="1"/>
  <c r="H2840" i="8" a="1"/>
  <c r="F4410" i="8"/>
  <c r="F4061" i="8"/>
  <c r="G1260" i="8"/>
  <c r="F2450" i="8"/>
  <c r="F2736" i="8"/>
  <c r="H3712" i="8" a="1"/>
  <c r="G1890" i="8"/>
  <c r="H3973" i="8" a="1"/>
  <c r="G341" i="8"/>
  <c r="H3190" i="8" a="1"/>
  <c r="G213" i="8"/>
  <c r="G900" i="8"/>
  <c r="H3886" i="8" a="1"/>
  <c r="F3713" i="8"/>
  <c r="F3278" i="8"/>
  <c r="F2710" i="8"/>
  <c r="G4148" i="8"/>
  <c r="F2528" i="8"/>
  <c r="G4410" i="8"/>
  <c r="F2502" i="8"/>
  <c r="G405" i="8"/>
  <c r="G2658" i="8"/>
  <c r="F3539" i="8"/>
  <c r="G2736" i="8"/>
  <c r="H2735" i="8" a="1"/>
  <c r="G3365" i="8"/>
  <c r="H84" i="8" a="1"/>
  <c r="G1891" i="8"/>
  <c r="H2527" i="8" a="1"/>
  <c r="H2631" i="8" a="1"/>
  <c r="G20" i="8"/>
  <c r="H2683" i="8" a="1"/>
  <c r="F3452" i="8"/>
  <c r="H2814" i="8" a="1"/>
  <c r="G630" i="8"/>
  <c r="F148" i="8"/>
  <c r="F3191" i="8"/>
  <c r="F3017" i="8"/>
  <c r="H2579" i="8" a="1"/>
  <c r="F276" i="8"/>
  <c r="H3103" i="8" a="1"/>
  <c r="G2788" i="8"/>
  <c r="G4323" i="8"/>
  <c r="H2449" i="8" a="1"/>
  <c r="G2554" i="8"/>
  <c r="H276" i="8" a="1"/>
  <c r="G1440" i="8"/>
  <c r="G149" i="8"/>
  <c r="G277" i="8"/>
  <c r="F2868" i="8"/>
  <c r="G3017" i="8"/>
  <c r="G3452" i="8"/>
  <c r="H469" i="8" a="1"/>
  <c r="F4148" i="8"/>
  <c r="F469" i="8"/>
  <c r="G1530" i="8"/>
  <c r="G3104" i="8"/>
  <c r="H212" i="8" a="1"/>
  <c r="G810" i="8"/>
  <c r="H3799" i="8" a="1"/>
  <c r="G3191" i="8"/>
  <c r="G3626" i="8"/>
  <c r="H2501" i="8" a="1"/>
  <c r="F540" i="8"/>
  <c r="H2761" i="8" a="1"/>
  <c r="G2762" i="8"/>
  <c r="H2605" i="8" a="1"/>
  <c r="G1980" i="8"/>
  <c r="G85" i="8"/>
  <c r="F2632" i="8"/>
  <c r="G2528" i="8"/>
  <c r="H3625" i="8" a="1"/>
  <c r="F3887" i="8"/>
  <c r="G2580" i="8"/>
  <c r="H3364" i="8" a="1"/>
  <c r="H469" i="8" l="1"/>
  <c r="H3799" i="8"/>
  <c r="H2657" i="8"/>
  <c r="H2553" i="8"/>
  <c r="H2605" i="8"/>
  <c r="H2527" i="8"/>
  <c r="H340" i="8"/>
  <c r="H3538" i="8"/>
  <c r="H3364" i="8"/>
  <c r="H2475" i="8"/>
  <c r="H148" i="8"/>
  <c r="H212" i="8"/>
  <c r="H539" i="8"/>
  <c r="H3103" i="8"/>
  <c r="H2761" i="8"/>
  <c r="H84" i="8"/>
  <c r="H404" i="8"/>
  <c r="H3190" i="8"/>
  <c r="H2814" i="8"/>
  <c r="H2579" i="8"/>
  <c r="H2501" i="8"/>
  <c r="H2735" i="8"/>
  <c r="H4322" i="8"/>
  <c r="H3973" i="8"/>
  <c r="H2683" i="8"/>
  <c r="H3277" i="8"/>
  <c r="H276" i="8"/>
  <c r="H3016" i="8"/>
  <c r="H3625" i="8"/>
  <c r="H4235" i="8"/>
  <c r="H3451" i="8"/>
  <c r="H3712" i="8"/>
  <c r="H2631" i="8"/>
  <c r="H19" i="8"/>
  <c r="H2449" i="8"/>
  <c r="H4060" i="8"/>
  <c r="H2840" i="8"/>
  <c r="H2709" i="8"/>
  <c r="H3886" i="8"/>
  <c r="C3628" i="8"/>
  <c r="C279" i="8"/>
  <c r="C632" i="8"/>
  <c r="C542" i="8"/>
  <c r="C1172" i="8"/>
  <c r="C215" i="8"/>
  <c r="C4324" i="8"/>
  <c r="C2660" i="8"/>
  <c r="C3280" i="8"/>
  <c r="C722" i="8"/>
  <c r="B3454" i="8"/>
  <c r="B2530" i="8"/>
  <c r="B22" i="8"/>
  <c r="B2842" i="8"/>
  <c r="B4150" i="8"/>
  <c r="B278" i="8"/>
  <c r="C992" i="8"/>
  <c r="B3106" i="8"/>
  <c r="B3019" i="8"/>
  <c r="C2686" i="8"/>
  <c r="C2842" i="8"/>
  <c r="C2072" i="8"/>
  <c r="C22" i="8"/>
  <c r="C2073" i="8"/>
  <c r="C2478" i="8"/>
  <c r="C2452" i="8"/>
  <c r="C2608" i="8"/>
  <c r="C4063" i="8"/>
  <c r="B4586" i="8"/>
  <c r="B2634" i="8"/>
  <c r="B3889" i="8"/>
  <c r="C2764" i="8"/>
  <c r="B2362" i="8"/>
  <c r="B4324" i="8"/>
  <c r="C3976" i="8"/>
  <c r="B3367" i="8"/>
  <c r="C3367" i="8"/>
  <c r="B3715" i="8"/>
  <c r="B4237" i="8"/>
  <c r="B2660" i="8"/>
  <c r="C4237" i="8"/>
  <c r="B2686" i="8"/>
  <c r="B470" i="8"/>
  <c r="B150" i="8"/>
  <c r="B86" i="8"/>
  <c r="B3193" i="8"/>
  <c r="C3454" i="8"/>
  <c r="C4499" i="8"/>
  <c r="C2162" i="8"/>
  <c r="C2712" i="8"/>
  <c r="B2738" i="8"/>
  <c r="B2790" i="8"/>
  <c r="C4150" i="8"/>
  <c r="B2478" i="8"/>
  <c r="B2452" i="8"/>
  <c r="C1892" i="8"/>
  <c r="C3106" i="8"/>
  <c r="C3019" i="8"/>
  <c r="C1082" i="8"/>
  <c r="C1442" i="8"/>
  <c r="B2608" i="8"/>
  <c r="B2764" i="8"/>
  <c r="C2921" i="8"/>
  <c r="B3280" i="8"/>
  <c r="C1712" i="8"/>
  <c r="B2712" i="8"/>
  <c r="C902" i="8"/>
  <c r="B2922" i="8"/>
  <c r="C1802" i="8"/>
  <c r="C2556" i="8"/>
  <c r="B4063" i="8"/>
  <c r="B3976" i="8"/>
  <c r="C4586" i="8"/>
  <c r="C151" i="8"/>
  <c r="C87" i="8"/>
  <c r="B2816" i="8"/>
  <c r="B214" i="8"/>
  <c r="C3802" i="8"/>
  <c r="C2790" i="8"/>
  <c r="C1352" i="8"/>
  <c r="B2504" i="8"/>
  <c r="C2816" i="8"/>
  <c r="C2504" i="8"/>
  <c r="C1262" i="8"/>
  <c r="C343" i="8"/>
  <c r="C812" i="8"/>
  <c r="C3715" i="8"/>
  <c r="C407" i="8"/>
  <c r="B3802" i="8"/>
  <c r="B2948" i="8"/>
  <c r="B342" i="8"/>
  <c r="B2582" i="8"/>
  <c r="C2530" i="8"/>
  <c r="C2582" i="8"/>
  <c r="B3541" i="8"/>
  <c r="B406" i="8"/>
  <c r="B542" i="8"/>
  <c r="C3541" i="8"/>
  <c r="C2895" i="8"/>
  <c r="C471" i="8"/>
  <c r="B3628" i="8"/>
  <c r="C3193" i="8"/>
  <c r="C1622" i="8"/>
  <c r="B4499" i="8"/>
  <c r="C3889" i="8"/>
  <c r="C2738" i="8"/>
  <c r="B2556" i="8"/>
  <c r="C2634" i="8"/>
  <c r="C1532" i="8"/>
  <c r="H4323" i="8" a="1"/>
  <c r="F4062" i="8"/>
  <c r="G1261" i="8"/>
  <c r="H3800" i="8" a="1"/>
  <c r="G2503" i="8"/>
  <c r="G2815" i="8"/>
  <c r="G86" i="8"/>
  <c r="H3278" i="8" a="1"/>
  <c r="F2921" i="8"/>
  <c r="H277" i="8" a="1"/>
  <c r="F4236" i="8"/>
  <c r="G406" i="8"/>
  <c r="G1982" i="8"/>
  <c r="H2762" i="8" a="1"/>
  <c r="G3888" i="8"/>
  <c r="G3627" i="8"/>
  <c r="H2606" i="8" a="1"/>
  <c r="F2555" i="8"/>
  <c r="F3366" i="8"/>
  <c r="F2789" i="8"/>
  <c r="H2736" i="8" a="1"/>
  <c r="G2529" i="8"/>
  <c r="G631" i="8"/>
  <c r="G811" i="8"/>
  <c r="G1441" i="8"/>
  <c r="F2659" i="8"/>
  <c r="H4410" i="8" a="1"/>
  <c r="G3975" i="8"/>
  <c r="G342" i="8"/>
  <c r="F2815" i="8"/>
  <c r="H405" i="8" a="1"/>
  <c r="F3801" i="8"/>
  <c r="H2502" i="8" a="1"/>
  <c r="G3105" i="8"/>
  <c r="F3627" i="8"/>
  <c r="F85" i="8"/>
  <c r="F4149" i="8"/>
  <c r="G1171" i="8"/>
  <c r="G541" i="8"/>
  <c r="G3453" i="8"/>
  <c r="H2632" i="8" a="1"/>
  <c r="G2737" i="8"/>
  <c r="F341" i="8"/>
  <c r="G1981" i="8"/>
  <c r="H2658" i="8" a="1"/>
  <c r="F2361" i="8"/>
  <c r="G278" i="8"/>
  <c r="H3539" i="8" a="1"/>
  <c r="H470" i="8" a="1"/>
  <c r="H20" i="8" a="1"/>
  <c r="F2711" i="8"/>
  <c r="H2788" i="8" a="1"/>
  <c r="G2071" i="8"/>
  <c r="H2554" i="8" a="1"/>
  <c r="F405" i="8"/>
  <c r="F541" i="8"/>
  <c r="G214" i="8"/>
  <c r="H2580" i="8" a="1"/>
  <c r="G2659" i="8"/>
  <c r="G721" i="8"/>
  <c r="F2503" i="8"/>
  <c r="H3452" i="8" a="1"/>
  <c r="F4498" i="8"/>
  <c r="F2477" i="8"/>
  <c r="H2684" i="8" a="1"/>
  <c r="F2451" i="8"/>
  <c r="H4061" i="8" a="1"/>
  <c r="F277" i="8"/>
  <c r="F2737" i="8"/>
  <c r="G21" i="8"/>
  <c r="H3626" i="8" a="1"/>
  <c r="F2633" i="8"/>
  <c r="H85" i="8" a="1"/>
  <c r="G3366" i="8"/>
  <c r="H3713" i="8" a="1"/>
  <c r="G4149" i="8"/>
  <c r="F3453" i="8"/>
  <c r="H3887" i="8" a="1"/>
  <c r="G2711" i="8"/>
  <c r="G3192" i="8"/>
  <c r="F3888" i="8"/>
  <c r="H3365" i="8" a="1"/>
  <c r="F2895" i="8"/>
  <c r="G2633" i="8"/>
  <c r="G2894" i="8"/>
  <c r="F2529" i="8"/>
  <c r="F2607" i="8"/>
  <c r="H149" i="8" a="1"/>
  <c r="F3279" i="8"/>
  <c r="F4411" i="8"/>
  <c r="F470" i="8"/>
  <c r="H4148" i="8" a="1"/>
  <c r="G3279" i="8"/>
  <c r="F3714" i="8"/>
  <c r="H341" i="8" a="1"/>
  <c r="G4498" i="8"/>
  <c r="G1081" i="8"/>
  <c r="G1351" i="8"/>
  <c r="H2476" i="8" a="1"/>
  <c r="G1801" i="8"/>
  <c r="G4236" i="8"/>
  <c r="F3192" i="8"/>
  <c r="H540" i="8" a="1"/>
  <c r="F2685" i="8"/>
  <c r="G150" i="8"/>
  <c r="G991" i="8"/>
  <c r="G1531" i="8"/>
  <c r="G4411" i="8"/>
  <c r="H3017" i="8" a="1"/>
  <c r="G901" i="8"/>
  <c r="G2789" i="8"/>
  <c r="G3540" i="8"/>
  <c r="G3801" i="8"/>
  <c r="G2581" i="8"/>
  <c r="F149" i="8"/>
  <c r="H3974" i="8" a="1"/>
  <c r="G2685" i="8"/>
  <c r="H2710" i="8" a="1"/>
  <c r="G4062" i="8"/>
  <c r="H213" i="8" a="1"/>
  <c r="G3018" i="8"/>
  <c r="H3191" i="8" a="1"/>
  <c r="F2763" i="8"/>
  <c r="G2868" i="8"/>
  <c r="F3018" i="8"/>
  <c r="G2555" i="8"/>
  <c r="F21" i="8"/>
  <c r="G3714" i="8"/>
  <c r="H2450" i="8" a="1"/>
  <c r="G2763" i="8"/>
  <c r="F213" i="8"/>
  <c r="G1711" i="8"/>
  <c r="H2528" i="8" a="1"/>
  <c r="F3105" i="8"/>
  <c r="G2607" i="8"/>
  <c r="F3975" i="8"/>
  <c r="G2477" i="8"/>
  <c r="F2581" i="8"/>
  <c r="G2451" i="8"/>
  <c r="H3104" i="8" a="1"/>
  <c r="H2841" i="8" a="1"/>
  <c r="H2867" i="8" a="1"/>
  <c r="G1621" i="8"/>
  <c r="F3540" i="8"/>
  <c r="G471" i="8"/>
  <c r="H470" i="8" l="1"/>
  <c r="H3887" i="8"/>
  <c r="H2867" i="8"/>
  <c r="H341" i="8"/>
  <c r="H2606" i="8"/>
  <c r="H3539" i="8"/>
  <c r="H2502" i="8"/>
  <c r="H2684" i="8"/>
  <c r="H3974" i="8"/>
  <c r="H3278" i="8"/>
  <c r="H2528" i="8"/>
  <c r="H3191" i="8"/>
  <c r="H2554" i="8"/>
  <c r="H3713" i="8"/>
  <c r="H2841" i="8"/>
  <c r="H4148" i="8"/>
  <c r="H2762" i="8"/>
  <c r="H2658" i="8"/>
  <c r="H405" i="8"/>
  <c r="H3452" i="8"/>
  <c r="H3800" i="8"/>
  <c r="H2450" i="8"/>
  <c r="H2736" i="8"/>
  <c r="H3365" i="8"/>
  <c r="H540" i="8"/>
  <c r="H2476" i="8"/>
  <c r="H213" i="8"/>
  <c r="H2788" i="8"/>
  <c r="H85" i="8"/>
  <c r="H4061" i="8"/>
  <c r="H2710" i="8"/>
  <c r="H20" i="8"/>
  <c r="H3626" i="8"/>
  <c r="H3104" i="8"/>
  <c r="H149" i="8"/>
  <c r="H277" i="8"/>
  <c r="H2632" i="8"/>
  <c r="H4410" i="8"/>
  <c r="H2580" i="8"/>
  <c r="H3017" i="8"/>
  <c r="H4323" i="8"/>
  <c r="B4587" i="8"/>
  <c r="B471" i="8"/>
  <c r="C472" i="8"/>
  <c r="C903" i="8"/>
  <c r="C2843" i="8"/>
  <c r="C1443" i="8"/>
  <c r="C3890" i="8"/>
  <c r="B2843" i="8"/>
  <c r="C1893" i="8"/>
  <c r="C993" i="8"/>
  <c r="C2948" i="8"/>
  <c r="C1173" i="8"/>
  <c r="C3194" i="8"/>
  <c r="B2817" i="8"/>
  <c r="B215" i="8"/>
  <c r="B2687" i="8"/>
  <c r="B3803" i="8"/>
  <c r="B3455" i="8"/>
  <c r="B4412" i="8"/>
  <c r="C2791" i="8"/>
  <c r="C4151" i="8"/>
  <c r="C2869" i="8"/>
  <c r="C1083" i="8"/>
  <c r="B4238" i="8"/>
  <c r="B23" i="8"/>
  <c r="B3542" i="8"/>
  <c r="C3368" i="8"/>
  <c r="C4412" i="8"/>
  <c r="C1263" i="8"/>
  <c r="C3977" i="8"/>
  <c r="C2557" i="8"/>
  <c r="C2817" i="8"/>
  <c r="C4674" i="8"/>
  <c r="B4151" i="8"/>
  <c r="C1803" i="8"/>
  <c r="B2635" i="8"/>
  <c r="B2505" i="8"/>
  <c r="C2739" i="8"/>
  <c r="C4587" i="8"/>
  <c r="B3281" i="8"/>
  <c r="C2505" i="8"/>
  <c r="C23" i="8"/>
  <c r="B3107" i="8"/>
  <c r="B3020" i="8"/>
  <c r="B2869" i="8"/>
  <c r="B2557" i="8"/>
  <c r="C344" i="8"/>
  <c r="C1623" i="8"/>
  <c r="B2583" i="8"/>
  <c r="C1713" i="8"/>
  <c r="B3716" i="8"/>
  <c r="C2922" i="8"/>
  <c r="B543" i="8"/>
  <c r="B3629" i="8"/>
  <c r="B407" i="8"/>
  <c r="B3890" i="8"/>
  <c r="C3803" i="8"/>
  <c r="C408" i="8"/>
  <c r="C2531" i="8"/>
  <c r="B2531" i="8"/>
  <c r="B279" i="8"/>
  <c r="C152" i="8"/>
  <c r="C88" i="8"/>
  <c r="B4064" i="8"/>
  <c r="B3368" i="8"/>
  <c r="C1533" i="8"/>
  <c r="C1983" i="8"/>
  <c r="C4238" i="8"/>
  <c r="B2765" i="8"/>
  <c r="C4325" i="8"/>
  <c r="B4325" i="8"/>
  <c r="C3455" i="8"/>
  <c r="C4064" i="8"/>
  <c r="B2363" i="8"/>
  <c r="B3977" i="8"/>
  <c r="B4674" i="8"/>
  <c r="C2635" i="8"/>
  <c r="C2713" i="8"/>
  <c r="B3194" i="8"/>
  <c r="B343" i="8"/>
  <c r="C813" i="8"/>
  <c r="C2687" i="8"/>
  <c r="C280" i="8"/>
  <c r="C633" i="8"/>
  <c r="C543" i="8"/>
  <c r="C2661" i="8"/>
  <c r="C2765" i="8"/>
  <c r="C3281" i="8"/>
  <c r="C3629" i="8"/>
  <c r="C2609" i="8"/>
  <c r="B2609" i="8"/>
  <c r="B2975" i="8"/>
  <c r="C1353" i="8"/>
  <c r="C216" i="8"/>
  <c r="C2583" i="8"/>
  <c r="B2949" i="8"/>
  <c r="B2739" i="8"/>
  <c r="B2791" i="8"/>
  <c r="C3107" i="8"/>
  <c r="C3020" i="8"/>
  <c r="B2479" i="8"/>
  <c r="B2453" i="8"/>
  <c r="C2253" i="8"/>
  <c r="C3542" i="8"/>
  <c r="B151" i="8"/>
  <c r="B87" i="8"/>
  <c r="B2713" i="8"/>
  <c r="B2661" i="8"/>
  <c r="C2479" i="8"/>
  <c r="C2453" i="8"/>
  <c r="C2164" i="8"/>
  <c r="C2163" i="8"/>
  <c r="C723" i="8"/>
  <c r="C3716" i="8"/>
  <c r="H2503" i="8" a="1"/>
  <c r="F4063" i="8"/>
  <c r="H3453" i="8" a="1"/>
  <c r="F542" i="8"/>
  <c r="G1262" i="8"/>
  <c r="G2921" i="8"/>
  <c r="G1622" i="8"/>
  <c r="H3801" i="8" a="1"/>
  <c r="F3541" i="8"/>
  <c r="G3019" i="8"/>
  <c r="F2816" i="8"/>
  <c r="G1892" i="8"/>
  <c r="G472" i="8"/>
  <c r="G2162" i="8"/>
  <c r="H3279" i="8" a="1"/>
  <c r="G1172" i="8"/>
  <c r="F86" i="8"/>
  <c r="F3367" i="8"/>
  <c r="H2581" i="8" a="1"/>
  <c r="G4324" i="8"/>
  <c r="F2922" i="8"/>
  <c r="F2556" i="8"/>
  <c r="F4586" i="8"/>
  <c r="G407" i="8"/>
  <c r="G2478" i="8"/>
  <c r="H3888" i="8" a="1"/>
  <c r="G1532" i="8"/>
  <c r="G3976" i="8"/>
  <c r="G812" i="8"/>
  <c r="G87" i="8"/>
  <c r="H3366" i="8" a="1"/>
  <c r="G151" i="8"/>
  <c r="H2477" i="8" a="1"/>
  <c r="F22" i="8"/>
  <c r="F2582" i="8"/>
  <c r="G542" i="8"/>
  <c r="G1802" i="8"/>
  <c r="G4586" i="8"/>
  <c r="G3889" i="8"/>
  <c r="F2530" i="8"/>
  <c r="G2072" i="8"/>
  <c r="H3975" i="8" a="1"/>
  <c r="F2842" i="8"/>
  <c r="H2815" i="8" a="1"/>
  <c r="G2634" i="8"/>
  <c r="H2555" i="8" a="1"/>
  <c r="F4324" i="8"/>
  <c r="G3367" i="8"/>
  <c r="H3192" i="8" a="1"/>
  <c r="F2738" i="8"/>
  <c r="H3627" i="8" a="1"/>
  <c r="F3454" i="8"/>
  <c r="G3193" i="8"/>
  <c r="G279" i="8"/>
  <c r="G4237" i="8"/>
  <c r="F4499" i="8"/>
  <c r="G4499" i="8"/>
  <c r="H86" i="8" a="1"/>
  <c r="F3019" i="8"/>
  <c r="H342" i="8" a="1"/>
  <c r="F3193" i="8"/>
  <c r="H278" i="8" a="1"/>
  <c r="F214" i="8"/>
  <c r="G2073" i="8"/>
  <c r="F150" i="8"/>
  <c r="G1442" i="8"/>
  <c r="H406" i="8" a="1"/>
  <c r="G343" i="8"/>
  <c r="H4498" i="8" a="1"/>
  <c r="G2842" i="8"/>
  <c r="F3889" i="8"/>
  <c r="H2789" i="8" a="1"/>
  <c r="G3454" i="8"/>
  <c r="G215" i="8"/>
  <c r="G1352" i="8"/>
  <c r="F3280" i="8"/>
  <c r="H2659" i="8" a="1"/>
  <c r="F2764" i="8"/>
  <c r="H2894" i="8" a="1"/>
  <c r="G3280" i="8"/>
  <c r="G2556" i="8"/>
  <c r="F2790" i="8"/>
  <c r="F2686" i="8"/>
  <c r="H3540" i="8" a="1"/>
  <c r="F2608" i="8"/>
  <c r="H21" i="8" a="1"/>
  <c r="F342" i="8"/>
  <c r="F2452" i="8"/>
  <c r="G3106" i="8"/>
  <c r="F3976" i="8"/>
  <c r="H3018" i="8" a="1"/>
  <c r="F3802" i="8"/>
  <c r="F406" i="8"/>
  <c r="G2504" i="8"/>
  <c r="H2763" i="8" a="1"/>
  <c r="F2948" i="8"/>
  <c r="H214" i="8" a="1"/>
  <c r="G992" i="8"/>
  <c r="G2686" i="8"/>
  <c r="G902" i="8"/>
  <c r="G722" i="8"/>
  <c r="H150" i="8" a="1"/>
  <c r="G2790" i="8"/>
  <c r="H2607" i="8" a="1"/>
  <c r="F3628" i="8"/>
  <c r="F278" i="8"/>
  <c r="G3802" i="8"/>
  <c r="G2895" i="8"/>
  <c r="H2451" i="8" a="1"/>
  <c r="F4150" i="8"/>
  <c r="F3106" i="8"/>
  <c r="F2478" i="8"/>
  <c r="G3628" i="8"/>
  <c r="H4062" i="8" a="1"/>
  <c r="G1712" i="8"/>
  <c r="H2868" i="8" a="1"/>
  <c r="G2712" i="8"/>
  <c r="G2608" i="8"/>
  <c r="H4236" i="8" a="1"/>
  <c r="G3715" i="8"/>
  <c r="H541" i="8" a="1"/>
  <c r="G2582" i="8"/>
  <c r="H2685" i="8" a="1"/>
  <c r="G4063" i="8"/>
  <c r="F2362" i="8"/>
  <c r="F471" i="8"/>
  <c r="G3541" i="8"/>
  <c r="F2660" i="8"/>
  <c r="F4237" i="8"/>
  <c r="G2816" i="8"/>
  <c r="F2634" i="8"/>
  <c r="H2529" i="8" a="1"/>
  <c r="G2530" i="8"/>
  <c r="H3105" i="8" a="1"/>
  <c r="G2764" i="8"/>
  <c r="F2712" i="8"/>
  <c r="H3714" i="8" a="1"/>
  <c r="G22" i="8"/>
  <c r="H4149" i="8" a="1"/>
  <c r="G2660" i="8"/>
  <c r="H2711" i="8" a="1"/>
  <c r="F3715" i="8"/>
  <c r="G4150" i="8"/>
  <c r="H2737" i="8" a="1"/>
  <c r="F2504" i="8"/>
  <c r="G2738" i="8"/>
  <c r="G1082" i="8"/>
  <c r="F2975" i="8"/>
  <c r="G2452" i="8"/>
  <c r="H4411" i="8" a="1"/>
  <c r="G632" i="8"/>
  <c r="H2633" i="8" a="1"/>
  <c r="H3192" i="8" l="1"/>
  <c r="H2737" i="8"/>
  <c r="H406" i="8"/>
  <c r="H3018" i="8"/>
  <c r="H3801" i="8"/>
  <c r="H2633" i="8"/>
  <c r="H3888" i="8"/>
  <c r="H86" i="8"/>
  <c r="H2868" i="8"/>
  <c r="H4411" i="8"/>
  <c r="H3105" i="8"/>
  <c r="H4062" i="8"/>
  <c r="H2789" i="8"/>
  <c r="H2529" i="8"/>
  <c r="H3279" i="8"/>
  <c r="H2894" i="8"/>
  <c r="H2477" i="8"/>
  <c r="H214" i="8"/>
  <c r="H2685" i="8"/>
  <c r="H2555" i="8"/>
  <c r="H2711" i="8"/>
  <c r="H2659" i="8"/>
  <c r="H3366" i="8"/>
  <c r="H2763" i="8"/>
  <c r="H541" i="8"/>
  <c r="H2815" i="8"/>
  <c r="H4149" i="8"/>
  <c r="H278" i="8"/>
  <c r="H21" i="8"/>
  <c r="H3453" i="8"/>
  <c r="H2607" i="8"/>
  <c r="H4236" i="8"/>
  <c r="H3975" i="8"/>
  <c r="H3714" i="8"/>
  <c r="H342" i="8"/>
  <c r="H3540" i="8"/>
  <c r="H2503" i="8"/>
  <c r="H150" i="8"/>
  <c r="H2581" i="8"/>
  <c r="H3627" i="8"/>
  <c r="H2451" i="8"/>
  <c r="H4498" i="8"/>
  <c r="B2740" i="8"/>
  <c r="B2818" i="8"/>
  <c r="C2636" i="8"/>
  <c r="C904" i="8"/>
  <c r="C2255" i="8"/>
  <c r="C2506" i="8"/>
  <c r="B2454" i="8"/>
  <c r="B2480" i="8"/>
  <c r="C3108" i="8"/>
  <c r="C3021" i="8"/>
  <c r="C2610" i="8"/>
  <c r="C1444" i="8"/>
  <c r="B2636" i="8"/>
  <c r="C345" i="8"/>
  <c r="B3282" i="8"/>
  <c r="B4065" i="8"/>
  <c r="C4152" i="8"/>
  <c r="B4413" i="8"/>
  <c r="C2074" i="8"/>
  <c r="B3456" i="8"/>
  <c r="C153" i="8"/>
  <c r="C89" i="8"/>
  <c r="C1804" i="8"/>
  <c r="B2584" i="8"/>
  <c r="C24" i="8"/>
  <c r="B3369" i="8"/>
  <c r="B2662" i="8"/>
  <c r="B4239" i="8"/>
  <c r="C2844" i="8"/>
  <c r="C4500" i="8"/>
  <c r="B3630" i="8"/>
  <c r="B4326" i="8"/>
  <c r="C2896" i="8"/>
  <c r="B2714" i="8"/>
  <c r="B2870" i="8"/>
  <c r="C1534" i="8"/>
  <c r="C994" i="8"/>
  <c r="C814" i="8"/>
  <c r="C3630" i="8"/>
  <c r="C3717" i="8"/>
  <c r="C2792" i="8"/>
  <c r="C634" i="8"/>
  <c r="C544" i="8"/>
  <c r="C2714" i="8"/>
  <c r="C217" i="8"/>
  <c r="B2558" i="8"/>
  <c r="C473" i="8"/>
  <c r="B3978" i="8"/>
  <c r="B3717" i="8"/>
  <c r="C2949" i="8"/>
  <c r="C1714" i="8"/>
  <c r="B3021" i="8"/>
  <c r="B3108" i="8"/>
  <c r="B2532" i="8"/>
  <c r="C1984" i="8"/>
  <c r="C2870" i="8"/>
  <c r="B2688" i="8"/>
  <c r="C3195" i="8"/>
  <c r="B2766" i="8"/>
  <c r="C2254" i="8"/>
  <c r="B152" i="8"/>
  <c r="B88" i="8"/>
  <c r="B2506" i="8"/>
  <c r="B2976" i="8"/>
  <c r="C3369" i="8"/>
  <c r="C724" i="8"/>
  <c r="B408" i="8"/>
  <c r="C2740" i="8"/>
  <c r="B4762" i="8"/>
  <c r="B2364" i="8"/>
  <c r="C3543" i="8"/>
  <c r="C4413" i="8"/>
  <c r="C4326" i="8"/>
  <c r="C1624" i="8"/>
  <c r="B4152" i="8"/>
  <c r="C2558" i="8"/>
  <c r="C3891" i="8"/>
  <c r="B2896" i="8"/>
  <c r="B3195" i="8"/>
  <c r="C2532" i="8"/>
  <c r="C4675" i="8"/>
  <c r="C1894" i="8"/>
  <c r="C4762" i="8"/>
  <c r="C2584" i="8"/>
  <c r="C1354" i="8"/>
  <c r="C3456" i="8"/>
  <c r="B24" i="8"/>
  <c r="C1174" i="8"/>
  <c r="C4239" i="8"/>
  <c r="B4500" i="8"/>
  <c r="B3891" i="8"/>
  <c r="B280" i="8"/>
  <c r="C3282" i="8"/>
  <c r="C2975" i="8"/>
  <c r="C3978" i="8"/>
  <c r="B4675" i="8"/>
  <c r="C3804" i="8"/>
  <c r="C2480" i="8"/>
  <c r="C2454" i="8"/>
  <c r="B216" i="8"/>
  <c r="C2344" i="8"/>
  <c r="C281" i="8"/>
  <c r="C2688" i="8"/>
  <c r="C2662" i="8"/>
  <c r="B2792" i="8"/>
  <c r="B344" i="8"/>
  <c r="B472" i="8"/>
  <c r="B544" i="8"/>
  <c r="B3804" i="8"/>
  <c r="B2610" i="8"/>
  <c r="C409" i="8"/>
  <c r="C2766" i="8"/>
  <c r="C4065" i="8"/>
  <c r="C2818" i="8"/>
  <c r="B3543" i="8"/>
  <c r="B2844" i="8"/>
  <c r="C1264" i="8"/>
  <c r="C1084" i="8"/>
  <c r="H542" i="8" a="1"/>
  <c r="G723" i="8"/>
  <c r="G3194" i="8"/>
  <c r="F2557" i="8"/>
  <c r="G1083" i="8"/>
  <c r="H2556" i="8" a="1"/>
  <c r="F2635" i="8"/>
  <c r="G2505" i="8"/>
  <c r="F2765" i="8"/>
  <c r="H2530" i="8" a="1"/>
  <c r="G3281" i="8"/>
  <c r="H3454" i="8" a="1"/>
  <c r="G1443" i="8"/>
  <c r="F543" i="8"/>
  <c r="H2504" i="8" a="1"/>
  <c r="G152" i="8"/>
  <c r="F472" i="8"/>
  <c r="G2583" i="8"/>
  <c r="F23" i="8"/>
  <c r="G1713" i="8"/>
  <c r="G813" i="8"/>
  <c r="F4064" i="8"/>
  <c r="H151" i="8" a="1"/>
  <c r="G1893" i="8"/>
  <c r="G2344" i="8"/>
  <c r="G3020" i="8"/>
  <c r="G633" i="8"/>
  <c r="H2686" i="8" a="1"/>
  <c r="F3803" i="8"/>
  <c r="F2687" i="8"/>
  <c r="G4151" i="8"/>
  <c r="G88" i="8"/>
  <c r="G3368" i="8"/>
  <c r="H2712" i="8" a="1"/>
  <c r="F3368" i="8"/>
  <c r="F2869" i="8"/>
  <c r="H2816" i="8" a="1"/>
  <c r="F2505" i="8"/>
  <c r="G3890" i="8"/>
  <c r="G2817" i="8"/>
  <c r="H3628" i="8" a="1"/>
  <c r="G4762" i="8"/>
  <c r="F4762" i="8"/>
  <c r="G2661" i="8"/>
  <c r="F3455" i="8"/>
  <c r="H2478" i="8" a="1"/>
  <c r="F2479" i="8"/>
  <c r="H3019" i="8" a="1"/>
  <c r="F4238" i="8"/>
  <c r="F279" i="8"/>
  <c r="H2582" i="8" a="1"/>
  <c r="G543" i="8"/>
  <c r="H343" i="8" a="1"/>
  <c r="G3542" i="8"/>
  <c r="H22" i="8" a="1"/>
  <c r="G4238" i="8"/>
  <c r="H4237" i="8" a="1"/>
  <c r="G1623" i="8"/>
  <c r="F4587" i="8"/>
  <c r="F2453" i="8"/>
  <c r="F2949" i="8"/>
  <c r="H3889" i="8" a="1"/>
  <c r="F3542" i="8"/>
  <c r="F407" i="8"/>
  <c r="G2253" i="8"/>
  <c r="G1983" i="8"/>
  <c r="G4674" i="8"/>
  <c r="G2164" i="8"/>
  <c r="G1803" i="8"/>
  <c r="H2608" i="8" a="1"/>
  <c r="F4325" i="8"/>
  <c r="G1533" i="8"/>
  <c r="H2634" i="8" a="1"/>
  <c r="H3367" i="8" a="1"/>
  <c r="F2739" i="8"/>
  <c r="G2791" i="8"/>
  <c r="G4412" i="8"/>
  <c r="G216" i="8"/>
  <c r="G2948" i="8"/>
  <c r="G3107" i="8"/>
  <c r="H3802" i="8" a="1"/>
  <c r="H2660" i="8" a="1"/>
  <c r="G3455" i="8"/>
  <c r="H3106" i="8" a="1"/>
  <c r="F3629" i="8"/>
  <c r="F215" i="8"/>
  <c r="G2609" i="8"/>
  <c r="F87" i="8"/>
  <c r="H3193" i="8" a="1"/>
  <c r="F3716" i="8"/>
  <c r="G4064" i="8"/>
  <c r="G4587" i="8"/>
  <c r="H2790" i="8" a="1"/>
  <c r="G2531" i="8"/>
  <c r="H3541" i="8" a="1"/>
  <c r="F3977" i="8"/>
  <c r="G4325" i="8"/>
  <c r="H2452" i="8" a="1"/>
  <c r="F2531" i="8"/>
  <c r="G1173" i="8"/>
  <c r="H2764" i="8" a="1"/>
  <c r="F3020" i="8"/>
  <c r="F2583" i="8"/>
  <c r="F4151" i="8"/>
  <c r="F151" i="8"/>
  <c r="H2921" i="8" a="1"/>
  <c r="F2843" i="8"/>
  <c r="F4412" i="8"/>
  <c r="H2842" i="8" a="1"/>
  <c r="H407" i="8" a="1"/>
  <c r="F4674" i="8"/>
  <c r="H4499" i="8" a="1"/>
  <c r="G473" i="8"/>
  <c r="G993" i="8"/>
  <c r="F2713" i="8"/>
  <c r="G2843" i="8"/>
  <c r="G23" i="8"/>
  <c r="F3194" i="8"/>
  <c r="F3107" i="8"/>
  <c r="H87" i="8" a="1"/>
  <c r="F2976" i="8"/>
  <c r="H215" i="8" a="1"/>
  <c r="G280" i="8"/>
  <c r="F2363" i="8"/>
  <c r="G2687" i="8"/>
  <c r="H2895" i="8" a="1"/>
  <c r="F3890" i="8"/>
  <c r="G3716" i="8"/>
  <c r="F3281" i="8"/>
  <c r="G2975" i="8"/>
  <c r="H3280" i="8" a="1"/>
  <c r="G2869" i="8"/>
  <c r="G2557" i="8"/>
  <c r="H3715" i="8" a="1"/>
  <c r="G2163" i="8"/>
  <c r="G2739" i="8"/>
  <c r="H4063" i="8" a="1"/>
  <c r="F343" i="8"/>
  <c r="H4150" i="8" a="1"/>
  <c r="G3629" i="8"/>
  <c r="F2817" i="8"/>
  <c r="H4324" i="8" a="1"/>
  <c r="G408" i="8"/>
  <c r="H3976" i="8" a="1"/>
  <c r="G2922" i="8"/>
  <c r="F2609" i="8"/>
  <c r="G3803" i="8"/>
  <c r="H279" i="8" a="1"/>
  <c r="F2661" i="8"/>
  <c r="H471" i="8" a="1"/>
  <c r="G1353" i="8"/>
  <c r="G2713" i="8"/>
  <c r="H4586" i="8" a="1"/>
  <c r="G2765" i="8"/>
  <c r="G344" i="8"/>
  <c r="G2479" i="8"/>
  <c r="G3977" i="8"/>
  <c r="G2635" i="8"/>
  <c r="G903" i="8"/>
  <c r="F2791" i="8"/>
  <c r="G2453" i="8"/>
  <c r="H2738" i="8" a="1"/>
  <c r="G1263" i="8"/>
  <c r="H2842" i="8" l="1"/>
  <c r="H3715" i="8"/>
  <c r="H3193" i="8"/>
  <c r="H2816" i="8"/>
  <c r="H2634" i="8"/>
  <c r="H2452" i="8"/>
  <c r="H3802" i="8"/>
  <c r="H4586" i="8"/>
  <c r="H2686" i="8"/>
  <c r="H3889" i="8"/>
  <c r="H343" i="8"/>
  <c r="H2738" i="8"/>
  <c r="H3976" i="8"/>
  <c r="H4324" i="8"/>
  <c r="H2504" i="8"/>
  <c r="H2582" i="8"/>
  <c r="H3628" i="8"/>
  <c r="H2921" i="8"/>
  <c r="H3280" i="8"/>
  <c r="H2556" i="8"/>
  <c r="H2712" i="8"/>
  <c r="H2608" i="8"/>
  <c r="H3541" i="8"/>
  <c r="H215" i="8"/>
  <c r="H471" i="8"/>
  <c r="H2790" i="8"/>
  <c r="H87" i="8"/>
  <c r="H279" i="8"/>
  <c r="H151" i="8"/>
  <c r="H4237" i="8"/>
  <c r="H3106" i="8"/>
  <c r="H4499" i="8"/>
  <c r="H4150" i="8"/>
  <c r="H3454" i="8"/>
  <c r="H3019" i="8"/>
  <c r="H22" i="8"/>
  <c r="H2660" i="8"/>
  <c r="H407" i="8"/>
  <c r="H4063" i="8"/>
  <c r="H2530" i="8"/>
  <c r="H2478" i="8"/>
  <c r="H3367" i="8"/>
  <c r="H2764" i="8"/>
  <c r="H2895" i="8"/>
  <c r="H542" i="8"/>
  <c r="C4153" i="8"/>
  <c r="B3892" i="8"/>
  <c r="C1175" i="8"/>
  <c r="B2871" i="8"/>
  <c r="C346" i="8"/>
  <c r="B281" i="8"/>
  <c r="C1445" i="8"/>
  <c r="B3631" i="8"/>
  <c r="C2455" i="8"/>
  <c r="C2481" i="8"/>
  <c r="C3892" i="8"/>
  <c r="C4066" i="8"/>
  <c r="C3370" i="8"/>
  <c r="B3979" i="8"/>
  <c r="C4327" i="8"/>
  <c r="C4763" i="8"/>
  <c r="B3283" i="8"/>
  <c r="C3979" i="8"/>
  <c r="B4240" i="8"/>
  <c r="C4414" i="8"/>
  <c r="C3631" i="8"/>
  <c r="B473" i="8"/>
  <c r="C3457" i="8"/>
  <c r="B2533" i="8"/>
  <c r="C2897" i="8"/>
  <c r="B3109" i="8"/>
  <c r="B3022" i="8"/>
  <c r="B4066" i="8"/>
  <c r="C1085" i="8"/>
  <c r="B2897" i="8"/>
  <c r="C2923" i="8"/>
  <c r="B2689" i="8"/>
  <c r="C218" i="8"/>
  <c r="C2165" i="8"/>
  <c r="C4240" i="8"/>
  <c r="B3370" i="8"/>
  <c r="B2663" i="8"/>
  <c r="B2507" i="8"/>
  <c r="C995" i="8"/>
  <c r="B2819" i="8"/>
  <c r="C2715" i="8"/>
  <c r="C1265" i="8"/>
  <c r="C3544" i="8"/>
  <c r="C1985" i="8"/>
  <c r="C2585" i="8"/>
  <c r="C2345" i="8"/>
  <c r="C3283" i="8"/>
  <c r="B2559" i="8"/>
  <c r="C1805" i="8"/>
  <c r="B3805" i="8"/>
  <c r="C2819" i="8"/>
  <c r="C3718" i="8"/>
  <c r="B3718" i="8"/>
  <c r="C2871" i="8"/>
  <c r="C25" i="8"/>
  <c r="C1895" i="8"/>
  <c r="C2346" i="8"/>
  <c r="C1355" i="8"/>
  <c r="C474" i="8"/>
  <c r="C2845" i="8"/>
  <c r="C2793" i="8"/>
  <c r="B2637" i="8"/>
  <c r="C2689" i="8"/>
  <c r="C2507" i="8"/>
  <c r="B4763" i="8"/>
  <c r="B345" i="8"/>
  <c r="B4588" i="8"/>
  <c r="C2611" i="8"/>
  <c r="C2559" i="8"/>
  <c r="B2923" i="8"/>
  <c r="C1715" i="8"/>
  <c r="C4501" i="8"/>
  <c r="B2365" i="8"/>
  <c r="C2767" i="8"/>
  <c r="C815" i="8"/>
  <c r="B153" i="8"/>
  <c r="B89" i="8"/>
  <c r="B2793" i="8"/>
  <c r="B3196" i="8"/>
  <c r="C282" i="8"/>
  <c r="C545" i="8"/>
  <c r="C635" i="8"/>
  <c r="C905" i="8"/>
  <c r="B2741" i="8"/>
  <c r="B3544" i="8"/>
  <c r="B4501" i="8"/>
  <c r="B4153" i="8"/>
  <c r="C410" i="8"/>
  <c r="C1535" i="8"/>
  <c r="C3022" i="8"/>
  <c r="C3109" i="8"/>
  <c r="B2481" i="8"/>
  <c r="B2455" i="8"/>
  <c r="C2663" i="8"/>
  <c r="B2767" i="8"/>
  <c r="B545" i="8"/>
  <c r="B409" i="8"/>
  <c r="B25" i="8"/>
  <c r="B217" i="8"/>
  <c r="B2715" i="8"/>
  <c r="C2075" i="8"/>
  <c r="C2976" i="8"/>
  <c r="B2585" i="8"/>
  <c r="C2741" i="8"/>
  <c r="C725" i="8"/>
  <c r="C3805" i="8"/>
  <c r="C1625" i="8"/>
  <c r="B4414" i="8"/>
  <c r="C4588" i="8"/>
  <c r="B4327" i="8"/>
  <c r="B3457" i="8"/>
  <c r="B2611" i="8"/>
  <c r="C154" i="8"/>
  <c r="C90" i="8"/>
  <c r="C2637" i="8"/>
  <c r="C3196" i="8"/>
  <c r="C2533" i="8"/>
  <c r="B2845" i="8"/>
  <c r="H2557" i="8" a="1"/>
  <c r="G3456" i="8"/>
  <c r="G4500" i="8"/>
  <c r="G2896" i="8"/>
  <c r="F2364" i="8"/>
  <c r="H216" i="8" a="1"/>
  <c r="F2662" i="8"/>
  <c r="G3108" i="8"/>
  <c r="F2532" i="8"/>
  <c r="H2922" i="8" a="1"/>
  <c r="F408" i="8"/>
  <c r="G2610" i="8"/>
  <c r="F216" i="8"/>
  <c r="F4675" i="8"/>
  <c r="H2453" i="8" a="1"/>
  <c r="G3369" i="8"/>
  <c r="G2636" i="8"/>
  <c r="H4587" i="8" a="1"/>
  <c r="F3717" i="8"/>
  <c r="F4326" i="8"/>
  <c r="H2817" i="8" a="1"/>
  <c r="G994" i="8"/>
  <c r="G2506" i="8"/>
  <c r="F3543" i="8"/>
  <c r="F4500" i="8"/>
  <c r="H2843" i="8" a="1"/>
  <c r="G2870" i="8"/>
  <c r="G2976" i="8"/>
  <c r="H3281" i="8" a="1"/>
  <c r="G2949" i="8"/>
  <c r="F3804" i="8"/>
  <c r="F88" i="8"/>
  <c r="H543" i="8" a="1"/>
  <c r="F3630" i="8"/>
  <c r="F344" i="8"/>
  <c r="G3804" i="8"/>
  <c r="G2584" i="8"/>
  <c r="H2869" i="8" a="1"/>
  <c r="G2074" i="8"/>
  <c r="F544" i="8"/>
  <c r="F473" i="8"/>
  <c r="H472" i="8" a="1"/>
  <c r="F2558" i="8"/>
  <c r="G2766" i="8"/>
  <c r="H2661" i="8" a="1"/>
  <c r="F3456" i="8"/>
  <c r="G2254" i="8"/>
  <c r="G2714" i="8"/>
  <c r="G1444" i="8"/>
  <c r="G3543" i="8"/>
  <c r="F280" i="8"/>
  <c r="H4412" i="8" a="1"/>
  <c r="G217" i="8"/>
  <c r="F2480" i="8"/>
  <c r="F2688" i="8"/>
  <c r="F2454" i="8"/>
  <c r="G409" i="8"/>
  <c r="H3890" i="8" a="1"/>
  <c r="G814" i="8"/>
  <c r="H280" i="8" a="1"/>
  <c r="F2636" i="8"/>
  <c r="H2583" i="8" a="1"/>
  <c r="F24" i="8"/>
  <c r="H2344" i="8" a="1"/>
  <c r="G474" i="8"/>
  <c r="H2687" i="8" a="1"/>
  <c r="G904" i="8"/>
  <c r="G345" i="8"/>
  <c r="H3455" i="8" a="1"/>
  <c r="G3630" i="8"/>
  <c r="H2948" i="8" a="1"/>
  <c r="G4413" i="8"/>
  <c r="H2713" i="8" a="1"/>
  <c r="G1714" i="8"/>
  <c r="H2635" i="8" a="1"/>
  <c r="G153" i="8"/>
  <c r="G724" i="8"/>
  <c r="H88" i="8" a="1"/>
  <c r="G1174" i="8"/>
  <c r="H3107" i="8" a="1"/>
  <c r="G281" i="8"/>
  <c r="G2480" i="8"/>
  <c r="G1984" i="8"/>
  <c r="H152" i="8" a="1"/>
  <c r="G2792" i="8"/>
  <c r="H344" i="8" a="1"/>
  <c r="G4152" i="8"/>
  <c r="F2766" i="8"/>
  <c r="H2791" i="8" a="1"/>
  <c r="G1894" i="8"/>
  <c r="H3542" i="8" a="1"/>
  <c r="G2454" i="8"/>
  <c r="H2739" i="8" a="1"/>
  <c r="G3891" i="8"/>
  <c r="H4238" i="8" a="1"/>
  <c r="F4152" i="8"/>
  <c r="H3629" i="8" a="1"/>
  <c r="F3282" i="8"/>
  <c r="F4065" i="8"/>
  <c r="F2714" i="8"/>
  <c r="F2818" i="8"/>
  <c r="H2975" i="8" a="1"/>
  <c r="G4675" i="8"/>
  <c r="H4151" i="8" a="1"/>
  <c r="F3195" i="8"/>
  <c r="H2531" i="8" a="1"/>
  <c r="G2346" i="8"/>
  <c r="H4674" i="8" a="1"/>
  <c r="H3716" i="8" a="1"/>
  <c r="G3978" i="8"/>
  <c r="G544" i="8"/>
  <c r="H3368" i="8" a="1"/>
  <c r="G24" i="8"/>
  <c r="G634" i="8"/>
  <c r="G3282" i="8"/>
  <c r="G2740" i="8"/>
  <c r="H2609" i="8" a="1"/>
  <c r="G3717" i="8"/>
  <c r="H3194" i="8" a="1"/>
  <c r="F4763" i="8"/>
  <c r="H23" i="8" a="1"/>
  <c r="G2558" i="8"/>
  <c r="G3021" i="8"/>
  <c r="H4064" i="8" a="1"/>
  <c r="G2844" i="8"/>
  <c r="H4325" i="8" a="1"/>
  <c r="F2506" i="8"/>
  <c r="F3108" i="8"/>
  <c r="F2792" i="8"/>
  <c r="H3803" i="8" a="1"/>
  <c r="G2532" i="8"/>
  <c r="H2505" i="8" a="1"/>
  <c r="G3195" i="8"/>
  <c r="F2740" i="8"/>
  <c r="G1354" i="8"/>
  <c r="F2610" i="8"/>
  <c r="H408" i="8" a="1"/>
  <c r="F3978" i="8"/>
  <c r="H2479" i="8" a="1"/>
  <c r="G2688" i="8"/>
  <c r="F152" i="8"/>
  <c r="F3021" i="8"/>
  <c r="G1624" i="8"/>
  <c r="H3020" i="8" a="1"/>
  <c r="F2870" i="8"/>
  <c r="G89" i="8"/>
  <c r="G4065" i="8"/>
  <c r="G1264" i="8"/>
  <c r="F2584" i="8"/>
  <c r="G2818" i="8"/>
  <c r="F3369" i="8"/>
  <c r="H3977" i="8" a="1"/>
  <c r="G4326" i="8"/>
  <c r="G1534" i="8"/>
  <c r="F2844" i="8"/>
  <c r="G2662" i="8"/>
  <c r="H2765" i="8" a="1"/>
  <c r="G1084" i="8"/>
  <c r="F3891" i="8"/>
  <c r="G2255" i="8"/>
  <c r="G4239" i="8"/>
  <c r="F4413" i="8"/>
  <c r="G4763" i="8"/>
  <c r="F4239" i="8"/>
  <c r="G1804" i="8"/>
  <c r="H4762" i="8" a="1"/>
  <c r="G2345" i="8"/>
  <c r="F2896" i="8"/>
  <c r="H472" i="8" l="1"/>
  <c r="H3281" i="8"/>
  <c r="H4587" i="8"/>
  <c r="H3716" i="8"/>
  <c r="H3629" i="8"/>
  <c r="H2531" i="8"/>
  <c r="H2975" i="8"/>
  <c r="H2609" i="8"/>
  <c r="H2869" i="8"/>
  <c r="H408" i="8"/>
  <c r="H4325" i="8"/>
  <c r="H2948" i="8"/>
  <c r="H2583" i="8"/>
  <c r="H3542" i="8"/>
  <c r="H3107" i="8"/>
  <c r="H4064" i="8"/>
  <c r="H3455" i="8"/>
  <c r="H4674" i="8"/>
  <c r="H2791" i="8"/>
  <c r="H88" i="8"/>
  <c r="H216" i="8"/>
  <c r="H3020" i="8"/>
  <c r="H2843" i="8"/>
  <c r="H2453" i="8"/>
  <c r="H2765" i="8"/>
  <c r="H2661" i="8"/>
  <c r="H3890" i="8"/>
  <c r="H4238" i="8"/>
  <c r="H4151" i="8"/>
  <c r="H4412" i="8"/>
  <c r="H3368" i="8"/>
  <c r="H543" i="8"/>
  <c r="H2505" i="8"/>
  <c r="H23" i="8"/>
  <c r="H2687" i="8"/>
  <c r="H4762" i="8"/>
  <c r="H344" i="8"/>
  <c r="H2635" i="8"/>
  <c r="H3803" i="8"/>
  <c r="H3194" i="8"/>
  <c r="H2344" i="8"/>
  <c r="H280" i="8"/>
  <c r="H152" i="8"/>
  <c r="H2713" i="8"/>
  <c r="H2557" i="8"/>
  <c r="H2479" i="8"/>
  <c r="H2817" i="8"/>
  <c r="H2922" i="8"/>
  <c r="H3977" i="8"/>
  <c r="H2739" i="8"/>
  <c r="C1716" i="8"/>
  <c r="C2560" i="8"/>
  <c r="C2664" i="8"/>
  <c r="C2690" i="8"/>
  <c r="B2508" i="8"/>
  <c r="B4241" i="8"/>
  <c r="B3632" i="8"/>
  <c r="C996" i="8"/>
  <c r="C636" i="8"/>
  <c r="C546" i="8"/>
  <c r="B154" i="8"/>
  <c r="B90" i="8"/>
  <c r="C2794" i="8"/>
  <c r="C2638" i="8"/>
  <c r="B2664" i="8"/>
  <c r="C2898" i="8"/>
  <c r="C3806" i="8"/>
  <c r="C2076" i="8"/>
  <c r="C1356" i="8"/>
  <c r="B2716" i="8"/>
  <c r="B2924" i="8"/>
  <c r="B3197" i="8"/>
  <c r="C4502" i="8"/>
  <c r="C4067" i="8"/>
  <c r="B4067" i="8"/>
  <c r="C4154" i="8"/>
  <c r="C1536" i="8"/>
  <c r="B2872" i="8"/>
  <c r="B2638" i="8"/>
  <c r="B4415" i="8"/>
  <c r="B4502" i="8"/>
  <c r="C3893" i="8"/>
  <c r="C2768" i="8"/>
  <c r="B2742" i="8"/>
  <c r="B26" i="8"/>
  <c r="B546" i="8"/>
  <c r="C3197" i="8"/>
  <c r="C1626" i="8"/>
  <c r="B2820" i="8"/>
  <c r="B218" i="8"/>
  <c r="C4589" i="8"/>
  <c r="B2950" i="8"/>
  <c r="B410" i="8"/>
  <c r="C2534" i="8"/>
  <c r="C2872" i="8"/>
  <c r="C1446" i="8"/>
  <c r="C1986" i="8"/>
  <c r="B3893" i="8"/>
  <c r="B2586" i="8"/>
  <c r="B2846" i="8"/>
  <c r="B2534" i="8"/>
  <c r="B3458" i="8"/>
  <c r="C2256" i="8"/>
  <c r="B4154" i="8"/>
  <c r="C2482" i="8"/>
  <c r="C2456" i="8"/>
  <c r="C411" i="8"/>
  <c r="C1266" i="8"/>
  <c r="C4241" i="8"/>
  <c r="C3284" i="8"/>
  <c r="C155" i="8"/>
  <c r="C91" i="8"/>
  <c r="B2612" i="8"/>
  <c r="B2482" i="8"/>
  <c r="B2456" i="8"/>
  <c r="B2768" i="8"/>
  <c r="C726" i="8"/>
  <c r="C347" i="8"/>
  <c r="C2586" i="8"/>
  <c r="C2846" i="8"/>
  <c r="C1896" i="8"/>
  <c r="C3632" i="8"/>
  <c r="C2742" i="8"/>
  <c r="C1176" i="8"/>
  <c r="C2924" i="8"/>
  <c r="C3545" i="8"/>
  <c r="C3719" i="8"/>
  <c r="B4328" i="8"/>
  <c r="B3371" i="8"/>
  <c r="C4415" i="8"/>
  <c r="C3458" i="8"/>
  <c r="C3980" i="8"/>
  <c r="B3980" i="8"/>
  <c r="C219" i="8"/>
  <c r="B3545" i="8"/>
  <c r="C4676" i="8"/>
  <c r="C816" i="8"/>
  <c r="C2166" i="8"/>
  <c r="B282" i="8"/>
  <c r="B474" i="8"/>
  <c r="B2794" i="8"/>
  <c r="C3110" i="8"/>
  <c r="C3023" i="8"/>
  <c r="C475" i="8"/>
  <c r="B4589" i="8"/>
  <c r="B3284" i="8"/>
  <c r="C906" i="8"/>
  <c r="B2366" i="8"/>
  <c r="C1806" i="8"/>
  <c r="B4676" i="8"/>
  <c r="C2716" i="8"/>
  <c r="C2820" i="8"/>
  <c r="C26" i="8"/>
  <c r="B3806" i="8"/>
  <c r="C3371" i="8"/>
  <c r="C2612" i="8"/>
  <c r="C1086" i="8"/>
  <c r="B2690" i="8"/>
  <c r="C4328" i="8"/>
  <c r="C283" i="8"/>
  <c r="C2950" i="8"/>
  <c r="B3110" i="8"/>
  <c r="B3023" i="8"/>
  <c r="B2560" i="8"/>
  <c r="C2508" i="8"/>
  <c r="B3719" i="8"/>
  <c r="B346" i="8"/>
  <c r="B2898" i="8"/>
  <c r="H2949" i="8" a="1"/>
  <c r="G90" i="8"/>
  <c r="H4763" i="8" a="1"/>
  <c r="F2481" i="8"/>
  <c r="F4066" i="8"/>
  <c r="H2740" i="8" a="1"/>
  <c r="G3109" i="8"/>
  <c r="F3022" i="8"/>
  <c r="G2533" i="8"/>
  <c r="G1895" i="8"/>
  <c r="G4327" i="8"/>
  <c r="G1355" i="8"/>
  <c r="F3196" i="8"/>
  <c r="H3891" i="8" a="1"/>
  <c r="F2923" i="8"/>
  <c r="H4413" i="8" a="1"/>
  <c r="G2767" i="8"/>
  <c r="F3718" i="8"/>
  <c r="H544" i="8" a="1"/>
  <c r="G3544" i="8"/>
  <c r="G3805" i="8"/>
  <c r="G3283" i="8"/>
  <c r="H4152" i="8" a="1"/>
  <c r="F545" i="8"/>
  <c r="G475" i="8"/>
  <c r="H4675" i="8" a="1"/>
  <c r="F2365" i="8"/>
  <c r="H2558" i="8" a="1"/>
  <c r="G2741" i="8"/>
  <c r="G3892" i="8"/>
  <c r="H4326" i="8" a="1"/>
  <c r="F4501" i="8"/>
  <c r="H3021" i="8" a="1"/>
  <c r="G3979" i="8"/>
  <c r="G3370" i="8"/>
  <c r="H153" i="8" a="1"/>
  <c r="G2819" i="8"/>
  <c r="H2584" i="8" a="1"/>
  <c r="F3979" i="8"/>
  <c r="G3457" i="8"/>
  <c r="F4240" i="8"/>
  <c r="H2976" i="8" a="1"/>
  <c r="H3978" i="8" a="1"/>
  <c r="G1175" i="8"/>
  <c r="F2637" i="8"/>
  <c r="G2075" i="8"/>
  <c r="H4239" i="8" a="1"/>
  <c r="F3892" i="8"/>
  <c r="H3630" i="8" a="1"/>
  <c r="G1985" i="8"/>
  <c r="G2897" i="8"/>
  <c r="H345" i="8" a="1"/>
  <c r="G346" i="8"/>
  <c r="H2480" i="8" a="1"/>
  <c r="G3718" i="8"/>
  <c r="G282" i="8"/>
  <c r="H2818" i="8" a="1"/>
  <c r="F2455" i="8"/>
  <c r="H4065" i="8" a="1"/>
  <c r="F3544" i="8"/>
  <c r="G3196" i="8"/>
  <c r="H2345" i="8" a="1"/>
  <c r="F2559" i="8"/>
  <c r="F281" i="8"/>
  <c r="F4153" i="8"/>
  <c r="G995" i="8"/>
  <c r="F2819" i="8"/>
  <c r="F2663" i="8"/>
  <c r="G1625" i="8"/>
  <c r="F3805" i="8"/>
  <c r="H2454" i="8" a="1"/>
  <c r="F2897" i="8"/>
  <c r="G2585" i="8"/>
  <c r="H2792" i="8" a="1"/>
  <c r="F345" i="8"/>
  <c r="F409" i="8"/>
  <c r="F2715" i="8"/>
  <c r="G4240" i="8"/>
  <c r="H2610" i="8" a="1"/>
  <c r="G1535" i="8"/>
  <c r="F3631" i="8"/>
  <c r="G2663" i="8"/>
  <c r="F4588" i="8"/>
  <c r="H2896" i="8" a="1"/>
  <c r="F25" i="8"/>
  <c r="G154" i="8"/>
  <c r="G1715" i="8"/>
  <c r="F3370" i="8"/>
  <c r="G218" i="8"/>
  <c r="G2845" i="8"/>
  <c r="G2165" i="8"/>
  <c r="G2481" i="8"/>
  <c r="G2611" i="8"/>
  <c r="G2689" i="8"/>
  <c r="H2662" i="8" a="1"/>
  <c r="F2845" i="8"/>
  <c r="F3457" i="8"/>
  <c r="H2346" i="8" a="1"/>
  <c r="F474" i="8"/>
  <c r="H3543" i="8" a="1"/>
  <c r="G1445" i="8"/>
  <c r="G4588" i="8"/>
  <c r="H2506" i="8" a="1"/>
  <c r="F2767" i="8"/>
  <c r="H2870" i="8" a="1"/>
  <c r="F2689" i="8"/>
  <c r="G3631" i="8"/>
  <c r="H2766" i="8" a="1"/>
  <c r="G4153" i="8"/>
  <c r="H281" i="8" a="1"/>
  <c r="G1265" i="8"/>
  <c r="H3108" i="8" a="1"/>
  <c r="G2559" i="8"/>
  <c r="H89" i="8" a="1"/>
  <c r="F89" i="8"/>
  <c r="G635" i="8"/>
  <c r="H3369" i="8" a="1"/>
  <c r="F2507" i="8"/>
  <c r="F2533" i="8"/>
  <c r="G905" i="8"/>
  <c r="H473" i="8" a="1"/>
  <c r="G2923" i="8"/>
  <c r="G2455" i="8"/>
  <c r="F2871" i="8"/>
  <c r="G2637" i="8"/>
  <c r="F2611" i="8"/>
  <c r="G815" i="8"/>
  <c r="F2741" i="8"/>
  <c r="G2507" i="8"/>
  <c r="G725" i="8"/>
  <c r="H3456" i="8" a="1"/>
  <c r="F153" i="8"/>
  <c r="H3717" i="8" a="1"/>
  <c r="G545" i="8"/>
  <c r="G2793" i="8"/>
  <c r="H4500" i="8" a="1"/>
  <c r="F2793" i="8"/>
  <c r="G4501" i="8"/>
  <c r="G4066" i="8"/>
  <c r="G25" i="8"/>
  <c r="H24" i="8" a="1"/>
  <c r="F4327" i="8"/>
  <c r="F217" i="8"/>
  <c r="H2688" i="8" a="1"/>
  <c r="G410" i="8"/>
  <c r="H409" i="8" a="1"/>
  <c r="F4414" i="8"/>
  <c r="H2532" i="8" a="1"/>
  <c r="G3022" i="8"/>
  <c r="H3282" i="8" a="1"/>
  <c r="F3109" i="8"/>
  <c r="F3283" i="8"/>
  <c r="H3195" i="8" a="1"/>
  <c r="F2585" i="8"/>
  <c r="H2636" i="8" a="1"/>
  <c r="G4414" i="8"/>
  <c r="G1085" i="8"/>
  <c r="H2844" i="8" a="1"/>
  <c r="G2715" i="8"/>
  <c r="H217" i="8" a="1"/>
  <c r="G2871" i="8"/>
  <c r="G1805" i="8"/>
  <c r="H3804" i="8" a="1"/>
  <c r="H2714" i="8" a="1"/>
  <c r="H473" i="8" l="1"/>
  <c r="H3978" i="8"/>
  <c r="H2792" i="8"/>
  <c r="H544" i="8"/>
  <c r="H4500" i="8"/>
  <c r="H2896" i="8"/>
  <c r="H2558" i="8"/>
  <c r="H409" i="8"/>
  <c r="H3543" i="8"/>
  <c r="H2584" i="8"/>
  <c r="H2636" i="8"/>
  <c r="H281" i="8"/>
  <c r="H2480" i="8"/>
  <c r="H2714" i="8"/>
  <c r="H4675" i="8"/>
  <c r="H2688" i="8"/>
  <c r="H2346" i="8"/>
  <c r="H153" i="8"/>
  <c r="H3195" i="8"/>
  <c r="H2766" i="8"/>
  <c r="H345" i="8"/>
  <c r="H3804" i="8"/>
  <c r="H3369" i="8"/>
  <c r="H2345" i="8"/>
  <c r="H2740" i="8"/>
  <c r="H2976" i="8"/>
  <c r="H2454" i="8"/>
  <c r="H4413" i="8"/>
  <c r="H3717" i="8"/>
  <c r="H3891" i="8"/>
  <c r="H3456" i="8"/>
  <c r="H2610" i="8"/>
  <c r="H4152" i="8"/>
  <c r="H24" i="8"/>
  <c r="H2662" i="8"/>
  <c r="H3021" i="8"/>
  <c r="H3282" i="8"/>
  <c r="H2870" i="8"/>
  <c r="H3630" i="8"/>
  <c r="H217" i="8"/>
  <c r="H89" i="8"/>
  <c r="H4065" i="8"/>
  <c r="H4763" i="8"/>
  <c r="H4326" i="8"/>
  <c r="H2532" i="8"/>
  <c r="H2506" i="8"/>
  <c r="H4239" i="8"/>
  <c r="H2844" i="8"/>
  <c r="H3108" i="8"/>
  <c r="H2818" i="8"/>
  <c r="H2949" i="8"/>
  <c r="C4416" i="8"/>
  <c r="C3459" i="8"/>
  <c r="C27" i="8"/>
  <c r="C2743" i="8"/>
  <c r="B4677" i="8"/>
  <c r="C3111" i="8"/>
  <c r="C3024" i="8"/>
  <c r="C2873" i="8"/>
  <c r="B2509" i="8"/>
  <c r="C156" i="8"/>
  <c r="C92" i="8"/>
  <c r="C2483" i="8"/>
  <c r="C2457" i="8"/>
  <c r="C2347" i="8"/>
  <c r="B2561" i="8"/>
  <c r="B2613" i="8"/>
  <c r="C3285" i="8"/>
  <c r="B2665" i="8"/>
  <c r="B2951" i="8"/>
  <c r="C2821" i="8"/>
  <c r="B219" i="8"/>
  <c r="C2717" i="8"/>
  <c r="B411" i="8"/>
  <c r="C2535" i="8"/>
  <c r="B3111" i="8"/>
  <c r="B3024" i="8"/>
  <c r="B2717" i="8"/>
  <c r="B3372" i="8"/>
  <c r="C3198" i="8"/>
  <c r="C2257" i="8"/>
  <c r="C4764" i="8"/>
  <c r="C284" i="8"/>
  <c r="C4068" i="8"/>
  <c r="C4503" i="8"/>
  <c r="B4416" i="8"/>
  <c r="C3633" i="8"/>
  <c r="C1267" i="8"/>
  <c r="C3720" i="8"/>
  <c r="C412" i="8"/>
  <c r="B2795" i="8"/>
  <c r="C220" i="8"/>
  <c r="C2509" i="8"/>
  <c r="C2077" i="8"/>
  <c r="C2899" i="8"/>
  <c r="B475" i="8"/>
  <c r="C4677" i="8"/>
  <c r="B2847" i="8"/>
  <c r="B27" i="8"/>
  <c r="C2795" i="8"/>
  <c r="B4590" i="8"/>
  <c r="C1627" i="8"/>
  <c r="B4155" i="8"/>
  <c r="C4590" i="8"/>
  <c r="C1447" i="8"/>
  <c r="C3894" i="8"/>
  <c r="B2691" i="8"/>
  <c r="C1087" i="8"/>
  <c r="B4329" i="8"/>
  <c r="C2587" i="8"/>
  <c r="B3198" i="8"/>
  <c r="C348" i="8"/>
  <c r="C2639" i="8"/>
  <c r="C2847" i="8"/>
  <c r="B2367" i="8"/>
  <c r="B2821" i="8"/>
  <c r="B4068" i="8"/>
  <c r="C2769" i="8"/>
  <c r="C2613" i="8"/>
  <c r="B2483" i="8"/>
  <c r="B2457" i="8"/>
  <c r="B2639" i="8"/>
  <c r="C4329" i="8"/>
  <c r="C476" i="8"/>
  <c r="B2873" i="8"/>
  <c r="C1537" i="8"/>
  <c r="C2561" i="8"/>
  <c r="B2769" i="8"/>
  <c r="C3981" i="8"/>
  <c r="C4242" i="8"/>
  <c r="C2665" i="8"/>
  <c r="C637" i="8"/>
  <c r="C547" i="8"/>
  <c r="B3894" i="8"/>
  <c r="B4764" i="8"/>
  <c r="B2925" i="8"/>
  <c r="B3807" i="8"/>
  <c r="B2587" i="8"/>
  <c r="C2977" i="8"/>
  <c r="C1177" i="8"/>
  <c r="C1897" i="8"/>
  <c r="C997" i="8"/>
  <c r="B347" i="8"/>
  <c r="C907" i="8"/>
  <c r="B3633" i="8"/>
  <c r="C3546" i="8"/>
  <c r="B3459" i="8"/>
  <c r="C3807" i="8"/>
  <c r="C2951" i="8"/>
  <c r="C1987" i="8"/>
  <c r="C817" i="8"/>
  <c r="C3372" i="8"/>
  <c r="C1357" i="8"/>
  <c r="B4242" i="8"/>
  <c r="B3546" i="8"/>
  <c r="B3981" i="8"/>
  <c r="B2977" i="8"/>
  <c r="B283" i="8"/>
  <c r="C1717" i="8"/>
  <c r="B547" i="8"/>
  <c r="B4503" i="8"/>
  <c r="B2899" i="8"/>
  <c r="C4155" i="8"/>
  <c r="B3285" i="8"/>
  <c r="B2743" i="8"/>
  <c r="C2167" i="8"/>
  <c r="C2925" i="8"/>
  <c r="B155" i="8"/>
  <c r="B91" i="8"/>
  <c r="C727" i="8"/>
  <c r="B3720" i="8"/>
  <c r="B2535" i="8"/>
  <c r="C2691" i="8"/>
  <c r="C1807" i="8"/>
  <c r="H2559" i="8" a="1"/>
  <c r="G4154" i="8"/>
  <c r="H4327" i="8" a="1"/>
  <c r="G2456" i="8"/>
  <c r="G996" i="8"/>
  <c r="H4588" i="8" a="1"/>
  <c r="G2612" i="8"/>
  <c r="H2715" i="8" a="1"/>
  <c r="G636" i="8"/>
  <c r="H2507" i="8" a="1"/>
  <c r="F3806" i="8"/>
  <c r="H282" i="8" a="1"/>
  <c r="F2534" i="8"/>
  <c r="G283" i="8"/>
  <c r="H3457" i="8" a="1"/>
  <c r="G2534" i="8"/>
  <c r="H2741" i="8" a="1"/>
  <c r="F3023" i="8"/>
  <c r="F3110" i="8"/>
  <c r="F2586" i="8"/>
  <c r="H2481" i="8" a="1"/>
  <c r="F2690" i="8"/>
  <c r="G3719" i="8"/>
  <c r="H346" i="8" a="1"/>
  <c r="F4328" i="8"/>
  <c r="G3893" i="8"/>
  <c r="H4240" i="8" a="1"/>
  <c r="G2950" i="8"/>
  <c r="H3370" i="8" a="1"/>
  <c r="F4067" i="8"/>
  <c r="H25" i="8" a="1"/>
  <c r="G1446" i="8"/>
  <c r="H2923" i="8" a="1"/>
  <c r="F4589" i="8"/>
  <c r="G3806" i="8"/>
  <c r="G1626" i="8"/>
  <c r="F4241" i="8"/>
  <c r="G2898" i="8"/>
  <c r="G1356" i="8"/>
  <c r="G2508" i="8"/>
  <c r="F3980" i="8"/>
  <c r="F2664" i="8"/>
  <c r="G2794" i="8"/>
  <c r="G816" i="8"/>
  <c r="H2533" i="8" a="1"/>
  <c r="G4676" i="8"/>
  <c r="G4241" i="8"/>
  <c r="H2663" i="8" a="1"/>
  <c r="F4676" i="8"/>
  <c r="G219" i="8"/>
  <c r="F2742" i="8"/>
  <c r="G2690" i="8"/>
  <c r="G3458" i="8"/>
  <c r="H2793" i="8" a="1"/>
  <c r="G3980" i="8"/>
  <c r="F2846" i="8"/>
  <c r="H3979" i="8" a="1"/>
  <c r="F3719" i="8"/>
  <c r="H3109" i="8" a="1"/>
  <c r="G4415" i="8"/>
  <c r="G476" i="8"/>
  <c r="G3545" i="8"/>
  <c r="H4153" i="8" a="1"/>
  <c r="G2560" i="8"/>
  <c r="F218" i="8"/>
  <c r="H2689" i="8" a="1"/>
  <c r="G1986" i="8"/>
  <c r="G1806" i="8"/>
  <c r="G2716" i="8"/>
  <c r="F3458" i="8"/>
  <c r="G3371" i="8"/>
  <c r="F2872" i="8"/>
  <c r="G2347" i="8"/>
  <c r="F2560" i="8"/>
  <c r="H4414" i="8" a="1"/>
  <c r="G3110" i="8"/>
  <c r="F2456" i="8"/>
  <c r="H410" i="8" a="1"/>
  <c r="H474" i="8" a="1"/>
  <c r="H218" i="8" a="1"/>
  <c r="G2166" i="8"/>
  <c r="F4415" i="8"/>
  <c r="H3544" i="8" a="1"/>
  <c r="F475" i="8"/>
  <c r="F4154" i="8"/>
  <c r="H2897" i="8" a="1"/>
  <c r="G347" i="8"/>
  <c r="F4764" i="8"/>
  <c r="H2455" i="8" a="1"/>
  <c r="F3545" i="8"/>
  <c r="F26" i="8"/>
  <c r="H2585" i="8" a="1"/>
  <c r="G2768" i="8"/>
  <c r="F3893" i="8"/>
  <c r="H2637" i="8" a="1"/>
  <c r="G155" i="8"/>
  <c r="G2977" i="8"/>
  <c r="H4066" i="8" a="1"/>
  <c r="G2924" i="8"/>
  <c r="H2611" i="8" a="1"/>
  <c r="G2482" i="8"/>
  <c r="G1896" i="8"/>
  <c r="F2366" i="8"/>
  <c r="H2871" i="8" a="1"/>
  <c r="G411" i="8"/>
  <c r="F90" i="8"/>
  <c r="G26" i="8"/>
  <c r="G4502" i="8"/>
  <c r="F2950" i="8"/>
  <c r="F346" i="8"/>
  <c r="F2716" i="8"/>
  <c r="F3284" i="8"/>
  <c r="H3892" i="8" a="1"/>
  <c r="G4764" i="8"/>
  <c r="G3284" i="8"/>
  <c r="H545" i="8" a="1"/>
  <c r="G1176" i="8"/>
  <c r="G546" i="8"/>
  <c r="H3022" i="8" a="1"/>
  <c r="F282" i="8"/>
  <c r="H3283" i="8" a="1"/>
  <c r="G3632" i="8"/>
  <c r="G1086" i="8"/>
  <c r="H2819" i="8" a="1"/>
  <c r="H3631" i="8" a="1"/>
  <c r="F2794" i="8"/>
  <c r="F3197" i="8"/>
  <c r="H3805" i="8" a="1"/>
  <c r="F2820" i="8"/>
  <c r="G726" i="8"/>
  <c r="F2924" i="8"/>
  <c r="H154" i="8" a="1"/>
  <c r="G2586" i="8"/>
  <c r="H3196" i="8" a="1"/>
  <c r="F2612" i="8"/>
  <c r="G2664" i="8"/>
  <c r="G4328" i="8"/>
  <c r="G1536" i="8"/>
  <c r="G1266" i="8"/>
  <c r="F154" i="8"/>
  <c r="G4067" i="8"/>
  <c r="G2256" i="8"/>
  <c r="F4502" i="8"/>
  <c r="F2508" i="8"/>
  <c r="G1716" i="8"/>
  <c r="G3023" i="8"/>
  <c r="F2898" i="8"/>
  <c r="H2845" i="8" a="1"/>
  <c r="G3197" i="8"/>
  <c r="G2742" i="8"/>
  <c r="H4501" i="8" a="1"/>
  <c r="G2638" i="8"/>
  <c r="H3718" i="8" a="1"/>
  <c r="G2872" i="8"/>
  <c r="H2767" i="8" a="1"/>
  <c r="G2820" i="8"/>
  <c r="F546" i="8"/>
  <c r="H90" i="8" a="1"/>
  <c r="F410" i="8"/>
  <c r="F3371" i="8"/>
  <c r="G2846" i="8"/>
  <c r="F2977" i="8"/>
  <c r="F2482" i="8"/>
  <c r="G4589" i="8"/>
  <c r="G2076" i="8"/>
  <c r="G91" i="8"/>
  <c r="G906" i="8"/>
  <c r="F2638" i="8"/>
  <c r="F3632" i="8"/>
  <c r="H475" i="8" a="1"/>
  <c r="F2768" i="8"/>
  <c r="H475" i="8" l="1"/>
  <c r="H2611" i="8"/>
  <c r="H2715" i="8"/>
  <c r="H3283" i="8"/>
  <c r="H3370" i="8"/>
  <c r="H3109" i="8"/>
  <c r="H2819" i="8"/>
  <c r="H218" i="8"/>
  <c r="H3718" i="8"/>
  <c r="H2741" i="8"/>
  <c r="H154" i="8"/>
  <c r="H474" i="8"/>
  <c r="H4066" i="8"/>
  <c r="H2455" i="8"/>
  <c r="H3022" i="8"/>
  <c r="H4240" i="8"/>
  <c r="H3979" i="8"/>
  <c r="H2663" i="8"/>
  <c r="H410" i="8"/>
  <c r="H4501" i="8"/>
  <c r="H3457" i="8"/>
  <c r="H4588" i="8"/>
  <c r="H3805" i="8"/>
  <c r="H90" i="8"/>
  <c r="H2689" i="8"/>
  <c r="H2637" i="8"/>
  <c r="H2897" i="8"/>
  <c r="H545" i="8"/>
  <c r="H346" i="8"/>
  <c r="H2793" i="8"/>
  <c r="H2533" i="8"/>
  <c r="H4414" i="8"/>
  <c r="H2845" i="8"/>
  <c r="H282" i="8"/>
  <c r="H4327" i="8"/>
  <c r="H2923" i="8"/>
  <c r="H2507" i="8"/>
  <c r="H2559" i="8"/>
  <c r="H25" i="8"/>
  <c r="H2871" i="8"/>
  <c r="H3196" i="8"/>
  <c r="H3631" i="8"/>
  <c r="H2767" i="8"/>
  <c r="H4153" i="8"/>
  <c r="H2585" i="8"/>
  <c r="H3544" i="8"/>
  <c r="H3892" i="8"/>
  <c r="H2481" i="8"/>
  <c r="B4591" i="8"/>
  <c r="B220" i="8"/>
  <c r="B3373" i="8"/>
  <c r="B548" i="8"/>
  <c r="B348" i="8"/>
  <c r="B4069" i="8"/>
  <c r="B4330" i="8"/>
  <c r="C3460" i="8"/>
  <c r="C3895" i="8"/>
  <c r="C3634" i="8"/>
  <c r="C998" i="8"/>
  <c r="B2614" i="8"/>
  <c r="B2952" i="8"/>
  <c r="B3982" i="8"/>
  <c r="C728" i="8"/>
  <c r="C4330" i="8"/>
  <c r="C1628" i="8"/>
  <c r="B2666" i="8"/>
  <c r="C2666" i="8"/>
  <c r="B4417" i="8"/>
  <c r="C2744" i="8"/>
  <c r="C2848" i="8"/>
  <c r="C3112" i="8"/>
  <c r="C3025" i="8"/>
  <c r="C2770" i="8"/>
  <c r="C4243" i="8"/>
  <c r="C1898" i="8"/>
  <c r="B2562" i="8"/>
  <c r="C818" i="8"/>
  <c r="C2952" i="8"/>
  <c r="C1808" i="8"/>
  <c r="C1448" i="8"/>
  <c r="C908" i="8"/>
  <c r="B3547" i="8"/>
  <c r="C1988" i="8"/>
  <c r="C4069" i="8"/>
  <c r="B2900" i="8"/>
  <c r="C4417" i="8"/>
  <c r="B2458" i="8"/>
  <c r="B2484" i="8"/>
  <c r="C2640" i="8"/>
  <c r="B4156" i="8"/>
  <c r="B2368" i="8"/>
  <c r="B3286" i="8"/>
  <c r="B2718" i="8"/>
  <c r="C1538" i="8"/>
  <c r="B4243" i="8"/>
  <c r="B4678" i="8"/>
  <c r="B28" i="8"/>
  <c r="C4765" i="8"/>
  <c r="C2926" i="8"/>
  <c r="C2536" i="8"/>
  <c r="B2822" i="8"/>
  <c r="C3808" i="8"/>
  <c r="C3721" i="8"/>
  <c r="C4591" i="8"/>
  <c r="C349" i="8"/>
  <c r="C2348" i="8"/>
  <c r="B3460" i="8"/>
  <c r="B3025" i="8"/>
  <c r="B3112" i="8"/>
  <c r="C3373" i="8"/>
  <c r="B2588" i="8"/>
  <c r="C2484" i="8"/>
  <c r="C2458" i="8"/>
  <c r="C157" i="8"/>
  <c r="C93" i="8"/>
  <c r="C3199" i="8"/>
  <c r="C3547" i="8"/>
  <c r="C2718" i="8"/>
  <c r="B3634" i="8"/>
  <c r="C2978" i="8"/>
  <c r="B3721" i="8"/>
  <c r="B412" i="8"/>
  <c r="B3895" i="8"/>
  <c r="C2692" i="8"/>
  <c r="C2588" i="8"/>
  <c r="B2848" i="8"/>
  <c r="C2874" i="8"/>
  <c r="C2614" i="8"/>
  <c r="C2822" i="8"/>
  <c r="B2744" i="8"/>
  <c r="B3199" i="8"/>
  <c r="B476" i="8"/>
  <c r="B284" i="8"/>
  <c r="B2978" i="8"/>
  <c r="C221" i="8"/>
  <c r="C2900" i="8"/>
  <c r="B2770" i="8"/>
  <c r="B3808" i="8"/>
  <c r="B156" i="8"/>
  <c r="B92" i="8"/>
  <c r="C2258" i="8"/>
  <c r="B2926" i="8"/>
  <c r="C2078" i="8"/>
  <c r="C1088" i="8"/>
  <c r="C1268" i="8"/>
  <c r="C638" i="8"/>
  <c r="C548" i="8"/>
  <c r="B2796" i="8"/>
  <c r="B2510" i="8"/>
  <c r="C2796" i="8"/>
  <c r="C413" i="8"/>
  <c r="C1178" i="8"/>
  <c r="C3982" i="8"/>
  <c r="C4678" i="8"/>
  <c r="C1718" i="8"/>
  <c r="B2874" i="8"/>
  <c r="C2168" i="8"/>
  <c r="C285" i="8"/>
  <c r="C477" i="8"/>
  <c r="C1358" i="8"/>
  <c r="B4504" i="8"/>
  <c r="C4156" i="8"/>
  <c r="C3286" i="8"/>
  <c r="C2562" i="8"/>
  <c r="B2692" i="8"/>
  <c r="B2640" i="8"/>
  <c r="C2510" i="8"/>
  <c r="B2536" i="8"/>
  <c r="B4765" i="8"/>
  <c r="C28" i="8"/>
  <c r="C4504" i="8"/>
  <c r="H2846" i="8" a="1"/>
  <c r="F2925" i="8"/>
  <c r="G2691" i="8"/>
  <c r="H546" i="8" a="1"/>
  <c r="F2795" i="8"/>
  <c r="G412" i="8"/>
  <c r="H4764" i="8" a="1"/>
  <c r="F27" i="8"/>
  <c r="H2872" i="8" a="1"/>
  <c r="G1897" i="8"/>
  <c r="G2769" i="8"/>
  <c r="G2665" i="8"/>
  <c r="H3023" i="8" a="1"/>
  <c r="F2847" i="8"/>
  <c r="F219" i="8"/>
  <c r="H3197" i="8" a="1"/>
  <c r="F3894" i="8"/>
  <c r="G2457" i="8"/>
  <c r="F3024" i="8"/>
  <c r="F2665" i="8"/>
  <c r="H2612" i="8" a="1"/>
  <c r="H2977" i="8" a="1"/>
  <c r="G637" i="8"/>
  <c r="G2951" i="8"/>
  <c r="H283" i="8" a="1"/>
  <c r="F2978" i="8"/>
  <c r="G2613" i="8"/>
  <c r="F2873" i="8"/>
  <c r="F2899" i="8"/>
  <c r="G3198" i="8"/>
  <c r="H2950" i="8" a="1"/>
  <c r="H2898" i="8" a="1"/>
  <c r="G997" i="8"/>
  <c r="H3893" i="8" a="1"/>
  <c r="H2690" i="8" a="1"/>
  <c r="H2742" i="8" a="1"/>
  <c r="G1537" i="8"/>
  <c r="G3372" i="8"/>
  <c r="F155" i="8"/>
  <c r="F2457" i="8"/>
  <c r="F3198" i="8"/>
  <c r="G2978" i="8"/>
  <c r="F2769" i="8"/>
  <c r="H347" i="8" a="1"/>
  <c r="F2535" i="8"/>
  <c r="F2951" i="8"/>
  <c r="H2768" i="8" a="1"/>
  <c r="F347" i="8"/>
  <c r="F4677" i="8"/>
  <c r="F3981" i="8"/>
  <c r="F3372" i="8"/>
  <c r="H4241" i="8" a="1"/>
  <c r="G2348" i="8"/>
  <c r="F2613" i="8"/>
  <c r="F2483" i="8"/>
  <c r="G2821" i="8"/>
  <c r="H3806" i="8" a="1"/>
  <c r="G4590" i="8"/>
  <c r="G3111" i="8"/>
  <c r="G3633" i="8"/>
  <c r="G220" i="8"/>
  <c r="H3632" i="8" a="1"/>
  <c r="H411" i="8" a="1"/>
  <c r="G817" i="8"/>
  <c r="H3110" i="8" a="1"/>
  <c r="F3459" i="8"/>
  <c r="F91" i="8"/>
  <c r="H2347" i="8" a="1"/>
  <c r="G4416" i="8"/>
  <c r="F3633" i="8"/>
  <c r="F3546" i="8"/>
  <c r="H2638" i="8" a="1"/>
  <c r="H3458" i="8" a="1"/>
  <c r="G1717" i="8"/>
  <c r="F4503" i="8"/>
  <c r="H3719" i="8" a="1"/>
  <c r="G4242" i="8"/>
  <c r="G92" i="8"/>
  <c r="H4328" i="8" a="1"/>
  <c r="F4068" i="8"/>
  <c r="G4329" i="8"/>
  <c r="F2367" i="8"/>
  <c r="F3807" i="8"/>
  <c r="F476" i="8"/>
  <c r="F3720" i="8"/>
  <c r="G1177" i="8"/>
  <c r="H4154" i="8" a="1"/>
  <c r="G1447" i="8"/>
  <c r="G1627" i="8"/>
  <c r="F2639" i="8"/>
  <c r="F411" i="8"/>
  <c r="H2508" i="8" a="1"/>
  <c r="F4329" i="8"/>
  <c r="F2743" i="8"/>
  <c r="H26" i="8" a="1"/>
  <c r="G3459" i="8"/>
  <c r="G2483" i="8"/>
  <c r="F4416" i="8"/>
  <c r="G2899" i="8"/>
  <c r="G2639" i="8"/>
  <c r="H476" i="8" a="1"/>
  <c r="G348" i="8"/>
  <c r="G1267" i="8"/>
  <c r="H4502" i="8" a="1"/>
  <c r="G2925" i="8"/>
  <c r="G1807" i="8"/>
  <c r="G2561" i="8"/>
  <c r="H2560" i="8" a="1"/>
  <c r="F4590" i="8"/>
  <c r="G477" i="8"/>
  <c r="G3024" i="8"/>
  <c r="H2456" i="8" a="1"/>
  <c r="H4415" i="8" a="1"/>
  <c r="F2509" i="8"/>
  <c r="G4155" i="8"/>
  <c r="G2743" i="8"/>
  <c r="G156" i="8"/>
  <c r="G3807" i="8"/>
  <c r="F2691" i="8"/>
  <c r="G284" i="8"/>
  <c r="G4068" i="8"/>
  <c r="H2794" i="8" a="1"/>
  <c r="G2587" i="8"/>
  <c r="G2873" i="8"/>
  <c r="G1987" i="8"/>
  <c r="H2586" i="8" a="1"/>
  <c r="H2716" i="8" a="1"/>
  <c r="H3545" i="8" a="1"/>
  <c r="H4676" i="8" a="1"/>
  <c r="H2482" i="8" a="1"/>
  <c r="F3285" i="8"/>
  <c r="G3720" i="8"/>
  <c r="H3371" i="8" a="1"/>
  <c r="G1357" i="8"/>
  <c r="G547" i="8"/>
  <c r="H3980" i="8" a="1"/>
  <c r="G727" i="8"/>
  <c r="G1087" i="8"/>
  <c r="G907" i="8"/>
  <c r="F3111" i="8"/>
  <c r="F2561" i="8"/>
  <c r="H2924" i="8" a="1"/>
  <c r="G2167" i="8"/>
  <c r="G3285" i="8"/>
  <c r="G2257" i="8"/>
  <c r="H2534" i="8" a="1"/>
  <c r="H2820" i="8" a="1"/>
  <c r="G2717" i="8"/>
  <c r="F2717" i="8"/>
  <c r="G2795" i="8"/>
  <c r="H219" i="8" a="1"/>
  <c r="F283" i="8"/>
  <c r="G4503" i="8"/>
  <c r="H4067" i="8" a="1"/>
  <c r="G3981" i="8"/>
  <c r="G3546" i="8"/>
  <c r="H2664" i="8" a="1"/>
  <c r="G4677" i="8"/>
  <c r="F2821" i="8"/>
  <c r="G2847" i="8"/>
  <c r="G27" i="8"/>
  <c r="G2509" i="8"/>
  <c r="G3894" i="8"/>
  <c r="G2535" i="8"/>
  <c r="H91" i="8" a="1"/>
  <c r="F4242" i="8"/>
  <c r="F4765" i="8"/>
  <c r="H4589" i="8" a="1"/>
  <c r="H155" i="8" a="1"/>
  <c r="H3284" i="8" a="1"/>
  <c r="F2587" i="8"/>
  <c r="F547" i="8"/>
  <c r="G4765" i="8"/>
  <c r="F4155" i="8"/>
  <c r="G2077" i="8"/>
  <c r="H476" i="8" l="1"/>
  <c r="H2690" i="8"/>
  <c r="H2820" i="8"/>
  <c r="H2664" i="8"/>
  <c r="H26" i="8"/>
  <c r="H4676" i="8"/>
  <c r="H155" i="8"/>
  <c r="H3806" i="8"/>
  <c r="H4241" i="8"/>
  <c r="H2612" i="8"/>
  <c r="H2950" i="8"/>
  <c r="H4415" i="8"/>
  <c r="H2872" i="8"/>
  <c r="H3023" i="8"/>
  <c r="H4764" i="8"/>
  <c r="H411" i="8"/>
  <c r="H3458" i="8"/>
  <c r="H2456" i="8"/>
  <c r="H3980" i="8"/>
  <c r="H3893" i="8"/>
  <c r="H2534" i="8"/>
  <c r="H2924" i="8"/>
  <c r="H2508" i="8"/>
  <c r="H3545" i="8"/>
  <c r="H4589" i="8"/>
  <c r="H2347" i="8"/>
  <c r="H2768" i="8"/>
  <c r="H3719" i="8"/>
  <c r="H3197" i="8"/>
  <c r="H283" i="8"/>
  <c r="H546" i="8"/>
  <c r="H2716" i="8"/>
  <c r="H2638" i="8"/>
  <c r="H4067" i="8"/>
  <c r="H3371" i="8"/>
  <c r="H3632" i="8"/>
  <c r="H2794" i="8"/>
  <c r="H2560" i="8"/>
  <c r="H4154" i="8"/>
  <c r="H3284" i="8"/>
  <c r="H4328" i="8"/>
  <c r="H3110" i="8"/>
  <c r="H347" i="8"/>
  <c r="H4502" i="8"/>
  <c r="H2742" i="8"/>
  <c r="H2977" i="8"/>
  <c r="H2846" i="8"/>
  <c r="H2898" i="8"/>
  <c r="H91" i="8"/>
  <c r="H219" i="8"/>
  <c r="H2482" i="8"/>
  <c r="H2586" i="8"/>
  <c r="C4592" i="8"/>
  <c r="B2719" i="8"/>
  <c r="C3374" i="8"/>
  <c r="B4592" i="8"/>
  <c r="C4070" i="8"/>
  <c r="C639" i="8"/>
  <c r="C549" i="8"/>
  <c r="C2589" i="8"/>
  <c r="C1449" i="8"/>
  <c r="B2901" i="8"/>
  <c r="C1269" i="8"/>
  <c r="C729" i="8"/>
  <c r="C1179" i="8"/>
  <c r="B2953" i="8"/>
  <c r="B157" i="8"/>
  <c r="B93" i="8"/>
  <c r="B2797" i="8"/>
  <c r="C2849" i="8"/>
  <c r="C2901" i="8"/>
  <c r="B3809" i="8"/>
  <c r="B3113" i="8"/>
  <c r="B3026" i="8"/>
  <c r="C4679" i="8"/>
  <c r="C3896" i="8"/>
  <c r="C2563" i="8"/>
  <c r="B4766" i="8"/>
  <c r="C1629" i="8"/>
  <c r="B3374" i="8"/>
  <c r="B4244" i="8"/>
  <c r="C909" i="8"/>
  <c r="C1989" i="8"/>
  <c r="C2797" i="8"/>
  <c r="C3200" i="8"/>
  <c r="C2771" i="8"/>
  <c r="C1719" i="8"/>
  <c r="C819" i="8"/>
  <c r="B2979" i="8"/>
  <c r="C3983" i="8"/>
  <c r="B4418" i="8"/>
  <c r="B413" i="8"/>
  <c r="B3461" i="8"/>
  <c r="B4679" i="8"/>
  <c r="C29" i="8"/>
  <c r="B2563" i="8"/>
  <c r="B2667" i="8"/>
  <c r="C4244" i="8"/>
  <c r="C350" i="8"/>
  <c r="C4766" i="8"/>
  <c r="C2823" i="8"/>
  <c r="B2823" i="8"/>
  <c r="B221" i="8"/>
  <c r="C286" i="8"/>
  <c r="B349" i="8"/>
  <c r="B3287" i="8"/>
  <c r="C2615" i="8"/>
  <c r="B3983" i="8"/>
  <c r="B3722" i="8"/>
  <c r="C3635" i="8"/>
  <c r="C158" i="8"/>
  <c r="C94" i="8"/>
  <c r="C2511" i="8"/>
  <c r="C3461" i="8"/>
  <c r="B2849" i="8"/>
  <c r="B2745" i="8"/>
  <c r="B2485" i="8"/>
  <c r="B2459" i="8"/>
  <c r="B2927" i="8"/>
  <c r="C2079" i="8"/>
  <c r="C999" i="8"/>
  <c r="C1899" i="8"/>
  <c r="B2693" i="8"/>
  <c r="B2641" i="8"/>
  <c r="C3548" i="8"/>
  <c r="C2537" i="8"/>
  <c r="C2259" i="8"/>
  <c r="C1809" i="8"/>
  <c r="C1359" i="8"/>
  <c r="C2169" i="8"/>
  <c r="C2349" i="8"/>
  <c r="C2641" i="8"/>
  <c r="C2745" i="8"/>
  <c r="C222" i="8"/>
  <c r="B3200" i="8"/>
  <c r="B3548" i="8"/>
  <c r="C414" i="8"/>
  <c r="C3809" i="8"/>
  <c r="C2953" i="8"/>
  <c r="B29" i="8"/>
  <c r="B4331" i="8"/>
  <c r="B2369" i="8"/>
  <c r="C2667" i="8"/>
  <c r="B3635" i="8"/>
  <c r="B2589" i="8"/>
  <c r="C2875" i="8"/>
  <c r="B4505" i="8"/>
  <c r="C4418" i="8"/>
  <c r="B4070" i="8"/>
  <c r="C3722" i="8"/>
  <c r="B4157" i="8"/>
  <c r="B549" i="8"/>
  <c r="B285" i="8"/>
  <c r="C478" i="8"/>
  <c r="B2537" i="8"/>
  <c r="B3896" i="8"/>
  <c r="C2927" i="8"/>
  <c r="B2771" i="8"/>
  <c r="B2875" i="8"/>
  <c r="C2719" i="8"/>
  <c r="B477" i="8"/>
  <c r="C3287" i="8"/>
  <c r="C2485" i="8"/>
  <c r="C2459" i="8"/>
  <c r="B2615" i="8"/>
  <c r="B2511" i="8"/>
  <c r="C4505" i="8"/>
  <c r="C4157" i="8"/>
  <c r="C1539" i="8"/>
  <c r="C2979" i="8"/>
  <c r="C4331" i="8"/>
  <c r="C3026" i="8"/>
  <c r="C3113" i="8"/>
  <c r="C2693" i="8"/>
  <c r="C1089" i="8"/>
  <c r="H2821" i="8" a="1"/>
  <c r="F2979" i="8"/>
  <c r="F2718" i="8"/>
  <c r="G2562" i="8"/>
  <c r="G2510" i="8"/>
  <c r="F2692" i="8"/>
  <c r="F2562" i="8"/>
  <c r="H4765" i="8" a="1"/>
  <c r="F4678" i="8"/>
  <c r="F2900" i="8"/>
  <c r="G2718" i="8"/>
  <c r="H2691" i="8" a="1"/>
  <c r="G1718" i="8"/>
  <c r="H220" i="8" a="1"/>
  <c r="F4156" i="8"/>
  <c r="H3459" i="8" a="1"/>
  <c r="F4766" i="8"/>
  <c r="G4417" i="8"/>
  <c r="H4416" i="8" a="1"/>
  <c r="F348" i="8"/>
  <c r="F2848" i="8"/>
  <c r="H2509" i="8" a="1"/>
  <c r="G2848" i="8"/>
  <c r="H2561" i="8" a="1"/>
  <c r="G1898" i="8"/>
  <c r="H2348" i="8" a="1"/>
  <c r="G818" i="8"/>
  <c r="G1448" i="8"/>
  <c r="H348" i="8" a="1"/>
  <c r="F4591" i="8"/>
  <c r="G349" i="8"/>
  <c r="F3460" i="8"/>
  <c r="G4504" i="8"/>
  <c r="G3634" i="8"/>
  <c r="H3285" i="8" a="1"/>
  <c r="G3112" i="8"/>
  <c r="H3633" i="8" a="1"/>
  <c r="G2744" i="8"/>
  <c r="H2978" i="8" a="1"/>
  <c r="G2926" i="8"/>
  <c r="F4417" i="8"/>
  <c r="H3981" i="8" a="1"/>
  <c r="G221" i="8"/>
  <c r="H92" i="8" a="1"/>
  <c r="G2666" i="8"/>
  <c r="H2925" i="8" a="1"/>
  <c r="F2614" i="8"/>
  <c r="H2483" i="8" a="1"/>
  <c r="G4591" i="8"/>
  <c r="H4590" i="8" a="1"/>
  <c r="G2874" i="8"/>
  <c r="F2588" i="8"/>
  <c r="H2743" i="8" a="1"/>
  <c r="G3895" i="8"/>
  <c r="G2258" i="8"/>
  <c r="G2979" i="8"/>
  <c r="G3982" i="8"/>
  <c r="F3808" i="8"/>
  <c r="H284" i="8" a="1"/>
  <c r="F2952" i="8"/>
  <c r="H3894" i="8" a="1"/>
  <c r="G93" i="8"/>
  <c r="G1808" i="8"/>
  <c r="H2951" i="8" a="1"/>
  <c r="G4678" i="8"/>
  <c r="H477" i="8" a="1"/>
  <c r="F2926" i="8"/>
  <c r="G2692" i="8"/>
  <c r="H4242" i="8" a="1"/>
  <c r="F4330" i="8"/>
  <c r="H2665" i="8" a="1"/>
  <c r="G3373" i="8"/>
  <c r="G157" i="8"/>
  <c r="H3720" i="8" a="1"/>
  <c r="F2796" i="8"/>
  <c r="F3982" i="8"/>
  <c r="H4068" i="8" a="1"/>
  <c r="F92" i="8"/>
  <c r="G2458" i="8"/>
  <c r="F3373" i="8"/>
  <c r="F2368" i="8"/>
  <c r="F220" i="8"/>
  <c r="G2078" i="8"/>
  <c r="G2952" i="8"/>
  <c r="G3286" i="8"/>
  <c r="G478" i="8"/>
  <c r="H2535" i="8" a="1"/>
  <c r="G1628" i="8"/>
  <c r="H3546" i="8" a="1"/>
  <c r="G4766" i="8"/>
  <c r="F284" i="8"/>
  <c r="H3372" i="8" a="1"/>
  <c r="G4156" i="8"/>
  <c r="F4243" i="8"/>
  <c r="H2457" i="8" a="1"/>
  <c r="F3721" i="8"/>
  <c r="G4069" i="8"/>
  <c r="H4329" i="8" a="1"/>
  <c r="G285" i="8"/>
  <c r="H2587" i="8" a="1"/>
  <c r="G2349" i="8"/>
  <c r="H27" i="8" a="1"/>
  <c r="G1088" i="8"/>
  <c r="F3895" i="8"/>
  <c r="H2847" i="8" a="1"/>
  <c r="G2536" i="8"/>
  <c r="G3025" i="8"/>
  <c r="H4155" i="8" a="1"/>
  <c r="F156" i="8"/>
  <c r="H4503" i="8" a="1"/>
  <c r="F3112" i="8"/>
  <c r="H2769" i="8" a="1"/>
  <c r="F3025" i="8"/>
  <c r="G3547" i="8"/>
  <c r="F412" i="8"/>
  <c r="H2613" i="8" a="1"/>
  <c r="G1538" i="8"/>
  <c r="G998" i="8"/>
  <c r="H4677" i="8" a="1"/>
  <c r="F2458" i="8"/>
  <c r="H3807" i="8" a="1"/>
  <c r="G3808" i="8"/>
  <c r="H156" i="8" a="1"/>
  <c r="G2822" i="8"/>
  <c r="F2484" i="8"/>
  <c r="H2873" i="8" a="1"/>
  <c r="F2640" i="8"/>
  <c r="H3024" i="8" a="1"/>
  <c r="G2168" i="8"/>
  <c r="G413" i="8"/>
  <c r="G548" i="8"/>
  <c r="F3199" i="8"/>
  <c r="G1988" i="8"/>
  <c r="H3198" i="8" a="1"/>
  <c r="G2796" i="8"/>
  <c r="G2614" i="8"/>
  <c r="F2874" i="8"/>
  <c r="G3721" i="8"/>
  <c r="F4504" i="8"/>
  <c r="F4069" i="8"/>
  <c r="H2639" i="8" a="1"/>
  <c r="F3286" i="8"/>
  <c r="G908" i="8"/>
  <c r="H547" i="8" a="1"/>
  <c r="G2588" i="8"/>
  <c r="F28" i="8"/>
  <c r="G638" i="8"/>
  <c r="G4330" i="8"/>
  <c r="G1358" i="8"/>
  <c r="F2510" i="8"/>
  <c r="H2795" i="8" a="1"/>
  <c r="G2770" i="8"/>
  <c r="G3460" i="8"/>
  <c r="G28" i="8"/>
  <c r="H3111" i="8" a="1"/>
  <c r="G2484" i="8"/>
  <c r="F548" i="8"/>
  <c r="F2770" i="8"/>
  <c r="G3199" i="8"/>
  <c r="G1178" i="8"/>
  <c r="F477" i="8"/>
  <c r="H2899" i="8" a="1"/>
  <c r="G728" i="8"/>
  <c r="G1268" i="8"/>
  <c r="F3634" i="8"/>
  <c r="F2744" i="8"/>
  <c r="G4243" i="8"/>
  <c r="F2536" i="8"/>
  <c r="F3547" i="8"/>
  <c r="H412" i="8" a="1"/>
  <c r="F2666" i="8"/>
  <c r="H2717" i="8" a="1"/>
  <c r="G2900" i="8"/>
  <c r="G2640" i="8"/>
  <c r="F2822" i="8"/>
  <c r="H477" i="8" l="1"/>
  <c r="H2717" i="8"/>
  <c r="H3720" i="8"/>
  <c r="H2951" i="8"/>
  <c r="H3372" i="8"/>
  <c r="H2978" i="8"/>
  <c r="H348" i="8"/>
  <c r="H4416" i="8"/>
  <c r="H2743" i="8"/>
  <c r="H2899" i="8"/>
  <c r="H2795" i="8"/>
  <c r="H2639" i="8"/>
  <c r="H4765" i="8"/>
  <c r="H92" i="8"/>
  <c r="H2769" i="8"/>
  <c r="H27" i="8"/>
  <c r="H3807" i="8"/>
  <c r="H4503" i="8"/>
  <c r="H2587" i="8"/>
  <c r="H3024" i="8"/>
  <c r="H3981" i="8"/>
  <c r="H2665" i="8"/>
  <c r="H3894" i="8"/>
  <c r="H3546" i="8"/>
  <c r="H3633" i="8"/>
  <c r="H2348" i="8"/>
  <c r="H3459" i="8"/>
  <c r="H4590" i="8"/>
  <c r="H4677" i="8"/>
  <c r="H4155" i="8"/>
  <c r="H4329" i="8"/>
  <c r="H2873" i="8"/>
  <c r="H412" i="8"/>
  <c r="H4242" i="8"/>
  <c r="H284" i="8"/>
  <c r="H2535" i="8"/>
  <c r="H3285" i="8"/>
  <c r="H2561" i="8"/>
  <c r="H220" i="8"/>
  <c r="H2483" i="8"/>
  <c r="H2509" i="8"/>
  <c r="H2691" i="8"/>
  <c r="H2925" i="8"/>
  <c r="H3111" i="8"/>
  <c r="H547" i="8"/>
  <c r="H3198" i="8"/>
  <c r="H2821" i="8"/>
  <c r="H2613" i="8"/>
  <c r="H2847" i="8"/>
  <c r="H2457" i="8"/>
  <c r="H156" i="8"/>
  <c r="H4068" i="8"/>
  <c r="C3201" i="8"/>
  <c r="B3984" i="8"/>
  <c r="C2642" i="8"/>
  <c r="C3114" i="8"/>
  <c r="C3027" i="8"/>
  <c r="C4245" i="8"/>
  <c r="B2538" i="8"/>
  <c r="C2486" i="8"/>
  <c r="C2460" i="8"/>
  <c r="B2564" i="8"/>
  <c r="B4245" i="8"/>
  <c r="B2616" i="8"/>
  <c r="C2694" i="8"/>
  <c r="B3288" i="8"/>
  <c r="C2350" i="8"/>
  <c r="B2720" i="8"/>
  <c r="B2512" i="8"/>
  <c r="C2538" i="8"/>
  <c r="C2798" i="8"/>
  <c r="C1000" i="8"/>
  <c r="B3897" i="8"/>
  <c r="C2876" i="8"/>
  <c r="B158" i="8"/>
  <c r="B94" i="8"/>
  <c r="C1360" i="8"/>
  <c r="C1540" i="8"/>
  <c r="C4158" i="8"/>
  <c r="C3462" i="8"/>
  <c r="C4680" i="8"/>
  <c r="C1180" i="8"/>
  <c r="C4419" i="8"/>
  <c r="C4593" i="8"/>
  <c r="C2720" i="8"/>
  <c r="C2512" i="8"/>
  <c r="B2902" i="8"/>
  <c r="C2954" i="8"/>
  <c r="B350" i="8"/>
  <c r="B4158" i="8"/>
  <c r="B4593" i="8"/>
  <c r="B4419" i="8"/>
  <c r="C2980" i="8"/>
  <c r="C479" i="8"/>
  <c r="C2772" i="8"/>
  <c r="C1450" i="8"/>
  <c r="C3636" i="8"/>
  <c r="C1090" i="8"/>
  <c r="B2954" i="8"/>
  <c r="B2772" i="8"/>
  <c r="C3723" i="8"/>
  <c r="B4071" i="8"/>
  <c r="B3375" i="8"/>
  <c r="C351" i="8"/>
  <c r="B2850" i="8"/>
  <c r="C4332" i="8"/>
  <c r="B2590" i="8"/>
  <c r="B4767" i="8"/>
  <c r="B478" i="8"/>
  <c r="C4071" i="8"/>
  <c r="C910" i="8"/>
  <c r="C2824" i="8"/>
  <c r="B3462" i="8"/>
  <c r="C3984" i="8"/>
  <c r="B3114" i="8"/>
  <c r="B3027" i="8"/>
  <c r="B2824" i="8"/>
  <c r="B222" i="8"/>
  <c r="C1270" i="8"/>
  <c r="C640" i="8"/>
  <c r="C550" i="8"/>
  <c r="C2746" i="8"/>
  <c r="C3549" i="8"/>
  <c r="C159" i="8"/>
  <c r="C95" i="8"/>
  <c r="C1720" i="8"/>
  <c r="C2590" i="8"/>
  <c r="B3201" i="8"/>
  <c r="C2928" i="8"/>
  <c r="B2980" i="8"/>
  <c r="C730" i="8"/>
  <c r="B4680" i="8"/>
  <c r="B2746" i="8"/>
  <c r="C1630" i="8"/>
  <c r="B2642" i="8"/>
  <c r="C3810" i="8"/>
  <c r="C2902" i="8"/>
  <c r="C1900" i="8"/>
  <c r="B2668" i="8"/>
  <c r="C2850" i="8"/>
  <c r="C3375" i="8"/>
  <c r="B2798" i="8"/>
  <c r="B550" i="8"/>
  <c r="C4506" i="8"/>
  <c r="B3723" i="8"/>
  <c r="B2370" i="8"/>
  <c r="B30" i="8"/>
  <c r="C3897" i="8"/>
  <c r="B3636" i="8"/>
  <c r="C287" i="8"/>
  <c r="C2668" i="8"/>
  <c r="C2260" i="8"/>
  <c r="C2564" i="8"/>
  <c r="C1990" i="8"/>
  <c r="C2170" i="8"/>
  <c r="B2486" i="8"/>
  <c r="B2460" i="8"/>
  <c r="B2876" i="8"/>
  <c r="C223" i="8"/>
  <c r="B3810" i="8"/>
  <c r="B414" i="8"/>
  <c r="B286" i="8"/>
  <c r="C415" i="8"/>
  <c r="B2694" i="8"/>
  <c r="C30" i="8"/>
  <c r="B3549" i="8"/>
  <c r="B4506" i="8"/>
  <c r="C1810" i="8"/>
  <c r="C3288" i="8"/>
  <c r="C2080" i="8"/>
  <c r="B4332" i="8"/>
  <c r="C4767" i="8"/>
  <c r="C820" i="8"/>
  <c r="B2928" i="8"/>
  <c r="C2616" i="8"/>
  <c r="H2744" i="8" a="1"/>
  <c r="F478" i="8"/>
  <c r="H3460" i="8" a="1"/>
  <c r="G1269" i="8"/>
  <c r="F2719" i="8"/>
  <c r="H2640" i="8" a="1"/>
  <c r="G1359" i="8"/>
  <c r="G2537" i="8"/>
  <c r="F93" i="8"/>
  <c r="G2823" i="8"/>
  <c r="F2693" i="8"/>
  <c r="G1809" i="8"/>
  <c r="H2692" i="8" a="1"/>
  <c r="G3548" i="8"/>
  <c r="G3200" i="8"/>
  <c r="G2459" i="8"/>
  <c r="F2641" i="8"/>
  <c r="H4243" i="8" a="1"/>
  <c r="G1449" i="8"/>
  <c r="H2614" i="8" a="1"/>
  <c r="F2797" i="8"/>
  <c r="H2770" i="8" a="1"/>
  <c r="G4331" i="8"/>
  <c r="G2875" i="8"/>
  <c r="H2874" i="8" a="1"/>
  <c r="F4767" i="8"/>
  <c r="F2667" i="8"/>
  <c r="H2822" i="8" a="1"/>
  <c r="F3983" i="8"/>
  <c r="F2849" i="8"/>
  <c r="G1179" i="8"/>
  <c r="H2458" i="8" a="1"/>
  <c r="G2719" i="8"/>
  <c r="H157" i="8" a="1"/>
  <c r="F2459" i="8"/>
  <c r="F3026" i="8"/>
  <c r="G286" i="8"/>
  <c r="F2745" i="8"/>
  <c r="G2797" i="8"/>
  <c r="H2848" i="8" a="1"/>
  <c r="G1629" i="8"/>
  <c r="H4417" i="8" a="1"/>
  <c r="F2875" i="8"/>
  <c r="G158" i="8"/>
  <c r="H3025" i="8" a="1"/>
  <c r="F157" i="8"/>
  <c r="F2901" i="8"/>
  <c r="G414" i="8"/>
  <c r="H221" i="8" a="1"/>
  <c r="G2980" i="8"/>
  <c r="F4244" i="8"/>
  <c r="G2667" i="8"/>
  <c r="F413" i="8"/>
  <c r="H2718" i="8" a="1"/>
  <c r="F3809" i="8"/>
  <c r="F29" i="8"/>
  <c r="H3112" i="8" a="1"/>
  <c r="F4679" i="8"/>
  <c r="H3982" i="8" a="1"/>
  <c r="F2953" i="8"/>
  <c r="H3199" i="8" a="1"/>
  <c r="F4505" i="8"/>
  <c r="G350" i="8"/>
  <c r="H2536" i="8" a="1"/>
  <c r="G94" i="8"/>
  <c r="H2900" i="8" a="1"/>
  <c r="F3200" i="8"/>
  <c r="G3983" i="8"/>
  <c r="G1989" i="8"/>
  <c r="H478" i="8" a="1"/>
  <c r="F2537" i="8"/>
  <c r="F4592" i="8"/>
  <c r="H285" i="8" a="1"/>
  <c r="G2953" i="8"/>
  <c r="G29" i="8"/>
  <c r="H4504" i="8" a="1"/>
  <c r="G4679" i="8"/>
  <c r="F2589" i="8"/>
  <c r="G3722" i="8"/>
  <c r="H4591" i="8" a="1"/>
  <c r="G2745" i="8"/>
  <c r="F4418" i="8"/>
  <c r="F2511" i="8"/>
  <c r="G639" i="8"/>
  <c r="H3895" i="8" a="1"/>
  <c r="G1539" i="8"/>
  <c r="H2510" i="8" a="1"/>
  <c r="G819" i="8"/>
  <c r="H4678" i="8" a="1"/>
  <c r="G4592" i="8"/>
  <c r="F2615" i="8"/>
  <c r="H93" i="8" a="1"/>
  <c r="G999" i="8"/>
  <c r="G2079" i="8"/>
  <c r="H2588" i="8" a="1"/>
  <c r="F3461" i="8"/>
  <c r="G909" i="8"/>
  <c r="G4418" i="8"/>
  <c r="H3286" i="8" a="1"/>
  <c r="F2927" i="8"/>
  <c r="G729" i="8"/>
  <c r="F4157" i="8"/>
  <c r="G3287" i="8"/>
  <c r="H2349" i="8" a="1"/>
  <c r="G3374" i="8"/>
  <c r="G549" i="8"/>
  <c r="G2169" i="8"/>
  <c r="H2979" i="8" a="1"/>
  <c r="G2849" i="8"/>
  <c r="F2369" i="8"/>
  <c r="F3896" i="8"/>
  <c r="G3635" i="8"/>
  <c r="G4767" i="8"/>
  <c r="G2259" i="8"/>
  <c r="F549" i="8"/>
  <c r="H4766" i="8" a="1"/>
  <c r="G1089" i="8"/>
  <c r="F2980" i="8"/>
  <c r="H3721" i="8" a="1"/>
  <c r="G3896" i="8"/>
  <c r="G3113" i="8"/>
  <c r="G4505" i="8"/>
  <c r="H3547" i="8" a="1"/>
  <c r="G4244" i="8"/>
  <c r="H2926" i="8" a="1"/>
  <c r="G4070" i="8"/>
  <c r="G222" i="8"/>
  <c r="G4157" i="8"/>
  <c r="F3287" i="8"/>
  <c r="H2952" i="8" a="1"/>
  <c r="F2485" i="8"/>
  <c r="F3635" i="8"/>
  <c r="H3634" i="8" a="1"/>
  <c r="G2485" i="8"/>
  <c r="H2796" i="8" a="1"/>
  <c r="F3113" i="8"/>
  <c r="H3373" i="8" a="1"/>
  <c r="F285" i="8"/>
  <c r="F349" i="8"/>
  <c r="H2484" i="8" a="1"/>
  <c r="G3461" i="8"/>
  <c r="H28" i="8" a="1"/>
  <c r="G3026" i="8"/>
  <c r="H548" i="8" a="1"/>
  <c r="F2823" i="8"/>
  <c r="H2666" i="8" a="1"/>
  <c r="G2350" i="8"/>
  <c r="F3374" i="8"/>
  <c r="H4156" i="8" a="1"/>
  <c r="G2927" i="8"/>
  <c r="F3548" i="8"/>
  <c r="H2562" i="8" a="1"/>
  <c r="F4070" i="8"/>
  <c r="F2771" i="8"/>
  <c r="G2589" i="8"/>
  <c r="H413" i="8" a="1"/>
  <c r="F2563" i="8"/>
  <c r="H349" i="8" a="1"/>
  <c r="G2771" i="8"/>
  <c r="G2563" i="8"/>
  <c r="H3808" i="8" a="1"/>
  <c r="G479" i="8"/>
  <c r="G2641" i="8"/>
  <c r="H4069" i="8" a="1"/>
  <c r="F4331" i="8"/>
  <c r="G3809" i="8"/>
  <c r="G2615" i="8"/>
  <c r="F221" i="8"/>
  <c r="G2693" i="8"/>
  <c r="H4330" i="8" a="1"/>
  <c r="G1719" i="8"/>
  <c r="F3722" i="8"/>
  <c r="G2901" i="8"/>
  <c r="G2511" i="8"/>
  <c r="G1899" i="8"/>
  <c r="H478" i="8" l="1"/>
  <c r="H2822" i="8"/>
  <c r="H2588" i="8"/>
  <c r="H3634" i="8"/>
  <c r="H4069" i="8"/>
  <c r="H2562" i="8"/>
  <c r="H3112" i="8"/>
  <c r="H3721" i="8"/>
  <c r="H4766" i="8"/>
  <c r="H2349" i="8"/>
  <c r="H4243" i="8"/>
  <c r="H3895" i="8"/>
  <c r="H3547" i="8"/>
  <c r="H2900" i="8"/>
  <c r="H28" i="8"/>
  <c r="H4504" i="8"/>
  <c r="H2536" i="8"/>
  <c r="H2484" i="8"/>
  <c r="H3025" i="8"/>
  <c r="H4330" i="8"/>
  <c r="H2874" i="8"/>
  <c r="H93" i="8"/>
  <c r="H2640" i="8"/>
  <c r="H3808" i="8"/>
  <c r="H4156" i="8"/>
  <c r="H2718" i="8"/>
  <c r="H2952" i="8"/>
  <c r="H3286" i="8"/>
  <c r="H2692" i="8"/>
  <c r="H4591" i="8"/>
  <c r="H285" i="8"/>
  <c r="H3199" i="8"/>
  <c r="H3373" i="8"/>
  <c r="H4417" i="8"/>
  <c r="H157" i="8"/>
  <c r="H2770" i="8"/>
  <c r="H4678" i="8"/>
  <c r="H3460" i="8"/>
  <c r="H349" i="8"/>
  <c r="H2666" i="8"/>
  <c r="H3982" i="8"/>
  <c r="H2796" i="8"/>
  <c r="H2848" i="8"/>
  <c r="H2458" i="8"/>
  <c r="H2614" i="8"/>
  <c r="H2510" i="8"/>
  <c r="H2744" i="8"/>
  <c r="H413" i="8"/>
  <c r="H548" i="8"/>
  <c r="H221" i="8"/>
  <c r="H2926" i="8"/>
  <c r="H2979" i="8"/>
  <c r="C2171" i="8"/>
  <c r="C2643" i="8"/>
  <c r="C911" i="8"/>
  <c r="B2955" i="8"/>
  <c r="C1901" i="8"/>
  <c r="B2721" i="8"/>
  <c r="B2513" i="8"/>
  <c r="C352" i="8"/>
  <c r="B2371" i="8"/>
  <c r="C4594" i="8"/>
  <c r="C1991" i="8"/>
  <c r="C3898" i="8"/>
  <c r="B4768" i="8"/>
  <c r="B3289" i="8"/>
  <c r="C1811" i="8"/>
  <c r="C3637" i="8"/>
  <c r="B2851" i="8"/>
  <c r="C1181" i="8"/>
  <c r="C1541" i="8"/>
  <c r="C2981" i="8"/>
  <c r="C2903" i="8"/>
  <c r="C1091" i="8"/>
  <c r="B2747" i="8"/>
  <c r="B2643" i="8"/>
  <c r="B2591" i="8"/>
  <c r="B2565" i="8"/>
  <c r="B3637" i="8"/>
  <c r="B351" i="8"/>
  <c r="B3898" i="8"/>
  <c r="B2903" i="8"/>
  <c r="C2929" i="8"/>
  <c r="B2669" i="8"/>
  <c r="B2773" i="8"/>
  <c r="C2617" i="8"/>
  <c r="C641" i="8"/>
  <c r="C551" i="8"/>
  <c r="C4072" i="8"/>
  <c r="C2851" i="8"/>
  <c r="C4159" i="8"/>
  <c r="C4420" i="8"/>
  <c r="C416" i="8"/>
  <c r="B4159" i="8"/>
  <c r="B2799" i="8"/>
  <c r="B4507" i="8"/>
  <c r="B4246" i="8"/>
  <c r="C2539" i="8"/>
  <c r="C4681" i="8"/>
  <c r="C1271" i="8"/>
  <c r="C3550" i="8"/>
  <c r="C1631" i="8"/>
  <c r="B159" i="8"/>
  <c r="B95" i="8"/>
  <c r="C2825" i="8"/>
  <c r="C2721" i="8"/>
  <c r="C3115" i="8"/>
  <c r="C3028" i="8"/>
  <c r="B4072" i="8"/>
  <c r="B4420" i="8"/>
  <c r="C2261" i="8"/>
  <c r="C2591" i="8"/>
  <c r="C2695" i="8"/>
  <c r="B3724" i="8"/>
  <c r="B31" i="8"/>
  <c r="B3811" i="8"/>
  <c r="B551" i="8"/>
  <c r="B615" i="8"/>
  <c r="C3463" i="8"/>
  <c r="B2695" i="8"/>
  <c r="C821" i="8"/>
  <c r="C2955" i="8"/>
  <c r="C160" i="8"/>
  <c r="C96" i="8"/>
  <c r="C2773" i="8"/>
  <c r="C731" i="8"/>
  <c r="B287" i="8"/>
  <c r="B3115" i="8"/>
  <c r="B3028" i="8"/>
  <c r="C1001" i="8"/>
  <c r="B2617" i="8"/>
  <c r="B2877" i="8"/>
  <c r="C4246" i="8"/>
  <c r="B223" i="8"/>
  <c r="B3985" i="8"/>
  <c r="B2539" i="8"/>
  <c r="B4333" i="8"/>
  <c r="C2487" i="8"/>
  <c r="C2461" i="8"/>
  <c r="C3202" i="8"/>
  <c r="C3376" i="8"/>
  <c r="B4594" i="8"/>
  <c r="C31" i="8"/>
  <c r="C480" i="8"/>
  <c r="B479" i="8"/>
  <c r="C288" i="8"/>
  <c r="B2487" i="8"/>
  <c r="B2461" i="8"/>
  <c r="C2081" i="8"/>
  <c r="C2351" i="8"/>
  <c r="C3985" i="8"/>
  <c r="B2825" i="8"/>
  <c r="C2877" i="8"/>
  <c r="C1721" i="8"/>
  <c r="C224" i="8"/>
  <c r="C1361" i="8"/>
  <c r="B3202" i="8"/>
  <c r="B3550" i="8"/>
  <c r="B3463" i="8"/>
  <c r="C3811" i="8"/>
  <c r="B2981" i="8"/>
  <c r="C3724" i="8"/>
  <c r="C2799" i="8"/>
  <c r="B4681" i="8"/>
  <c r="B415" i="8"/>
  <c r="B2929" i="8"/>
  <c r="C2747" i="8"/>
  <c r="C4507" i="8"/>
  <c r="C4768" i="8"/>
  <c r="C1451" i="8"/>
  <c r="C2565" i="8"/>
  <c r="B3376" i="8"/>
  <c r="C2513" i="8"/>
  <c r="C4333" i="8"/>
  <c r="C2669" i="8"/>
  <c r="C3289" i="8"/>
  <c r="H2797" i="8" a="1"/>
  <c r="F4680" i="8"/>
  <c r="F158" i="8"/>
  <c r="H2745" i="8" a="1"/>
  <c r="G1180" i="8"/>
  <c r="G1270" i="8"/>
  <c r="H2953" i="8" a="1"/>
  <c r="F2668" i="8"/>
  <c r="H2771" i="8" a="1"/>
  <c r="G4680" i="8"/>
  <c r="H3461" i="8" a="1"/>
  <c r="F2720" i="8"/>
  <c r="F3114" i="8"/>
  <c r="H2849" i="8" a="1"/>
  <c r="F550" i="8"/>
  <c r="F3288" i="8"/>
  <c r="G3810" i="8"/>
  <c r="F4245" i="8"/>
  <c r="H350" i="8" a="1"/>
  <c r="F4158" i="8"/>
  <c r="F3375" i="8"/>
  <c r="G159" i="8"/>
  <c r="F2370" i="8"/>
  <c r="G3375" i="8"/>
  <c r="H3200" i="8" a="1"/>
  <c r="F4071" i="8"/>
  <c r="F2798" i="8"/>
  <c r="H29" i="8" a="1"/>
  <c r="G2798" i="8"/>
  <c r="H2823" i="8" a="1"/>
  <c r="F4768" i="8"/>
  <c r="H158" i="8" a="1"/>
  <c r="F3549" i="8"/>
  <c r="G2538" i="8"/>
  <c r="F2694" i="8"/>
  <c r="G640" i="8"/>
  <c r="H3809" i="8" a="1"/>
  <c r="G3549" i="8"/>
  <c r="F2460" i="8"/>
  <c r="H2693" i="8" a="1"/>
  <c r="G3462" i="8"/>
  <c r="G2772" i="8"/>
  <c r="G1810" i="8"/>
  <c r="G2720" i="8"/>
  <c r="G2590" i="8"/>
  <c r="F2486" i="8"/>
  <c r="H2927" i="8" a="1"/>
  <c r="G2616" i="8"/>
  <c r="F3201" i="8"/>
  <c r="G415" i="8"/>
  <c r="F2850" i="8"/>
  <c r="G1630" i="8"/>
  <c r="G2564" i="8"/>
  <c r="H3896" i="8" a="1"/>
  <c r="G1360" i="8"/>
  <c r="F2954" i="8"/>
  <c r="G2694" i="8"/>
  <c r="H2485" i="8" a="1"/>
  <c r="H2901" i="8" a="1"/>
  <c r="H286" i="8" a="1"/>
  <c r="H414" i="8" a="1"/>
  <c r="F2512" i="8"/>
  <c r="G1540" i="8"/>
  <c r="H4157" i="8" a="1"/>
  <c r="H3026" i="8" a="1"/>
  <c r="G4593" i="8"/>
  <c r="H2350" i="8" a="1"/>
  <c r="F2538" i="8"/>
  <c r="H2511" i="8" a="1"/>
  <c r="G3636" i="8"/>
  <c r="H2615" i="8" a="1"/>
  <c r="H4418" i="8" a="1"/>
  <c r="F4593" i="8"/>
  <c r="H94" i="8" a="1"/>
  <c r="G3897" i="8"/>
  <c r="H3287" i="8" a="1"/>
  <c r="G2876" i="8"/>
  <c r="G2850" i="8"/>
  <c r="H2719" i="8" a="1"/>
  <c r="F30" i="8"/>
  <c r="G4419" i="8"/>
  <c r="G4506" i="8"/>
  <c r="F3897" i="8"/>
  <c r="F2746" i="8"/>
  <c r="F222" i="8"/>
  <c r="H4331" i="8" a="1"/>
  <c r="G2824" i="8"/>
  <c r="H2589" i="8" a="1"/>
  <c r="G2981" i="8"/>
  <c r="G2460" i="8"/>
  <c r="H4505" i="8" a="1"/>
  <c r="G1000" i="8"/>
  <c r="F3462" i="8"/>
  <c r="H3722" i="8" a="1"/>
  <c r="F4332" i="8"/>
  <c r="G4768" i="8"/>
  <c r="H3374" i="8" a="1"/>
  <c r="F2824" i="8"/>
  <c r="F479" i="8"/>
  <c r="H2667" i="8" a="1"/>
  <c r="F3984" i="8"/>
  <c r="G3723" i="8"/>
  <c r="F2928" i="8"/>
  <c r="F3027" i="8"/>
  <c r="H2641" i="8" a="1"/>
  <c r="G4071" i="8"/>
  <c r="H222" i="8" a="1"/>
  <c r="F94" i="8"/>
  <c r="H3983" i="8" a="1"/>
  <c r="F2642" i="8"/>
  <c r="G30" i="8"/>
  <c r="H2537" i="8" a="1"/>
  <c r="F286" i="8"/>
  <c r="F2902" i="8"/>
  <c r="G2080" i="8"/>
  <c r="F3723" i="8"/>
  <c r="F2981" i="8"/>
  <c r="F2772" i="8"/>
  <c r="F3636" i="8"/>
  <c r="H2459" i="8" a="1"/>
  <c r="G2746" i="8"/>
  <c r="F2564" i="8"/>
  <c r="G95" i="8"/>
  <c r="G480" i="8"/>
  <c r="G1900" i="8"/>
  <c r="H2875" i="8" a="1"/>
  <c r="H2563" i="8" a="1"/>
  <c r="G2902" i="8"/>
  <c r="G730" i="8"/>
  <c r="H4070" i="8" a="1"/>
  <c r="F414" i="8"/>
  <c r="F2876" i="8"/>
  <c r="G3114" i="8"/>
  <c r="G1720" i="8"/>
  <c r="H4592" i="8" a="1"/>
  <c r="G3201" i="8"/>
  <c r="G2928" i="8"/>
  <c r="G3984" i="8"/>
  <c r="F4506" i="8"/>
  <c r="G2512" i="8"/>
  <c r="H549" i="8" a="1"/>
  <c r="G3288" i="8"/>
  <c r="F2616" i="8"/>
  <c r="H2980" i="8" a="1"/>
  <c r="G1990" i="8"/>
  <c r="G2170" i="8"/>
  <c r="G4158" i="8"/>
  <c r="G223" i="8"/>
  <c r="H3548" i="8" a="1"/>
  <c r="F3810" i="8"/>
  <c r="G2642" i="8"/>
  <c r="G1090" i="8"/>
  <c r="F2590" i="8"/>
  <c r="H4244" i="8" a="1"/>
  <c r="G2954" i="8"/>
  <c r="G2351" i="8"/>
  <c r="G3027" i="8"/>
  <c r="H479" i="8" a="1"/>
  <c r="G820" i="8"/>
  <c r="G2668" i="8"/>
  <c r="H3113" i="8" a="1"/>
  <c r="G4332" i="8"/>
  <c r="G2260" i="8"/>
  <c r="G4245" i="8"/>
  <c r="G2486" i="8"/>
  <c r="F350" i="8"/>
  <c r="H4679" i="8" a="1"/>
  <c r="H3635" i="8" a="1"/>
  <c r="F4419" i="8"/>
  <c r="G910" i="8"/>
  <c r="G550" i="8"/>
  <c r="G1450" i="8"/>
  <c r="G287" i="8"/>
  <c r="G351" i="8"/>
  <c r="H4767" i="8" a="1"/>
  <c r="H479" i="8" l="1"/>
  <c r="H2980" i="8"/>
  <c r="H3722" i="8"/>
  <c r="H2771" i="8"/>
  <c r="H2693" i="8"/>
  <c r="H3635" i="8"/>
  <c r="H350" i="8"/>
  <c r="H4767" i="8"/>
  <c r="H94" i="8"/>
  <c r="H2641" i="8"/>
  <c r="H3026" i="8"/>
  <c r="H286" i="8"/>
  <c r="H3896" i="8"/>
  <c r="H2823" i="8"/>
  <c r="H4157" i="8"/>
  <c r="H2953" i="8"/>
  <c r="H2563" i="8"/>
  <c r="H29" i="8"/>
  <c r="H2459" i="8"/>
  <c r="H2901" i="8"/>
  <c r="H2537" i="8"/>
  <c r="H2511" i="8"/>
  <c r="H4505" i="8"/>
  <c r="H4244" i="8"/>
  <c r="H3809" i="8"/>
  <c r="H4679" i="8"/>
  <c r="H2849" i="8"/>
  <c r="H2719" i="8"/>
  <c r="H4418" i="8"/>
  <c r="H2667" i="8"/>
  <c r="H4592" i="8"/>
  <c r="H2745" i="8"/>
  <c r="H2875" i="8"/>
  <c r="H3200" i="8"/>
  <c r="H3113" i="8"/>
  <c r="H2485" i="8"/>
  <c r="H3983" i="8"/>
  <c r="H549" i="8"/>
  <c r="H2589" i="8"/>
  <c r="H4070" i="8"/>
  <c r="H222" i="8"/>
  <c r="H2350" i="8"/>
  <c r="H4331" i="8"/>
  <c r="H3548" i="8"/>
  <c r="H158" i="8"/>
  <c r="H2927" i="8"/>
  <c r="H3461" i="8"/>
  <c r="H3287" i="8"/>
  <c r="H2615" i="8"/>
  <c r="H3374" i="8"/>
  <c r="H414" i="8"/>
  <c r="H2797" i="8"/>
  <c r="C2774" i="8"/>
  <c r="B3551" i="8"/>
  <c r="C4073" i="8"/>
  <c r="C2696" i="8"/>
  <c r="C2540" i="8"/>
  <c r="C2592" i="8"/>
  <c r="B480" i="8"/>
  <c r="B3290" i="8"/>
  <c r="C289" i="8"/>
  <c r="C2904" i="8"/>
  <c r="C2172" i="8"/>
  <c r="C2514" i="8"/>
  <c r="B2566" i="8"/>
  <c r="B288" i="8"/>
  <c r="B2904" i="8"/>
  <c r="C225" i="8"/>
  <c r="C3551" i="8"/>
  <c r="C2618" i="8"/>
  <c r="C2748" i="8"/>
  <c r="B160" i="8"/>
  <c r="B96" i="8"/>
  <c r="C732" i="8"/>
  <c r="B3986" i="8"/>
  <c r="B3725" i="8"/>
  <c r="B2618" i="8"/>
  <c r="B2774" i="8"/>
  <c r="C2930" i="8"/>
  <c r="C1632" i="8"/>
  <c r="B2878" i="8"/>
  <c r="C1902" i="8"/>
  <c r="C2082" i="8"/>
  <c r="B2372" i="8"/>
  <c r="C1002" i="8"/>
  <c r="C1452" i="8"/>
  <c r="C1812" i="8"/>
  <c r="C353" i="8"/>
  <c r="B4682" i="8"/>
  <c r="C3290" i="8"/>
  <c r="B2644" i="8"/>
  <c r="B352" i="8"/>
  <c r="C2800" i="8"/>
  <c r="B3899" i="8"/>
  <c r="B3812" i="8"/>
  <c r="B4508" i="8"/>
  <c r="C3116" i="8"/>
  <c r="C3029" i="8"/>
  <c r="B224" i="8"/>
  <c r="C3638" i="8"/>
  <c r="C4769" i="8"/>
  <c r="B4334" i="8"/>
  <c r="B2826" i="8"/>
  <c r="C481" i="8"/>
  <c r="C4247" i="8"/>
  <c r="C4160" i="8"/>
  <c r="B2696" i="8"/>
  <c r="B2592" i="8"/>
  <c r="C1272" i="8"/>
  <c r="B2748" i="8"/>
  <c r="C2670" i="8"/>
  <c r="C3377" i="8"/>
  <c r="B2852" i="8"/>
  <c r="C4421" i="8"/>
  <c r="B3464" i="8"/>
  <c r="C1542" i="8"/>
  <c r="C4595" i="8"/>
  <c r="B2956" i="8"/>
  <c r="B4769" i="8"/>
  <c r="C3812" i="8"/>
  <c r="C3899" i="8"/>
  <c r="B3638" i="8"/>
  <c r="B2488" i="8"/>
  <c r="B4421" i="8"/>
  <c r="B4073" i="8"/>
  <c r="C4334" i="8"/>
  <c r="B3029" i="8"/>
  <c r="B3116" i="8"/>
  <c r="C2982" i="8"/>
  <c r="B2722" i="8"/>
  <c r="C2722" i="8"/>
  <c r="C3203" i="8"/>
  <c r="C2852" i="8"/>
  <c r="C2566" i="8"/>
  <c r="C2878" i="8"/>
  <c r="C2644" i="8"/>
  <c r="B2930" i="8"/>
  <c r="B416" i="8"/>
  <c r="B2670" i="8"/>
  <c r="C1182" i="8"/>
  <c r="C3725" i="8"/>
  <c r="B3377" i="8"/>
  <c r="C3986" i="8"/>
  <c r="C4682" i="8"/>
  <c r="C417" i="8"/>
  <c r="B2982" i="8"/>
  <c r="C2826" i="8"/>
  <c r="B2514" i="8"/>
  <c r="C32" i="8"/>
  <c r="C3464" i="8"/>
  <c r="C2488" i="8"/>
  <c r="C1092" i="8"/>
  <c r="B3203" i="8"/>
  <c r="C822" i="8"/>
  <c r="C161" i="8"/>
  <c r="C97" i="8"/>
  <c r="C912" i="8"/>
  <c r="B552" i="8"/>
  <c r="B616" i="8"/>
  <c r="B32" i="8"/>
  <c r="C2352" i="8"/>
  <c r="B4160" i="8"/>
  <c r="C1722" i="8"/>
  <c r="C1362" i="8"/>
  <c r="B4595" i="8"/>
  <c r="B4247" i="8"/>
  <c r="C4508" i="8"/>
  <c r="C642" i="8"/>
  <c r="C552" i="8"/>
  <c r="B2800" i="8"/>
  <c r="C2956" i="8"/>
  <c r="B2540" i="8"/>
  <c r="C1992" i="8"/>
  <c r="C2262" i="8"/>
  <c r="H2981" i="8" a="1"/>
  <c r="G4159" i="8"/>
  <c r="H2486" i="8" a="1"/>
  <c r="G1541" i="8"/>
  <c r="G2261" i="8"/>
  <c r="H2928" i="8" a="1"/>
  <c r="G3028" i="8"/>
  <c r="G2799" i="8"/>
  <c r="F480" i="8"/>
  <c r="F2799" i="8"/>
  <c r="G551" i="8"/>
  <c r="H2642" i="8" a="1"/>
  <c r="F2669" i="8"/>
  <c r="H2720" i="8" a="1"/>
  <c r="F2371" i="8"/>
  <c r="F4507" i="8"/>
  <c r="H4506" i="8" a="1"/>
  <c r="G3550" i="8"/>
  <c r="G821" i="8"/>
  <c r="G2081" i="8"/>
  <c r="G2643" i="8"/>
  <c r="G731" i="8"/>
  <c r="H3375" i="8" a="1"/>
  <c r="G1181" i="8"/>
  <c r="H415" i="8" a="1"/>
  <c r="G1361" i="8"/>
  <c r="G4420" i="8"/>
  <c r="H3201" i="8" a="1"/>
  <c r="F4246" i="8"/>
  <c r="G1271" i="8"/>
  <c r="F2539" i="8"/>
  <c r="F4769" i="8"/>
  <c r="H223" i="8" a="1"/>
  <c r="G224" i="8"/>
  <c r="G3811" i="8"/>
  <c r="H3723" i="8" a="1"/>
  <c r="F3724" i="8"/>
  <c r="F31" i="8"/>
  <c r="H2850" i="8" a="1"/>
  <c r="G3289" i="8"/>
  <c r="H3984" i="8" a="1"/>
  <c r="F2851" i="8"/>
  <c r="G3898" i="8"/>
  <c r="G3376" i="8"/>
  <c r="G352" i="8"/>
  <c r="F3028" i="8"/>
  <c r="G3115" i="8"/>
  <c r="G2171" i="8"/>
  <c r="G1451" i="8"/>
  <c r="G1721" i="8"/>
  <c r="H2902" i="8" a="1"/>
  <c r="F2695" i="8"/>
  <c r="G2617" i="8"/>
  <c r="G2565" i="8"/>
  <c r="F2929" i="8"/>
  <c r="F4594" i="8"/>
  <c r="H2460" i="8" a="1"/>
  <c r="G2929" i="8"/>
  <c r="G1001" i="8"/>
  <c r="G911" i="8"/>
  <c r="G2747" i="8"/>
  <c r="F2955" i="8"/>
  <c r="G3985" i="8"/>
  <c r="F3376" i="8"/>
  <c r="H4158" i="8" a="1"/>
  <c r="G3202" i="8"/>
  <c r="G2695" i="8"/>
  <c r="H95" i="8" a="1"/>
  <c r="G4072" i="8"/>
  <c r="H159" i="8" a="1"/>
  <c r="F95" i="8"/>
  <c r="G2825" i="8"/>
  <c r="G2539" i="8"/>
  <c r="G2513" i="8"/>
  <c r="G4507" i="8"/>
  <c r="H2590" i="8" a="1"/>
  <c r="F287" i="8"/>
  <c r="F2643" i="8"/>
  <c r="H4332" i="8" a="1"/>
  <c r="F2565" i="8"/>
  <c r="H3897" i="8" a="1"/>
  <c r="F3898" i="8"/>
  <c r="F2903" i="8"/>
  <c r="H4768" i="8" a="1"/>
  <c r="F415" i="8"/>
  <c r="F4681" i="8"/>
  <c r="H3810" i="8" a="1"/>
  <c r="H615" i="8" a="1"/>
  <c r="G31" i="8"/>
  <c r="H2616" i="8" a="1"/>
  <c r="F2721" i="8"/>
  <c r="H3462" i="8" a="1"/>
  <c r="G2903" i="8"/>
  <c r="G3637" i="8"/>
  <c r="H4245" i="8" a="1"/>
  <c r="F2747" i="8"/>
  <c r="G1091" i="8"/>
  <c r="F3463" i="8"/>
  <c r="F351" i="8"/>
  <c r="H2772" i="8" a="1"/>
  <c r="F3202" i="8"/>
  <c r="G3724" i="8"/>
  <c r="H287" i="8" a="1"/>
  <c r="F2617" i="8"/>
  <c r="F4072" i="8"/>
  <c r="G1901" i="8"/>
  <c r="F2461" i="8"/>
  <c r="H2538" i="8" a="1"/>
  <c r="G481" i="8"/>
  <c r="F2773" i="8"/>
  <c r="H2694" i="8" a="1"/>
  <c r="G4333" i="8"/>
  <c r="H2351" i="8" a="1"/>
  <c r="G1991" i="8"/>
  <c r="H4593" i="8" a="1"/>
  <c r="G2721" i="8"/>
  <c r="H2668" i="8" a="1"/>
  <c r="G2669" i="8"/>
  <c r="H2564" i="8" a="1"/>
  <c r="G2461" i="8"/>
  <c r="F3637" i="8"/>
  <c r="H2876" i="8" a="1"/>
  <c r="H4680" i="8" a="1"/>
  <c r="H2954" i="8" a="1"/>
  <c r="F3115" i="8"/>
  <c r="G4681" i="8"/>
  <c r="G641" i="8"/>
  <c r="H3636" i="8" a="1"/>
  <c r="G2851" i="8"/>
  <c r="G4769" i="8"/>
  <c r="G1631" i="8"/>
  <c r="H2746" i="8" a="1"/>
  <c r="G3463" i="8"/>
  <c r="H2798" i="8" a="1"/>
  <c r="G1811" i="8"/>
  <c r="F2487" i="8"/>
  <c r="G2877" i="8"/>
  <c r="F3289" i="8"/>
  <c r="H3114" i="8" a="1"/>
  <c r="F223" i="8"/>
  <c r="F3550" i="8"/>
  <c r="H3288" i="8" a="1"/>
  <c r="G2773" i="8"/>
  <c r="F4159" i="8"/>
  <c r="H3549" i="8" a="1"/>
  <c r="F615" i="8"/>
  <c r="G96" i="8"/>
  <c r="G2487" i="8"/>
  <c r="G4594" i="8"/>
  <c r="H3027" i="8" a="1"/>
  <c r="G160" i="8"/>
  <c r="F4333" i="8"/>
  <c r="H550" i="8" a="1"/>
  <c r="F3811" i="8"/>
  <c r="F3985" i="8"/>
  <c r="H4419" i="8" a="1"/>
  <c r="F159" i="8"/>
  <c r="G2352" i="8"/>
  <c r="G2591" i="8"/>
  <c r="F2982" i="8"/>
  <c r="H4071" i="8" a="1"/>
  <c r="F2591" i="8"/>
  <c r="G2955" i="8"/>
  <c r="H2512" i="8" a="1"/>
  <c r="F4420" i="8"/>
  <c r="F551" i="8"/>
  <c r="H2824" i="8" a="1"/>
  <c r="F2825" i="8"/>
  <c r="H351" i="8" a="1"/>
  <c r="G288" i="8"/>
  <c r="G4246" i="8"/>
  <c r="H30" i="8" a="1"/>
  <c r="G416" i="8"/>
  <c r="F2513" i="8"/>
  <c r="F2877" i="8"/>
  <c r="G2982" i="8"/>
  <c r="H2512" i="8" l="1"/>
  <c r="H550" i="8"/>
  <c r="H3288" i="8"/>
  <c r="H287" i="8"/>
  <c r="H2954" i="8"/>
  <c r="H2564" i="8"/>
  <c r="H2351" i="8"/>
  <c r="H3984" i="8"/>
  <c r="H3462" i="8"/>
  <c r="H3897" i="8"/>
  <c r="H159" i="8"/>
  <c r="H2694" i="8"/>
  <c r="H2850" i="8"/>
  <c r="H2616" i="8"/>
  <c r="H4332" i="8"/>
  <c r="H95" i="8"/>
  <c r="H30" i="8"/>
  <c r="H3201" i="8"/>
  <c r="H4506" i="8"/>
  <c r="H2928" i="8"/>
  <c r="H3636" i="8"/>
  <c r="H4071" i="8"/>
  <c r="H3027" i="8"/>
  <c r="H3114" i="8"/>
  <c r="H2772" i="8"/>
  <c r="H4680" i="8"/>
  <c r="H615" i="8"/>
  <c r="H2876" i="8"/>
  <c r="H2668" i="8"/>
  <c r="H2538" i="8"/>
  <c r="H3723" i="8"/>
  <c r="H3810" i="8"/>
  <c r="H2590" i="8"/>
  <c r="H4158" i="8"/>
  <c r="H351" i="8"/>
  <c r="H415" i="8"/>
  <c r="H2720" i="8"/>
  <c r="H2486" i="8"/>
  <c r="H2824" i="8"/>
  <c r="H3375" i="8"/>
  <c r="H2642" i="8"/>
  <c r="H2981" i="8"/>
  <c r="H2460" i="8"/>
  <c r="H4419" i="8"/>
  <c r="H3549" i="8"/>
  <c r="H2798" i="8"/>
  <c r="H4245" i="8"/>
  <c r="H2902" i="8"/>
  <c r="H4593" i="8"/>
  <c r="H2746" i="8"/>
  <c r="H223" i="8"/>
  <c r="H4768" i="8"/>
  <c r="C4770" i="8"/>
  <c r="B3465" i="8"/>
  <c r="B481" i="8"/>
  <c r="C3291" i="8"/>
  <c r="C2083" i="8"/>
  <c r="C2983" i="8"/>
  <c r="C553" i="8"/>
  <c r="C643" i="8"/>
  <c r="C1453" i="8"/>
  <c r="B33" i="8"/>
  <c r="B617" i="8"/>
  <c r="B553" i="8"/>
  <c r="C162" i="8"/>
  <c r="C98" i="8"/>
  <c r="C33" i="8"/>
  <c r="C2853" i="8"/>
  <c r="B2697" i="8"/>
  <c r="C2905" i="8"/>
  <c r="C2749" i="8"/>
  <c r="B3117" i="8"/>
  <c r="B3030" i="8"/>
  <c r="B4161" i="8"/>
  <c r="B2515" i="8"/>
  <c r="C3987" i="8"/>
  <c r="C4683" i="8"/>
  <c r="B3552" i="8"/>
  <c r="B2879" i="8"/>
  <c r="C1363" i="8"/>
  <c r="B2723" i="8"/>
  <c r="C4335" i="8"/>
  <c r="B289" i="8"/>
  <c r="C1093" i="8"/>
  <c r="B2645" i="8"/>
  <c r="C2775" i="8"/>
  <c r="C3639" i="8"/>
  <c r="C354" i="8"/>
  <c r="C2567" i="8"/>
  <c r="C4161" i="8"/>
  <c r="B4248" i="8"/>
  <c r="B3291" i="8"/>
  <c r="C2515" i="8"/>
  <c r="C482" i="8"/>
  <c r="C4074" i="8"/>
  <c r="C3813" i="8"/>
  <c r="C2879" i="8"/>
  <c r="B4596" i="8"/>
  <c r="B3987" i="8"/>
  <c r="C2827" i="8"/>
  <c r="B2671" i="8"/>
  <c r="B4770" i="8"/>
  <c r="C1903" i="8"/>
  <c r="C2173" i="8"/>
  <c r="B2905" i="8"/>
  <c r="C2957" i="8"/>
  <c r="B4074" i="8"/>
  <c r="B161" i="8"/>
  <c r="B97" i="8"/>
  <c r="C2645" i="8"/>
  <c r="C2541" i="8"/>
  <c r="C2931" i="8"/>
  <c r="B3639" i="8"/>
  <c r="C733" i="8"/>
  <c r="B4335" i="8"/>
  <c r="C226" i="8"/>
  <c r="B2957" i="8"/>
  <c r="C2353" i="8"/>
  <c r="B2567" i="8"/>
  <c r="B2827" i="8"/>
  <c r="C1813" i="8"/>
  <c r="C1003" i="8"/>
  <c r="C913" i="8"/>
  <c r="C3552" i="8"/>
  <c r="B2541" i="8"/>
  <c r="C1273" i="8"/>
  <c r="C2593" i="8"/>
  <c r="B2749" i="8"/>
  <c r="B3204" i="8"/>
  <c r="C4422" i="8"/>
  <c r="B4509" i="8"/>
  <c r="B3726" i="8"/>
  <c r="C3900" i="8"/>
  <c r="B2983" i="8"/>
  <c r="C1633" i="8"/>
  <c r="C4509" i="8"/>
  <c r="C3465" i="8"/>
  <c r="B2775" i="8"/>
  <c r="B2619" i="8"/>
  <c r="C4248" i="8"/>
  <c r="B4422" i="8"/>
  <c r="C3726" i="8"/>
  <c r="C3030" i="8"/>
  <c r="C3117" i="8"/>
  <c r="C1993" i="8"/>
  <c r="B2801" i="8"/>
  <c r="B3813" i="8"/>
  <c r="B225" i="8"/>
  <c r="C290" i="8"/>
  <c r="B353" i="8"/>
  <c r="B3378" i="8"/>
  <c r="C2619" i="8"/>
  <c r="C2723" i="8"/>
  <c r="C4596" i="8"/>
  <c r="B4683" i="8"/>
  <c r="C1183" i="8"/>
  <c r="C2671" i="8"/>
  <c r="C2697" i="8"/>
  <c r="B2853" i="8"/>
  <c r="C3204" i="8"/>
  <c r="B3900" i="8"/>
  <c r="B417" i="8"/>
  <c r="C3378" i="8"/>
  <c r="C418" i="8"/>
  <c r="C1543" i="8"/>
  <c r="B2373" i="8"/>
  <c r="C1723" i="8"/>
  <c r="C823" i="8"/>
  <c r="B2931" i="8"/>
  <c r="B2593" i="8"/>
  <c r="C2263" i="8"/>
  <c r="C2801" i="8"/>
  <c r="H3376" i="8" a="1"/>
  <c r="F552" i="8"/>
  <c r="F3986" i="8"/>
  <c r="H2695" i="8" a="1"/>
  <c r="G642" i="8"/>
  <c r="G1092" i="8"/>
  <c r="H4681" i="8" a="1"/>
  <c r="F4682" i="8"/>
  <c r="H2982" i="8" a="1"/>
  <c r="F2618" i="8"/>
  <c r="F3812" i="8"/>
  <c r="H3898" i="8" a="1"/>
  <c r="G32" i="8"/>
  <c r="G2353" i="8"/>
  <c r="H2487" i="8" a="1"/>
  <c r="G161" i="8"/>
  <c r="G3116" i="8"/>
  <c r="H224" i="8" a="1"/>
  <c r="G2082" i="8"/>
  <c r="H2747" i="8" a="1"/>
  <c r="G2540" i="8"/>
  <c r="H3115" i="8" a="1"/>
  <c r="F2852" i="8"/>
  <c r="G1452" i="8"/>
  <c r="G2722" i="8"/>
  <c r="F4421" i="8"/>
  <c r="H2773" i="8" a="1"/>
  <c r="G2878" i="8"/>
  <c r="G1182" i="8"/>
  <c r="H4420" i="8" a="1"/>
  <c r="F3551" i="8"/>
  <c r="H480" i="8" a="1"/>
  <c r="F2696" i="8"/>
  <c r="G3812" i="8"/>
  <c r="G3899" i="8"/>
  <c r="H2617" i="8" a="1"/>
  <c r="G912" i="8"/>
  <c r="H352" i="8" a="1"/>
  <c r="H4072" i="8" a="1"/>
  <c r="F2488" i="8"/>
  <c r="F3725" i="8"/>
  <c r="G2956" i="8"/>
  <c r="H616" i="8" a="1"/>
  <c r="H2461" i="8" a="1"/>
  <c r="G2983" i="8"/>
  <c r="G1722" i="8"/>
  <c r="H3028" i="8" a="1"/>
  <c r="F96" i="8"/>
  <c r="G3290" i="8"/>
  <c r="H31" i="8" a="1"/>
  <c r="G4595" i="8"/>
  <c r="F3290" i="8"/>
  <c r="F32" i="8"/>
  <c r="G2566" i="8"/>
  <c r="H2825" i="8" a="1"/>
  <c r="G1362" i="8"/>
  <c r="G3464" i="8"/>
  <c r="H2669" i="8" a="1"/>
  <c r="G2514" i="8"/>
  <c r="H2721" i="8" a="1"/>
  <c r="F4160" i="8"/>
  <c r="H3637" i="8" a="1"/>
  <c r="G2748" i="8"/>
  <c r="F4334" i="8"/>
  <c r="H2565" i="8" a="1"/>
  <c r="G289" i="8"/>
  <c r="F160" i="8"/>
  <c r="H4507" i="8" a="1"/>
  <c r="G4334" i="8"/>
  <c r="G225" i="8"/>
  <c r="H3985" i="8" a="1"/>
  <c r="G3986" i="8"/>
  <c r="H4769" i="8" a="1"/>
  <c r="G482" i="8"/>
  <c r="G3029" i="8"/>
  <c r="H4246" i="8" a="1"/>
  <c r="G4073" i="8"/>
  <c r="G4508" i="8"/>
  <c r="H2513" i="8" a="1"/>
  <c r="F3638" i="8"/>
  <c r="F4595" i="8"/>
  <c r="F4508" i="8"/>
  <c r="G4160" i="8"/>
  <c r="H2591" i="8" a="1"/>
  <c r="F224" i="8"/>
  <c r="H551" i="8" a="1"/>
  <c r="F3464" i="8"/>
  <c r="G3377" i="8"/>
  <c r="H4333" i="8" a="1"/>
  <c r="G1272" i="8"/>
  <c r="F2983" i="8"/>
  <c r="H3202" i="8" a="1"/>
  <c r="F2540" i="8"/>
  <c r="G2696" i="8"/>
  <c r="H96" i="8" a="1"/>
  <c r="G3551" i="8"/>
  <c r="H2539" i="8" a="1"/>
  <c r="G1002" i="8"/>
  <c r="F2592" i="8"/>
  <c r="H3550" i="8" a="1"/>
  <c r="G4247" i="8"/>
  <c r="G3638" i="8"/>
  <c r="H2352" i="8" a="1"/>
  <c r="G4421" i="8"/>
  <c r="G1992" i="8"/>
  <c r="F2644" i="8"/>
  <c r="H416" i="8" a="1"/>
  <c r="G2618" i="8"/>
  <c r="F2566" i="8"/>
  <c r="H2929" i="8" a="1"/>
  <c r="G3725" i="8"/>
  <c r="F2372" i="8"/>
  <c r="G97" i="8"/>
  <c r="F2748" i="8"/>
  <c r="G732" i="8"/>
  <c r="G552" i="8"/>
  <c r="G1812" i="8"/>
  <c r="H160" i="8" a="1"/>
  <c r="G2904" i="8"/>
  <c r="F288" i="8"/>
  <c r="H3811" i="8" a="1"/>
  <c r="G1902" i="8"/>
  <c r="G4682" i="8"/>
  <c r="G2852" i="8"/>
  <c r="H2903" i="8" a="1"/>
  <c r="G2800" i="8"/>
  <c r="F2774" i="8"/>
  <c r="H4594" i="8" a="1"/>
  <c r="F3203" i="8"/>
  <c r="G2670" i="8"/>
  <c r="G4770" i="8"/>
  <c r="F2956" i="8"/>
  <c r="G1632" i="8"/>
  <c r="F416" i="8"/>
  <c r="F3899" i="8"/>
  <c r="H2799" i="8" a="1"/>
  <c r="F4770" i="8"/>
  <c r="G2592" i="8"/>
  <c r="H2877" i="8" a="1"/>
  <c r="G417" i="8"/>
  <c r="F352" i="8"/>
  <c r="F481" i="8"/>
  <c r="H2643" i="8" a="1"/>
  <c r="F2670" i="8"/>
  <c r="F616" i="8"/>
  <c r="H4159" i="8" a="1"/>
  <c r="G2262" i="8"/>
  <c r="G353" i="8"/>
  <c r="F3377" i="8"/>
  <c r="G2930" i="8"/>
  <c r="H2955" i="8" a="1"/>
  <c r="G2488" i="8"/>
  <c r="G2644" i="8"/>
  <c r="H3724" i="8" a="1"/>
  <c r="F3029" i="8"/>
  <c r="F3116" i="8"/>
  <c r="H3463" i="8" a="1"/>
  <c r="F2800" i="8"/>
  <c r="G2774" i="8"/>
  <c r="G3203" i="8"/>
  <c r="F2930" i="8"/>
  <c r="H3289" i="8" a="1"/>
  <c r="F2878" i="8"/>
  <c r="F2826" i="8"/>
  <c r="F2514" i="8"/>
  <c r="H288" i="8" a="1"/>
  <c r="F2904" i="8"/>
  <c r="F4073" i="8"/>
  <c r="H2851" i="8" a="1"/>
  <c r="F2722" i="8"/>
  <c r="F4247" i="8"/>
  <c r="G822" i="8"/>
  <c r="G2172" i="8"/>
  <c r="G2826" i="8"/>
  <c r="G1542" i="8"/>
  <c r="H480" i="8" l="1"/>
  <c r="H2513" i="8"/>
  <c r="H4507" i="8"/>
  <c r="H2352" i="8"/>
  <c r="H3202" i="8"/>
  <c r="H2617" i="8"/>
  <c r="H4420" i="8"/>
  <c r="H2669" i="8"/>
  <c r="H3028" i="8"/>
  <c r="H3289" i="8"/>
  <c r="H2955" i="8"/>
  <c r="H2747" i="8"/>
  <c r="H2982" i="8"/>
  <c r="H352" i="8"/>
  <c r="H224" i="8"/>
  <c r="H4681" i="8"/>
  <c r="H3811" i="8"/>
  <c r="H2929" i="8"/>
  <c r="H2877" i="8"/>
  <c r="H4594" i="8"/>
  <c r="H4246" i="8"/>
  <c r="H2565" i="8"/>
  <c r="H3550" i="8"/>
  <c r="H4333" i="8"/>
  <c r="H2851" i="8"/>
  <c r="H2773" i="8"/>
  <c r="H2825" i="8"/>
  <c r="H2461" i="8"/>
  <c r="H616" i="8"/>
  <c r="H3463" i="8"/>
  <c r="H4159" i="8"/>
  <c r="H2487" i="8"/>
  <c r="H2695" i="8"/>
  <c r="H160" i="8"/>
  <c r="H416" i="8"/>
  <c r="H2799" i="8"/>
  <c r="H2903" i="8"/>
  <c r="H4769" i="8"/>
  <c r="H3637" i="8"/>
  <c r="H2539" i="8"/>
  <c r="H551" i="8"/>
  <c r="H3985" i="8"/>
  <c r="H2721" i="8"/>
  <c r="H96" i="8"/>
  <c r="H2591" i="8"/>
  <c r="H288" i="8"/>
  <c r="H3115" i="8"/>
  <c r="H31" i="8"/>
  <c r="H4072" i="8"/>
  <c r="H3724" i="8"/>
  <c r="H2643" i="8"/>
  <c r="H3898" i="8"/>
  <c r="H3376" i="8"/>
  <c r="C2354" i="8"/>
  <c r="B3988" i="8"/>
  <c r="C2698" i="8"/>
  <c r="C2750" i="8"/>
  <c r="C2084" i="8"/>
  <c r="C3988" i="8"/>
  <c r="B4597" i="8"/>
  <c r="B2854" i="8"/>
  <c r="C291" i="8"/>
  <c r="B2958" i="8"/>
  <c r="C1814" i="8"/>
  <c r="C1634" i="8"/>
  <c r="C3466" i="8"/>
  <c r="B4771" i="8"/>
  <c r="B3466" i="8"/>
  <c r="C355" i="8"/>
  <c r="B3901" i="8"/>
  <c r="C3814" i="8"/>
  <c r="B2776" i="8"/>
  <c r="C1364" i="8"/>
  <c r="C3640" i="8"/>
  <c r="C1904" i="8"/>
  <c r="B2984" i="8"/>
  <c r="B4162" i="8"/>
  <c r="C1994" i="8"/>
  <c r="B2698" i="8"/>
  <c r="B4075" i="8"/>
  <c r="C2906" i="8"/>
  <c r="C4162" i="8"/>
  <c r="B4336" i="8"/>
  <c r="C3727" i="8"/>
  <c r="B354" i="8"/>
  <c r="B2750" i="8"/>
  <c r="B2906" i="8"/>
  <c r="C4771" i="8"/>
  <c r="B2542" i="8"/>
  <c r="B3118" i="8"/>
  <c r="B3031" i="8"/>
  <c r="C2932" i="8"/>
  <c r="B618" i="8"/>
  <c r="B554" i="8"/>
  <c r="C1544" i="8"/>
  <c r="C644" i="8"/>
  <c r="C554" i="8"/>
  <c r="C2174" i="8"/>
  <c r="C2646" i="8"/>
  <c r="C4336" i="8"/>
  <c r="B2802" i="8"/>
  <c r="C4597" i="8"/>
  <c r="B3814" i="8"/>
  <c r="C4510" i="8"/>
  <c r="C1094" i="8"/>
  <c r="B2594" i="8"/>
  <c r="B4423" i="8"/>
  <c r="B3727" i="8"/>
  <c r="C2568" i="8"/>
  <c r="B162" i="8"/>
  <c r="B98" i="8"/>
  <c r="C2854" i="8"/>
  <c r="C2802" i="8"/>
  <c r="C1184" i="8"/>
  <c r="B3640" i="8"/>
  <c r="B4249" i="8"/>
  <c r="B3205" i="8"/>
  <c r="C2880" i="8"/>
  <c r="C163" i="8"/>
  <c r="C99" i="8"/>
  <c r="B2620" i="8"/>
  <c r="B2828" i="8"/>
  <c r="C3205" i="8"/>
  <c r="C2828" i="8"/>
  <c r="C914" i="8"/>
  <c r="B2374" i="8"/>
  <c r="C483" i="8"/>
  <c r="B482" i="8"/>
  <c r="C3292" i="8"/>
  <c r="C2724" i="8"/>
  <c r="C1274" i="8"/>
  <c r="C4684" i="8"/>
  <c r="B418" i="8"/>
  <c r="B290" i="8"/>
  <c r="C1724" i="8"/>
  <c r="B3292" i="8"/>
  <c r="B2568" i="8"/>
  <c r="C1004" i="8"/>
  <c r="B226" i="8"/>
  <c r="C2984" i="8"/>
  <c r="C2264" i="8"/>
  <c r="B4684" i="8"/>
  <c r="C3901" i="8"/>
  <c r="B3379" i="8"/>
  <c r="C4249" i="8"/>
  <c r="C419" i="8"/>
  <c r="C4423" i="8"/>
  <c r="C1454" i="8"/>
  <c r="C4075" i="8"/>
  <c r="B2724" i="8"/>
  <c r="C34" i="8"/>
  <c r="C227" i="8"/>
  <c r="C734" i="8"/>
  <c r="C3379" i="8"/>
  <c r="B3553" i="8"/>
  <c r="B2880" i="8"/>
  <c r="C3118" i="8"/>
  <c r="C3031" i="8"/>
  <c r="B4510" i="8"/>
  <c r="B2646" i="8"/>
  <c r="C3553" i="8"/>
  <c r="C2620" i="8"/>
  <c r="C824" i="8"/>
  <c r="C2958" i="8"/>
  <c r="C2672" i="8"/>
  <c r="B2932" i="8"/>
  <c r="C2542" i="8"/>
  <c r="C2594" i="8"/>
  <c r="B2672" i="8"/>
  <c r="C2776" i="8"/>
  <c r="B34" i="8"/>
  <c r="H2930" i="8" a="1"/>
  <c r="F3813" i="8"/>
  <c r="G1363" i="8"/>
  <c r="F2827" i="8"/>
  <c r="F417" i="8"/>
  <c r="H2826" i="8" a="1"/>
  <c r="G1273" i="8"/>
  <c r="G483" i="8"/>
  <c r="H2956" i="8" a="1"/>
  <c r="G2853" i="8"/>
  <c r="G643" i="8"/>
  <c r="H552" i="8" a="1"/>
  <c r="F2567" i="8"/>
  <c r="H3116" i="8" a="1"/>
  <c r="G4422" i="8"/>
  <c r="F2697" i="8"/>
  <c r="H4595" i="8" a="1"/>
  <c r="F2775" i="8"/>
  <c r="H97" i="8" a="1"/>
  <c r="G4771" i="8"/>
  <c r="F2619" i="8"/>
  <c r="G2263" i="8"/>
  <c r="G1093" i="8"/>
  <c r="H3377" i="8" a="1"/>
  <c r="F3639" i="8"/>
  <c r="G162" i="8"/>
  <c r="H4682" i="8" a="1"/>
  <c r="G1003" i="8"/>
  <c r="H4508" i="8" a="1"/>
  <c r="G2905" i="8"/>
  <c r="G4335" i="8"/>
  <c r="H2644" i="8" a="1"/>
  <c r="G1993" i="8"/>
  <c r="F4161" i="8"/>
  <c r="H2618" i="8" a="1"/>
  <c r="G2775" i="8"/>
  <c r="G3291" i="8"/>
  <c r="G3900" i="8"/>
  <c r="F97" i="8"/>
  <c r="H417" i="8" a="1"/>
  <c r="G553" i="8"/>
  <c r="F161" i="8"/>
  <c r="F2373" i="8"/>
  <c r="G823" i="8"/>
  <c r="G2827" i="8"/>
  <c r="G2879" i="8"/>
  <c r="G418" i="8"/>
  <c r="H353" i="8" a="1"/>
  <c r="G1903" i="8"/>
  <c r="H2696" i="8" a="1"/>
  <c r="F2515" i="8"/>
  <c r="G913" i="8"/>
  <c r="H4247" i="8" a="1"/>
  <c r="F4248" i="8"/>
  <c r="F2853" i="8"/>
  <c r="G2671" i="8"/>
  <c r="G3204" i="8"/>
  <c r="H2488" i="8" a="1"/>
  <c r="G226" i="8"/>
  <c r="F482" i="8"/>
  <c r="H3551" i="8" a="1"/>
  <c r="F2801" i="8"/>
  <c r="G2593" i="8"/>
  <c r="F4683" i="8"/>
  <c r="F3117" i="8"/>
  <c r="H2774" i="8" a="1"/>
  <c r="F4335" i="8"/>
  <c r="H4770" i="8" a="1"/>
  <c r="G3378" i="8"/>
  <c r="F3204" i="8"/>
  <c r="F3900" i="8"/>
  <c r="G2801" i="8"/>
  <c r="G2749" i="8"/>
  <c r="G290" i="8"/>
  <c r="G3117" i="8"/>
  <c r="H2592" i="8" a="1"/>
  <c r="G2541" i="8"/>
  <c r="F3465" i="8"/>
  <c r="H3638" i="8" a="1"/>
  <c r="F3378" i="8"/>
  <c r="G2984" i="8"/>
  <c r="H3290" i="8" a="1"/>
  <c r="F4422" i="8"/>
  <c r="G2354" i="8"/>
  <c r="H3986" i="8" a="1"/>
  <c r="G1453" i="8"/>
  <c r="H2878" i="8" a="1"/>
  <c r="G4509" i="8"/>
  <c r="G354" i="8"/>
  <c r="H2722" i="8" a="1"/>
  <c r="G2619" i="8"/>
  <c r="H2514" i="8" a="1"/>
  <c r="F2723" i="8"/>
  <c r="G33" i="8"/>
  <c r="H4073" i="8" a="1"/>
  <c r="F2749" i="8"/>
  <c r="H481" i="8" a="1"/>
  <c r="G1543" i="8"/>
  <c r="G2697" i="8"/>
  <c r="H2670" i="8" a="1"/>
  <c r="G1813" i="8"/>
  <c r="G1183" i="8"/>
  <c r="H2852" i="8" a="1"/>
  <c r="G98" i="8"/>
  <c r="H3899" i="8" a="1"/>
  <c r="G3552" i="8"/>
  <c r="G2931" i="8"/>
  <c r="F4771" i="8"/>
  <c r="G4596" i="8"/>
  <c r="H3464" i="8" a="1"/>
  <c r="F4074" i="8"/>
  <c r="G2173" i="8"/>
  <c r="H32" i="8" a="1"/>
  <c r="F2593" i="8"/>
  <c r="G2645" i="8"/>
  <c r="H3203" i="8" a="1"/>
  <c r="F2957" i="8"/>
  <c r="G2567" i="8"/>
  <c r="F2671" i="8"/>
  <c r="F225" i="8"/>
  <c r="H3725" i="8" a="1"/>
  <c r="F2645" i="8"/>
  <c r="H4421" i="8" a="1"/>
  <c r="F4509" i="8"/>
  <c r="F617" i="8"/>
  <c r="H2353" i="8" a="1"/>
  <c r="H617" i="8" a="1"/>
  <c r="G3030" i="8"/>
  <c r="F2931" i="8"/>
  <c r="F3552" i="8"/>
  <c r="H2983" i="8" a="1"/>
  <c r="F3726" i="8"/>
  <c r="F33" i="8"/>
  <c r="H3029" i="8" a="1"/>
  <c r="F3987" i="8"/>
  <c r="H4334" i="8" a="1"/>
  <c r="F3030" i="8"/>
  <c r="G2957" i="8"/>
  <c r="H3812" i="8" a="1"/>
  <c r="F289" i="8"/>
  <c r="G2515" i="8"/>
  <c r="G1723" i="8"/>
  <c r="G4161" i="8"/>
  <c r="H2904" i="8" a="1"/>
  <c r="G3639" i="8"/>
  <c r="H2540" i="8" a="1"/>
  <c r="G2083" i="8"/>
  <c r="F4596" i="8"/>
  <c r="H161" i="8" a="1"/>
  <c r="F2879" i="8"/>
  <c r="H225" i="8" a="1"/>
  <c r="F2984" i="8"/>
  <c r="G1633" i="8"/>
  <c r="F2905" i="8"/>
  <c r="H2748" i="8" a="1"/>
  <c r="G4683" i="8"/>
  <c r="H289" i="8" a="1"/>
  <c r="G4248" i="8"/>
  <c r="F3291" i="8"/>
  <c r="H2800" i="8" a="1"/>
  <c r="F553" i="8"/>
  <c r="H4160" i="8" a="1"/>
  <c r="G4074" i="8"/>
  <c r="F2541" i="8"/>
  <c r="H482" i="8" a="1"/>
  <c r="G733" i="8"/>
  <c r="G3987" i="8"/>
  <c r="G2723" i="8"/>
  <c r="G3726" i="8"/>
  <c r="H2566" i="8" a="1"/>
  <c r="G3465" i="8"/>
  <c r="G3813" i="8"/>
  <c r="F353" i="8"/>
  <c r="H482" i="8" l="1"/>
  <c r="H32" i="8"/>
  <c r="H2852" i="8"/>
  <c r="H2956" i="8"/>
  <c r="H2566" i="8"/>
  <c r="H2592" i="8"/>
  <c r="H2774" i="8"/>
  <c r="H2983" i="8"/>
  <c r="H417" i="8"/>
  <c r="H4508" i="8"/>
  <c r="H97" i="8"/>
  <c r="H2514" i="8"/>
  <c r="H4160" i="8"/>
  <c r="H225" i="8"/>
  <c r="H4682" i="8"/>
  <c r="H4595" i="8"/>
  <c r="H2722" i="8"/>
  <c r="H2800" i="8"/>
  <c r="H161" i="8"/>
  <c r="H3812" i="8"/>
  <c r="H4247" i="8"/>
  <c r="H3725" i="8"/>
  <c r="H3464" i="8"/>
  <c r="H2670" i="8"/>
  <c r="H2826" i="8"/>
  <c r="H3290" i="8"/>
  <c r="H617" i="8"/>
  <c r="H3551" i="8"/>
  <c r="H2353" i="8"/>
  <c r="H2618" i="8"/>
  <c r="H3377" i="8"/>
  <c r="H3116" i="8"/>
  <c r="H2878" i="8"/>
  <c r="H289" i="8"/>
  <c r="H2540" i="8"/>
  <c r="H4334" i="8"/>
  <c r="H2696" i="8"/>
  <c r="H481" i="8"/>
  <c r="H552" i="8"/>
  <c r="H3986" i="8"/>
  <c r="H2748" i="8"/>
  <c r="H2904" i="8"/>
  <c r="H3029" i="8"/>
  <c r="H353" i="8"/>
  <c r="H3203" i="8"/>
  <c r="H3899" i="8"/>
  <c r="H4073" i="8"/>
  <c r="H2930" i="8"/>
  <c r="H3638" i="8"/>
  <c r="H4770" i="8"/>
  <c r="H2488" i="8"/>
  <c r="H4421" i="8"/>
  <c r="H2644" i="8"/>
  <c r="C3119" i="8"/>
  <c r="C3032" i="8"/>
  <c r="C2569" i="8"/>
  <c r="C3206" i="8"/>
  <c r="C3989" i="8"/>
  <c r="C2355" i="8"/>
  <c r="C1365" i="8"/>
  <c r="C1005" i="8"/>
  <c r="C3293" i="8"/>
  <c r="B4337" i="8"/>
  <c r="C1275" i="8"/>
  <c r="C1185" i="8"/>
  <c r="B2829" i="8"/>
  <c r="C2673" i="8"/>
  <c r="C1635" i="8"/>
  <c r="B3206" i="8"/>
  <c r="C3815" i="8"/>
  <c r="B4163" i="8"/>
  <c r="C2085" i="8"/>
  <c r="C3728" i="8"/>
  <c r="B2803" i="8"/>
  <c r="B3989" i="8"/>
  <c r="B3554" i="8"/>
  <c r="C3554" i="8"/>
  <c r="C356" i="8"/>
  <c r="B4685" i="8"/>
  <c r="C2175" i="8"/>
  <c r="B35" i="8"/>
  <c r="B2699" i="8"/>
  <c r="C2699" i="8"/>
  <c r="C915" i="8"/>
  <c r="C3641" i="8"/>
  <c r="B4598" i="8"/>
  <c r="B3641" i="8"/>
  <c r="C825" i="8"/>
  <c r="C35" i="8"/>
  <c r="C4163" i="8"/>
  <c r="C4511" i="8"/>
  <c r="C4337" i="8"/>
  <c r="B291" i="8"/>
  <c r="B2595" i="8"/>
  <c r="C1815" i="8"/>
  <c r="B483" i="8"/>
  <c r="C3380" i="8"/>
  <c r="B2647" i="8"/>
  <c r="C164" i="8"/>
  <c r="C100" i="8"/>
  <c r="C2829" i="8"/>
  <c r="C2595" i="8"/>
  <c r="B4511" i="8"/>
  <c r="B3902" i="8"/>
  <c r="C645" i="8"/>
  <c r="C555" i="8"/>
  <c r="C2959" i="8"/>
  <c r="B2569" i="8"/>
  <c r="B2725" i="8"/>
  <c r="C1725" i="8"/>
  <c r="B2881" i="8"/>
  <c r="C2777" i="8"/>
  <c r="B4076" i="8"/>
  <c r="C2621" i="8"/>
  <c r="B2959" i="8"/>
  <c r="C2985" i="8"/>
  <c r="B2673" i="8"/>
  <c r="B2907" i="8"/>
  <c r="C1545" i="8"/>
  <c r="B3380" i="8"/>
  <c r="C228" i="8"/>
  <c r="B3293" i="8"/>
  <c r="B3728" i="8"/>
  <c r="B163" i="8"/>
  <c r="B99" i="8"/>
  <c r="B2621" i="8"/>
  <c r="C735" i="8"/>
  <c r="B555" i="8"/>
  <c r="B619" i="8"/>
  <c r="B2933" i="8"/>
  <c r="B419" i="8"/>
  <c r="B4424" i="8"/>
  <c r="C2933" i="8"/>
  <c r="B4250" i="8"/>
  <c r="C1995" i="8"/>
  <c r="C1455" i="8"/>
  <c r="C3902" i="8"/>
  <c r="C420" i="8"/>
  <c r="B2985" i="8"/>
  <c r="C4076" i="8"/>
  <c r="C2803" i="8"/>
  <c r="C2647" i="8"/>
  <c r="C3467" i="8"/>
  <c r="C292" i="8"/>
  <c r="B2751" i="8"/>
  <c r="C484" i="8"/>
  <c r="B3467" i="8"/>
  <c r="B4772" i="8"/>
  <c r="C1095" i="8"/>
  <c r="B355" i="8"/>
  <c r="C4772" i="8"/>
  <c r="C2751" i="8"/>
  <c r="B2375" i="8"/>
  <c r="C2855" i="8"/>
  <c r="B2855" i="8"/>
  <c r="C2907" i="8"/>
  <c r="C2881" i="8"/>
  <c r="B227" i="8"/>
  <c r="B3815" i="8"/>
  <c r="C4598" i="8"/>
  <c r="C4685" i="8"/>
  <c r="C4424" i="8"/>
  <c r="C2265" i="8"/>
  <c r="B3119" i="8"/>
  <c r="B3032" i="8"/>
  <c r="B2777" i="8"/>
  <c r="C4250" i="8"/>
  <c r="C1905" i="8"/>
  <c r="C2725" i="8"/>
  <c r="G3118" i="8"/>
  <c r="G3292" i="8"/>
  <c r="H2671" i="8" a="1"/>
  <c r="G4249" i="8"/>
  <c r="G4162" i="8"/>
  <c r="H3552" i="8" a="1"/>
  <c r="G163" i="8"/>
  <c r="F554" i="8"/>
  <c r="H4161" i="8" a="1"/>
  <c r="G2355" i="8"/>
  <c r="G2568" i="8"/>
  <c r="H3813" i="8" a="1"/>
  <c r="F483" i="8"/>
  <c r="G2698" i="8"/>
  <c r="G2542" i="8"/>
  <c r="F3988" i="8"/>
  <c r="F2750" i="8"/>
  <c r="G2672" i="8"/>
  <c r="F354" i="8"/>
  <c r="G1904" i="8"/>
  <c r="H226" i="8" a="1"/>
  <c r="F226" i="8"/>
  <c r="H2853" i="8" a="1"/>
  <c r="G2084" i="8"/>
  <c r="F618" i="8"/>
  <c r="H3291" i="8" a="1"/>
  <c r="F418" i="8"/>
  <c r="F4684" i="8"/>
  <c r="F2985" i="8"/>
  <c r="G3031" i="8"/>
  <c r="G1724" i="8"/>
  <c r="G734" i="8"/>
  <c r="H4248" i="8" a="1"/>
  <c r="F4249" i="8"/>
  <c r="F4336" i="8"/>
  <c r="F3466" i="8"/>
  <c r="G4597" i="8"/>
  <c r="H2515" i="8" a="1"/>
  <c r="F4075" i="8"/>
  <c r="G2958" i="8"/>
  <c r="H3030" i="8" a="1"/>
  <c r="F2698" i="8"/>
  <c r="G2880" i="8"/>
  <c r="G3727" i="8"/>
  <c r="G3988" i="8"/>
  <c r="F3205" i="8"/>
  <c r="H2619" i="8" a="1"/>
  <c r="G3640" i="8"/>
  <c r="F3292" i="8"/>
  <c r="H2957" i="8" a="1"/>
  <c r="F2854" i="8"/>
  <c r="G4510" i="8"/>
  <c r="G1994" i="8"/>
  <c r="F3640" i="8"/>
  <c r="H2541" i="8" a="1"/>
  <c r="G1634" i="8"/>
  <c r="F2374" i="8"/>
  <c r="H98" i="8" a="1"/>
  <c r="G2646" i="8"/>
  <c r="G554" i="8"/>
  <c r="H2879" i="8" a="1"/>
  <c r="G99" i="8"/>
  <c r="G419" i="8"/>
  <c r="G1184" i="8"/>
  <c r="F2932" i="8"/>
  <c r="H3465" i="8" a="1"/>
  <c r="H553" i="8" a="1"/>
  <c r="F3118" i="8"/>
  <c r="G2750" i="8"/>
  <c r="H290" i="8" a="1"/>
  <c r="F3814" i="8"/>
  <c r="F290" i="8"/>
  <c r="G1544" i="8"/>
  <c r="G1454" i="8"/>
  <c r="H4335" i="8" a="1"/>
  <c r="F4423" i="8"/>
  <c r="F2724" i="8"/>
  <c r="G4336" i="8"/>
  <c r="G2776" i="8"/>
  <c r="H2749" i="8" a="1"/>
  <c r="H354" i="8" a="1"/>
  <c r="F4597" i="8"/>
  <c r="G4684" i="8"/>
  <c r="H2723" i="8" a="1"/>
  <c r="G644" i="8"/>
  <c r="H3204" i="8" a="1"/>
  <c r="G291" i="8"/>
  <c r="H418" i="8" a="1"/>
  <c r="G2985" i="8"/>
  <c r="H2697" i="8" a="1"/>
  <c r="F34" i="8"/>
  <c r="F2828" i="8"/>
  <c r="H2931" i="8" a="1"/>
  <c r="G2620" i="8"/>
  <c r="H2827" i="8" a="1"/>
  <c r="F2672" i="8"/>
  <c r="F4162" i="8"/>
  <c r="H4596" i="8" a="1"/>
  <c r="G2906" i="8"/>
  <c r="H4074" i="8" a="1"/>
  <c r="H3726" i="8" a="1"/>
  <c r="F3901" i="8"/>
  <c r="G3814" i="8"/>
  <c r="H2801" i="8" a="1"/>
  <c r="F2646" i="8"/>
  <c r="H618" i="8" a="1"/>
  <c r="F2776" i="8"/>
  <c r="F2594" i="8"/>
  <c r="H2775" i="8" a="1"/>
  <c r="H2593" i="8" a="1"/>
  <c r="G3466" i="8"/>
  <c r="G3379" i="8"/>
  <c r="H4509" i="8" a="1"/>
  <c r="F98" i="8"/>
  <c r="H3987" i="8" a="1"/>
  <c r="F2880" i="8"/>
  <c r="G1004" i="8"/>
  <c r="H2984" i="8" a="1"/>
  <c r="G34" i="8"/>
  <c r="H2645" i="8" a="1"/>
  <c r="G3205" i="8"/>
  <c r="G2724" i="8"/>
  <c r="H3117" i="8" a="1"/>
  <c r="G4075" i="8"/>
  <c r="H3378" i="8" a="1"/>
  <c r="G2854" i="8"/>
  <c r="H3639" i="8" a="1"/>
  <c r="G4423" i="8"/>
  <c r="H33" i="8" a="1"/>
  <c r="F2802" i="8"/>
  <c r="G2828" i="8"/>
  <c r="H3900" i="8" a="1"/>
  <c r="F2568" i="8"/>
  <c r="G227" i="8"/>
  <c r="G2264" i="8"/>
  <c r="F3379" i="8"/>
  <c r="G914" i="8"/>
  <c r="H4422" i="8" a="1"/>
  <c r="G3553" i="8"/>
  <c r="F3727" i="8"/>
  <c r="G3901" i="8"/>
  <c r="G484" i="8"/>
  <c r="H4771" i="8" a="1"/>
  <c r="G824" i="8"/>
  <c r="G1364" i="8"/>
  <c r="G2802" i="8"/>
  <c r="H2567" i="8" a="1"/>
  <c r="F3553" i="8"/>
  <c r="G2174" i="8"/>
  <c r="G1274" i="8"/>
  <c r="F4772" i="8"/>
  <c r="H2354" i="8" a="1"/>
  <c r="F4510" i="8"/>
  <c r="G355" i="8"/>
  <c r="H4683" i="8" a="1"/>
  <c r="F2958" i="8"/>
  <c r="G2932" i="8"/>
  <c r="G1094" i="8"/>
  <c r="G1814" i="8"/>
  <c r="H2905" i="8" a="1"/>
  <c r="F3031" i="8"/>
  <c r="F2620" i="8"/>
  <c r="F162" i="8"/>
  <c r="G2594" i="8"/>
  <c r="F2542" i="8"/>
  <c r="G4772" i="8"/>
  <c r="F2906" i="8"/>
  <c r="H162" i="8" a="1"/>
  <c r="H3378" i="8" l="1"/>
  <c r="H4683" i="8"/>
  <c r="H2775" i="8"/>
  <c r="H4596" i="8"/>
  <c r="H162" i="8"/>
  <c r="H2749" i="8"/>
  <c r="H4074" i="8"/>
  <c r="H2541" i="8"/>
  <c r="H418" i="8"/>
  <c r="H4335" i="8"/>
  <c r="H3465" i="8"/>
  <c r="H3552" i="8"/>
  <c r="H4248" i="8"/>
  <c r="H3291" i="8"/>
  <c r="H3900" i="8"/>
  <c r="H3117" i="8"/>
  <c r="H2354" i="8"/>
  <c r="H4771" i="8"/>
  <c r="H2827" i="8"/>
  <c r="H3204" i="8"/>
  <c r="H3987" i="8"/>
  <c r="H618" i="8"/>
  <c r="H2931" i="8"/>
  <c r="H2723" i="8"/>
  <c r="H4509" i="8"/>
  <c r="H2801" i="8"/>
  <c r="H2957" i="8"/>
  <c r="H3030" i="8"/>
  <c r="H290" i="8"/>
  <c r="H2879" i="8"/>
  <c r="H3813" i="8"/>
  <c r="H2671" i="8"/>
  <c r="H2905" i="8"/>
  <c r="H2853" i="8"/>
  <c r="H33" i="8"/>
  <c r="H2645" i="8"/>
  <c r="H226" i="8"/>
  <c r="H3639" i="8"/>
  <c r="H2984" i="8"/>
  <c r="H2567" i="8"/>
  <c r="H4422" i="8"/>
  <c r="H2697" i="8"/>
  <c r="H354" i="8"/>
  <c r="H2593" i="8"/>
  <c r="H3726" i="8"/>
  <c r="H2619" i="8"/>
  <c r="H2515" i="8"/>
  <c r="H553" i="8"/>
  <c r="H98" i="8"/>
  <c r="H4161" i="8"/>
  <c r="C2752" i="8"/>
  <c r="C4338" i="8"/>
  <c r="B3033" i="8"/>
  <c r="B3120" i="8"/>
  <c r="C1996" i="8"/>
  <c r="B2804" i="8"/>
  <c r="B3207" i="8"/>
  <c r="C2356" i="8"/>
  <c r="C4773" i="8"/>
  <c r="B3903" i="8"/>
  <c r="C2908" i="8"/>
  <c r="B2882" i="8"/>
  <c r="B2376" i="8"/>
  <c r="C1186" i="8"/>
  <c r="B2778" i="8"/>
  <c r="C3555" i="8"/>
  <c r="C3990" i="8"/>
  <c r="B484" i="8"/>
  <c r="B2648" i="8"/>
  <c r="B228" i="8"/>
  <c r="B3381" i="8"/>
  <c r="B3468" i="8"/>
  <c r="C2648" i="8"/>
  <c r="C2804" i="8"/>
  <c r="C646" i="8"/>
  <c r="C556" i="8"/>
  <c r="C229" i="8"/>
  <c r="C3468" i="8"/>
  <c r="C1906" i="8"/>
  <c r="B356" i="8"/>
  <c r="C4599" i="8"/>
  <c r="C36" i="8"/>
  <c r="B3729" i="8"/>
  <c r="C3729" i="8"/>
  <c r="B36" i="8"/>
  <c r="B4773" i="8"/>
  <c r="C3642" i="8"/>
  <c r="B4077" i="8"/>
  <c r="C3816" i="8"/>
  <c r="B4251" i="8"/>
  <c r="B3294" i="8"/>
  <c r="C2700" i="8"/>
  <c r="C3294" i="8"/>
  <c r="C3120" i="8"/>
  <c r="C3033" i="8"/>
  <c r="C2882" i="8"/>
  <c r="C2778" i="8"/>
  <c r="B620" i="8"/>
  <c r="B556" i="8"/>
  <c r="B2700" i="8"/>
  <c r="B2908" i="8"/>
  <c r="B2752" i="8"/>
  <c r="C736" i="8"/>
  <c r="B4599" i="8"/>
  <c r="C2856" i="8"/>
  <c r="C4425" i="8"/>
  <c r="C916" i="8"/>
  <c r="C2266" i="8"/>
  <c r="B2856" i="8"/>
  <c r="C3381" i="8"/>
  <c r="C1456" i="8"/>
  <c r="C4077" i="8"/>
  <c r="C3207" i="8"/>
  <c r="C2674" i="8"/>
  <c r="C4512" i="8"/>
  <c r="C4686" i="8"/>
  <c r="B292" i="8"/>
  <c r="C2934" i="8"/>
  <c r="B420" i="8"/>
  <c r="C357" i="8"/>
  <c r="C4164" i="8"/>
  <c r="C485" i="8"/>
  <c r="C1546" i="8"/>
  <c r="B4338" i="8"/>
  <c r="B4512" i="8"/>
  <c r="B2960" i="8"/>
  <c r="B3816" i="8"/>
  <c r="C293" i="8"/>
  <c r="C1636" i="8"/>
  <c r="B2986" i="8"/>
  <c r="B4164" i="8"/>
  <c r="C2986" i="8"/>
  <c r="C2622" i="8"/>
  <c r="B2674" i="8"/>
  <c r="B2622" i="8"/>
  <c r="C4251" i="8"/>
  <c r="B4686" i="8"/>
  <c r="C1006" i="8"/>
  <c r="B2726" i="8"/>
  <c r="C421" i="8"/>
  <c r="B3642" i="8"/>
  <c r="B2830" i="8"/>
  <c r="C2176" i="8"/>
  <c r="C3903" i="8"/>
  <c r="C1726" i="8"/>
  <c r="C1366" i="8"/>
  <c r="C2596" i="8"/>
  <c r="B3555" i="8"/>
  <c r="C2830" i="8"/>
  <c r="C2086" i="8"/>
  <c r="C2960" i="8"/>
  <c r="C826" i="8"/>
  <c r="B164" i="8"/>
  <c r="B100" i="8"/>
  <c r="B2934" i="8"/>
  <c r="C1816" i="8"/>
  <c r="B2596" i="8"/>
  <c r="B3990" i="8"/>
  <c r="C165" i="8"/>
  <c r="C101" i="8"/>
  <c r="C2726" i="8"/>
  <c r="C1276" i="8"/>
  <c r="B4425" i="8"/>
  <c r="C1096" i="8"/>
  <c r="H2594" i="8" a="1"/>
  <c r="F2855" i="8"/>
  <c r="F2803" i="8"/>
  <c r="G4250" i="8"/>
  <c r="G4598" i="8"/>
  <c r="H2854" i="8" a="1"/>
  <c r="G2881" i="8"/>
  <c r="G2803" i="8"/>
  <c r="F4163" i="8"/>
  <c r="G2569" i="8"/>
  <c r="F2777" i="8"/>
  <c r="G2959" i="8"/>
  <c r="H3292" i="8" a="1"/>
  <c r="G2175" i="8"/>
  <c r="H619" i="8" a="1"/>
  <c r="G1905" i="8"/>
  <c r="F2699" i="8"/>
  <c r="H3379" i="8" a="1"/>
  <c r="H2672" i="8" a="1"/>
  <c r="F419" i="8"/>
  <c r="F3467" i="8"/>
  <c r="F2751" i="8"/>
  <c r="G292" i="8"/>
  <c r="H355" i="8" a="1"/>
  <c r="G3902" i="8"/>
  <c r="F99" i="8"/>
  <c r="G2725" i="8"/>
  <c r="G825" i="8"/>
  <c r="G2933" i="8"/>
  <c r="G4076" i="8"/>
  <c r="F3815" i="8"/>
  <c r="G915" i="8"/>
  <c r="H2355" i="8" a="1"/>
  <c r="G3989" i="8"/>
  <c r="G1185" i="8"/>
  <c r="G4685" i="8"/>
  <c r="G1635" i="8"/>
  <c r="H4423" i="8" a="1"/>
  <c r="F555" i="8"/>
  <c r="F291" i="8"/>
  <c r="F619" i="8"/>
  <c r="H2932" i="8" a="1"/>
  <c r="F2829" i="8"/>
  <c r="G1545" i="8"/>
  <c r="G555" i="8"/>
  <c r="F3728" i="8"/>
  <c r="H163" i="8" a="1"/>
  <c r="F3380" i="8"/>
  <c r="F2569" i="8"/>
  <c r="G4511" i="8"/>
  <c r="F4250" i="8"/>
  <c r="H2542" i="8" a="1"/>
  <c r="F3293" i="8"/>
  <c r="F3902" i="8"/>
  <c r="F355" i="8"/>
  <c r="H2906" i="8" a="1"/>
  <c r="G3467" i="8"/>
  <c r="G1275" i="8"/>
  <c r="G4773" i="8"/>
  <c r="G2907" i="8"/>
  <c r="H2776" i="8" a="1"/>
  <c r="F2375" i="8"/>
  <c r="G735" i="8"/>
  <c r="H3031" i="8" a="1"/>
  <c r="H2724" i="8" a="1"/>
  <c r="G1815" i="8"/>
  <c r="H4772" i="8" a="1"/>
  <c r="G3728" i="8"/>
  <c r="G228" i="8"/>
  <c r="H4162" i="8" a="1"/>
  <c r="G3380" i="8"/>
  <c r="H483" i="8" a="1"/>
  <c r="F484" i="8"/>
  <c r="G4424" i="8"/>
  <c r="G1365" i="8"/>
  <c r="H227" i="8" a="1"/>
  <c r="F163" i="8"/>
  <c r="G164" i="8"/>
  <c r="F2621" i="8"/>
  <c r="F4337" i="8"/>
  <c r="H2802" i="8" a="1"/>
  <c r="H3205" i="8" a="1"/>
  <c r="F35" i="8"/>
  <c r="H3988" i="8" a="1"/>
  <c r="G3206" i="8"/>
  <c r="G2986" i="8"/>
  <c r="H3901" i="8" a="1"/>
  <c r="F4773" i="8"/>
  <c r="H4336" i="8" a="1"/>
  <c r="F2907" i="8"/>
  <c r="H419" i="8" a="1"/>
  <c r="G2777" i="8"/>
  <c r="H4597" i="8" a="1"/>
  <c r="G3554" i="8"/>
  <c r="F2933" i="8"/>
  <c r="H4510" i="8" a="1"/>
  <c r="G2621" i="8"/>
  <c r="G2699" i="8"/>
  <c r="G3119" i="8"/>
  <c r="H2568" i="8" a="1"/>
  <c r="G2647" i="8"/>
  <c r="H2698" i="8" a="1"/>
  <c r="F2725" i="8"/>
  <c r="G356" i="8"/>
  <c r="H2750" i="8" a="1"/>
  <c r="F2881" i="8"/>
  <c r="H3727" i="8" a="1"/>
  <c r="F4685" i="8"/>
  <c r="G1455" i="8"/>
  <c r="F3554" i="8"/>
  <c r="H99" i="8" a="1"/>
  <c r="F3641" i="8"/>
  <c r="H2985" i="8" a="1"/>
  <c r="F3206" i="8"/>
  <c r="F2986" i="8"/>
  <c r="H2620" i="8" a="1"/>
  <c r="H2828" i="8" a="1"/>
  <c r="H2646" i="8" a="1"/>
  <c r="F2959" i="8"/>
  <c r="H2958" i="8" a="1"/>
  <c r="G4337" i="8"/>
  <c r="G1995" i="8"/>
  <c r="H3118" i="8" a="1"/>
  <c r="F2595" i="8"/>
  <c r="H3640" i="8" a="1"/>
  <c r="G2829" i="8"/>
  <c r="H3814" i="8" a="1"/>
  <c r="G3032" i="8"/>
  <c r="H291" i="8" a="1"/>
  <c r="F2673" i="8"/>
  <c r="G4163" i="8"/>
  <c r="H4684" i="8" a="1"/>
  <c r="G2855" i="8"/>
  <c r="H4075" i="8" a="1"/>
  <c r="G1005" i="8"/>
  <c r="G2265" i="8"/>
  <c r="F2647" i="8"/>
  <c r="H3553" i="8" a="1"/>
  <c r="G3293" i="8"/>
  <c r="G100" i="8"/>
  <c r="F3119" i="8"/>
  <c r="G2085" i="8"/>
  <c r="H554" i="8" a="1"/>
  <c r="G2751" i="8"/>
  <c r="F4076" i="8"/>
  <c r="G3641" i="8"/>
  <c r="H34" i="8" a="1"/>
  <c r="G485" i="8"/>
  <c r="H4249" i="8" a="1"/>
  <c r="F4511" i="8"/>
  <c r="G3815" i="8"/>
  <c r="H3466" i="8" a="1"/>
  <c r="G2595" i="8"/>
  <c r="H2880" i="8" a="1"/>
  <c r="F3989" i="8"/>
  <c r="F4424" i="8"/>
  <c r="G2356" i="8"/>
  <c r="G1095" i="8"/>
  <c r="F4598" i="8"/>
  <c r="G2673" i="8"/>
  <c r="G420" i="8"/>
  <c r="G1725" i="8"/>
  <c r="F3032" i="8"/>
  <c r="G645" i="8"/>
  <c r="G35" i="8"/>
  <c r="F227" i="8"/>
  <c r="H3031" i="8" l="1"/>
  <c r="H3640" i="8"/>
  <c r="H4423" i="8"/>
  <c r="H554" i="8"/>
  <c r="H3379" i="8"/>
  <c r="H2828" i="8"/>
  <c r="H2880" i="8"/>
  <c r="H3727" i="8"/>
  <c r="H4075" i="8"/>
  <c r="H4336" i="8"/>
  <c r="H2802" i="8"/>
  <c r="H483" i="8"/>
  <c r="H3118" i="8"/>
  <c r="H3466" i="8"/>
  <c r="H2750" i="8"/>
  <c r="H4684" i="8"/>
  <c r="H3901" i="8"/>
  <c r="H2620" i="8"/>
  <c r="H4162" i="8"/>
  <c r="H4510" i="8"/>
  <c r="H2542" i="8"/>
  <c r="H2932" i="8"/>
  <c r="H355" i="8"/>
  <c r="H2776" i="8"/>
  <c r="H2854" i="8"/>
  <c r="H619" i="8"/>
  <c r="H2355" i="8"/>
  <c r="H3553" i="8"/>
  <c r="H3292" i="8"/>
  <c r="H2958" i="8"/>
  <c r="H4249" i="8"/>
  <c r="H2698" i="8"/>
  <c r="H291" i="8"/>
  <c r="H3988" i="8"/>
  <c r="H2985" i="8"/>
  <c r="H4772" i="8"/>
  <c r="H4597" i="8"/>
  <c r="H2646" i="8"/>
  <c r="H34" i="8"/>
  <c r="H2568" i="8"/>
  <c r="H3814" i="8"/>
  <c r="H3205" i="8"/>
  <c r="H99" i="8"/>
  <c r="H2724" i="8"/>
  <c r="H419" i="8"/>
  <c r="H163" i="8"/>
  <c r="H227" i="8"/>
  <c r="H2672" i="8"/>
  <c r="H2906" i="8"/>
  <c r="H2594" i="8"/>
  <c r="C1367" i="8"/>
  <c r="C166" i="8"/>
  <c r="C102" i="8"/>
  <c r="B229" i="8"/>
  <c r="C2177" i="8"/>
  <c r="C2753" i="8"/>
  <c r="C230" i="8"/>
  <c r="B2623" i="8"/>
  <c r="B2961" i="8"/>
  <c r="C917" i="8"/>
  <c r="C2857" i="8"/>
  <c r="C1817" i="8"/>
  <c r="C2267" i="8"/>
  <c r="B2753" i="8"/>
  <c r="B2649" i="8"/>
  <c r="C2649" i="8"/>
  <c r="B2935" i="8"/>
  <c r="C3034" i="8"/>
  <c r="C3121" i="8"/>
  <c r="C37" i="8"/>
  <c r="C3556" i="8"/>
  <c r="C2831" i="8"/>
  <c r="B3556" i="8"/>
  <c r="B293" i="8"/>
  <c r="C3643" i="8"/>
  <c r="B2909" i="8"/>
  <c r="B3991" i="8"/>
  <c r="B2831" i="8"/>
  <c r="B4513" i="8"/>
  <c r="C2987" i="8"/>
  <c r="C2623" i="8"/>
  <c r="B3730" i="8"/>
  <c r="B4774" i="8"/>
  <c r="B4252" i="8"/>
  <c r="C1727" i="8"/>
  <c r="B3904" i="8"/>
  <c r="B4600" i="8"/>
  <c r="C1637" i="8"/>
  <c r="C4252" i="8"/>
  <c r="B485" i="8"/>
  <c r="B357" i="8"/>
  <c r="C4600" i="8"/>
  <c r="C3295" i="8"/>
  <c r="C1547" i="8"/>
  <c r="B2883" i="8"/>
  <c r="C1007" i="8"/>
  <c r="C2883" i="8"/>
  <c r="C827" i="8"/>
  <c r="B621" i="8"/>
  <c r="B557" i="8"/>
  <c r="C3208" i="8"/>
  <c r="C2727" i="8"/>
  <c r="B4339" i="8"/>
  <c r="B4165" i="8"/>
  <c r="C3817" i="8"/>
  <c r="B421" i="8"/>
  <c r="C647" i="8"/>
  <c r="C557" i="8"/>
  <c r="B2805" i="8"/>
  <c r="B3121" i="8"/>
  <c r="B3034" i="8"/>
  <c r="C2779" i="8"/>
  <c r="B4078" i="8"/>
  <c r="C1907" i="8"/>
  <c r="B165" i="8"/>
  <c r="B101" i="8"/>
  <c r="B3643" i="8"/>
  <c r="C1457" i="8"/>
  <c r="B2857" i="8"/>
  <c r="C1097" i="8"/>
  <c r="B2701" i="8"/>
  <c r="C2701" i="8"/>
  <c r="C2909" i="8"/>
  <c r="B37" i="8"/>
  <c r="B3817" i="8"/>
  <c r="C1997" i="8"/>
  <c r="C737" i="8"/>
  <c r="C2675" i="8"/>
  <c r="B3469" i="8"/>
  <c r="B2675" i="8"/>
  <c r="C4078" i="8"/>
  <c r="B2377" i="8"/>
  <c r="C2935" i="8"/>
  <c r="B3295" i="8"/>
  <c r="C2087" i="8"/>
  <c r="C1187" i="8"/>
  <c r="C3991" i="8"/>
  <c r="C486" i="8"/>
  <c r="C4339" i="8"/>
  <c r="C358" i="8"/>
  <c r="B2987" i="8"/>
  <c r="B4426" i="8"/>
  <c r="C422" i="8"/>
  <c r="C2961" i="8"/>
  <c r="C4774" i="8"/>
  <c r="C4165" i="8"/>
  <c r="C3469" i="8"/>
  <c r="C2357" i="8"/>
  <c r="C4513" i="8"/>
  <c r="B4687" i="8"/>
  <c r="B2779" i="8"/>
  <c r="B2727" i="8"/>
  <c r="C2805" i="8"/>
  <c r="C3382" i="8"/>
  <c r="B3382" i="8"/>
  <c r="C3904" i="8"/>
  <c r="C3730" i="8"/>
  <c r="C4687" i="8"/>
  <c r="C294" i="8"/>
  <c r="C1277" i="8"/>
  <c r="B3208" i="8"/>
  <c r="C4426" i="8"/>
  <c r="F2934" i="8"/>
  <c r="F4077" i="8"/>
  <c r="H3293" i="8" a="1"/>
  <c r="F2778" i="8"/>
  <c r="G3294" i="8"/>
  <c r="H2647" i="8" a="1"/>
  <c r="G916" i="8"/>
  <c r="G3033" i="8"/>
  <c r="H100" i="8" a="1"/>
  <c r="G1636" i="8"/>
  <c r="H4076" i="8" a="1"/>
  <c r="G2804" i="8"/>
  <c r="G293" i="8"/>
  <c r="H2803" i="8" a="1"/>
  <c r="F2804" i="8"/>
  <c r="G1996" i="8"/>
  <c r="G2726" i="8"/>
  <c r="G3903" i="8"/>
  <c r="G3729" i="8"/>
  <c r="H356" i="8" a="1"/>
  <c r="F4512" i="8"/>
  <c r="H2673" i="8" a="1"/>
  <c r="G2960" i="8"/>
  <c r="F4338" i="8"/>
  <c r="H2855" i="8" a="1"/>
  <c r="G2987" i="8"/>
  <c r="F2987" i="8"/>
  <c r="F2596" i="8"/>
  <c r="H3380" i="8" a="1"/>
  <c r="F4425" i="8"/>
  <c r="G2357" i="8"/>
  <c r="G2830" i="8"/>
  <c r="H3641" i="8" a="1"/>
  <c r="H3032" i="8" a="1"/>
  <c r="G3120" i="8"/>
  <c r="H2699" i="8" a="1"/>
  <c r="F3468" i="8"/>
  <c r="G1906" i="8"/>
  <c r="G101" i="8"/>
  <c r="G1006" i="8"/>
  <c r="H2569" i="8" a="1"/>
  <c r="G1726" i="8"/>
  <c r="G2674" i="8"/>
  <c r="H484" i="8" a="1"/>
  <c r="H3206" i="8" a="1"/>
  <c r="G3207" i="8"/>
  <c r="H2621" i="8" a="1"/>
  <c r="F485" i="8"/>
  <c r="G2266" i="8"/>
  <c r="H2907" i="8" a="1"/>
  <c r="F420" i="8"/>
  <c r="H3119" i="8" a="1"/>
  <c r="G2596" i="8"/>
  <c r="G4686" i="8"/>
  <c r="G4251" i="8"/>
  <c r="H164" i="8" a="1"/>
  <c r="G2856" i="8"/>
  <c r="H4163" i="8" a="1"/>
  <c r="F556" i="8"/>
  <c r="F4599" i="8"/>
  <c r="H3554" i="8" a="1"/>
  <c r="G4512" i="8"/>
  <c r="H555" i="8" a="1"/>
  <c r="F4774" i="8"/>
  <c r="H420" i="8" a="1"/>
  <c r="G4164" i="8"/>
  <c r="H2356" i="8" a="1"/>
  <c r="F3816" i="8"/>
  <c r="G2934" i="8"/>
  <c r="H3902" i="8" a="1"/>
  <c r="F3642" i="8"/>
  <c r="G4774" i="8"/>
  <c r="G2622" i="8"/>
  <c r="F2960" i="8"/>
  <c r="G2908" i="8"/>
  <c r="F2830" i="8"/>
  <c r="H35" i="8" a="1"/>
  <c r="H4685" i="8" a="1"/>
  <c r="F4686" i="8"/>
  <c r="H2933" i="8" a="1"/>
  <c r="F2908" i="8"/>
  <c r="G421" i="8"/>
  <c r="H2725" i="8" a="1"/>
  <c r="F2882" i="8"/>
  <c r="G3642" i="8"/>
  <c r="F36" i="8"/>
  <c r="G2176" i="8"/>
  <c r="G556" i="8"/>
  <c r="H3728" i="8" a="1"/>
  <c r="F3033" i="8"/>
  <c r="G3816" i="8"/>
  <c r="H3467" i="8" a="1"/>
  <c r="G736" i="8"/>
  <c r="H2881" i="8" a="1"/>
  <c r="F4251" i="8"/>
  <c r="G2778" i="8"/>
  <c r="F3207" i="8"/>
  <c r="F2622" i="8"/>
  <c r="F3555" i="8"/>
  <c r="H4773" i="8" a="1"/>
  <c r="F3990" i="8"/>
  <c r="G4599" i="8"/>
  <c r="G1276" i="8"/>
  <c r="G2752" i="8"/>
  <c r="H3815" i="8" a="1"/>
  <c r="F620" i="8"/>
  <c r="H2959" i="8" a="1"/>
  <c r="G2700" i="8"/>
  <c r="H292" i="8" a="1"/>
  <c r="F356" i="8"/>
  <c r="F2700" i="8"/>
  <c r="H4250" i="8" a="1"/>
  <c r="G1456" i="8"/>
  <c r="G4425" i="8"/>
  <c r="H3989" i="8" a="1"/>
  <c r="F292" i="8"/>
  <c r="H2595" i="8" a="1"/>
  <c r="G1546" i="8"/>
  <c r="G4077" i="8"/>
  <c r="H2986" i="8" a="1"/>
  <c r="F4164" i="8"/>
  <c r="H4598" i="8" a="1"/>
  <c r="F3294" i="8"/>
  <c r="G3555" i="8"/>
  <c r="F2648" i="8"/>
  <c r="G2086" i="8"/>
  <c r="G2882" i="8"/>
  <c r="H4424" i="8" a="1"/>
  <c r="F2726" i="8"/>
  <c r="F3729" i="8"/>
  <c r="H4337" i="8" a="1"/>
  <c r="F2674" i="8"/>
  <c r="F2376" i="8"/>
  <c r="H2751" i="8" a="1"/>
  <c r="F3903" i="8"/>
  <c r="G486" i="8"/>
  <c r="G165" i="8"/>
  <c r="G646" i="8"/>
  <c r="H2829" i="8" a="1"/>
  <c r="G36" i="8"/>
  <c r="F3381" i="8"/>
  <c r="H4511" i="8" a="1"/>
  <c r="G3381" i="8"/>
  <c r="G3468" i="8"/>
  <c r="H620" i="8" a="1"/>
  <c r="H2777" i="8" a="1"/>
  <c r="G1366" i="8"/>
  <c r="G4338" i="8"/>
  <c r="G826" i="8"/>
  <c r="F100" i="8"/>
  <c r="H228" i="8" a="1"/>
  <c r="G1816" i="8"/>
  <c r="G229" i="8"/>
  <c r="F164" i="8"/>
  <c r="F2752" i="8"/>
  <c r="G1096" i="8"/>
  <c r="F228" i="8"/>
  <c r="G3990" i="8"/>
  <c r="G2648" i="8"/>
  <c r="G1186" i="8"/>
  <c r="F3120" i="8"/>
  <c r="F2856" i="8"/>
  <c r="G357" i="8"/>
  <c r="H484" i="8" l="1"/>
  <c r="H3032" i="8"/>
  <c r="H4511" i="8"/>
  <c r="H4337" i="8"/>
  <c r="H4598" i="8"/>
  <c r="H228" i="8"/>
  <c r="H3815" i="8"/>
  <c r="H2881" i="8"/>
  <c r="H35" i="8"/>
  <c r="H2699" i="8"/>
  <c r="H555" i="8"/>
  <c r="H3119" i="8"/>
  <c r="H3467" i="8"/>
  <c r="H2647" i="8"/>
  <c r="H4250" i="8"/>
  <c r="H3554" i="8"/>
  <c r="H2907" i="8"/>
  <c r="H2986" i="8"/>
  <c r="H3902" i="8"/>
  <c r="H2855" i="8"/>
  <c r="H2803" i="8"/>
  <c r="H2725" i="8"/>
  <c r="H3641" i="8"/>
  <c r="H2829" i="8"/>
  <c r="H4424" i="8"/>
  <c r="H2569" i="8"/>
  <c r="H2777" i="8"/>
  <c r="H4773" i="8"/>
  <c r="H3728" i="8"/>
  <c r="H3293" i="8"/>
  <c r="H292" i="8"/>
  <c r="H4163" i="8"/>
  <c r="H2621" i="8"/>
  <c r="H2595" i="8"/>
  <c r="H2356" i="8"/>
  <c r="H2673" i="8"/>
  <c r="H4076" i="8"/>
  <c r="H2933" i="8"/>
  <c r="H620" i="8"/>
  <c r="H2959" i="8"/>
  <c r="H164" i="8"/>
  <c r="H3206" i="8"/>
  <c r="H3989" i="8"/>
  <c r="H420" i="8"/>
  <c r="H356" i="8"/>
  <c r="H100" i="8"/>
  <c r="H4685" i="8"/>
  <c r="H3380" i="8"/>
  <c r="H2751" i="8"/>
  <c r="B3470" i="8"/>
  <c r="C3557" i="8"/>
  <c r="C4775" i="8"/>
  <c r="C3992" i="8"/>
  <c r="C3470" i="8"/>
  <c r="B2754" i="8"/>
  <c r="B4775" i="8"/>
  <c r="C4253" i="8"/>
  <c r="C2988" i="8"/>
  <c r="B4514" i="8"/>
  <c r="C423" i="8"/>
  <c r="C2702" i="8"/>
  <c r="B3296" i="8"/>
  <c r="C3818" i="8"/>
  <c r="B3383" i="8"/>
  <c r="B2378" i="8"/>
  <c r="B2702" i="8"/>
  <c r="C2088" i="8"/>
  <c r="B38" i="8"/>
  <c r="B3731" i="8"/>
  <c r="C2806" i="8"/>
  <c r="B3209" i="8"/>
  <c r="C648" i="8"/>
  <c r="C558" i="8"/>
  <c r="C2910" i="8"/>
  <c r="C3383" i="8"/>
  <c r="B422" i="8"/>
  <c r="C4340" i="8"/>
  <c r="B4688" i="8"/>
  <c r="C1818" i="8"/>
  <c r="B4601" i="8"/>
  <c r="B4079" i="8"/>
  <c r="C3731" i="8"/>
  <c r="B3644" i="8"/>
  <c r="C3644" i="8"/>
  <c r="B2780" i="8"/>
  <c r="C1908" i="8"/>
  <c r="C1008" i="8"/>
  <c r="C231" i="8"/>
  <c r="B2806" i="8"/>
  <c r="C487" i="8"/>
  <c r="C4427" i="8"/>
  <c r="C4079" i="8"/>
  <c r="C828" i="8"/>
  <c r="C2936" i="8"/>
  <c r="C1188" i="8"/>
  <c r="C1548" i="8"/>
  <c r="C1998" i="8"/>
  <c r="B2832" i="8"/>
  <c r="C738" i="8"/>
  <c r="C3905" i="8"/>
  <c r="B4427" i="8"/>
  <c r="C3296" i="8"/>
  <c r="C1728" i="8"/>
  <c r="B3992" i="8"/>
  <c r="C2858" i="8"/>
  <c r="C3122" i="8"/>
  <c r="C3035" i="8"/>
  <c r="C2676" i="8"/>
  <c r="B2650" i="8"/>
  <c r="C2780" i="8"/>
  <c r="B294" i="8"/>
  <c r="C359" i="8"/>
  <c r="C2832" i="8"/>
  <c r="C4601" i="8"/>
  <c r="C1368" i="8"/>
  <c r="C2178" i="8"/>
  <c r="C2962" i="8"/>
  <c r="C4166" i="8"/>
  <c r="B3557" i="8"/>
  <c r="B3905" i="8"/>
  <c r="C2728" i="8"/>
  <c r="B166" i="8"/>
  <c r="B102" i="8"/>
  <c r="B4253" i="8"/>
  <c r="C2754" i="8"/>
  <c r="C918" i="8"/>
  <c r="C1098" i="8"/>
  <c r="C1638" i="8"/>
  <c r="C4688" i="8"/>
  <c r="B4340" i="8"/>
  <c r="B3818" i="8"/>
  <c r="B2858" i="8"/>
  <c r="B2936" i="8"/>
  <c r="B358" i="8"/>
  <c r="C38" i="8"/>
  <c r="B2676" i="8"/>
  <c r="C2358" i="8"/>
  <c r="B2988" i="8"/>
  <c r="C1458" i="8"/>
  <c r="C4514" i="8"/>
  <c r="C1278" i="8"/>
  <c r="B2728" i="8"/>
  <c r="B2884" i="8"/>
  <c r="B230" i="8"/>
  <c r="B4166" i="8"/>
  <c r="B3122" i="8"/>
  <c r="B3035" i="8"/>
  <c r="B486" i="8"/>
  <c r="B622" i="8"/>
  <c r="B558" i="8"/>
  <c r="B2910" i="8"/>
  <c r="C2650" i="8"/>
  <c r="C3209" i="8"/>
  <c r="B2962" i="8"/>
  <c r="C2884" i="8"/>
  <c r="C295" i="8"/>
  <c r="C2268" i="8"/>
  <c r="C167" i="8"/>
  <c r="C103" i="8"/>
  <c r="H2987" i="8" a="1"/>
  <c r="G3817" i="8"/>
  <c r="H3120" i="8" a="1"/>
  <c r="F4513" i="8"/>
  <c r="G37" i="8"/>
  <c r="H293" i="8" a="1"/>
  <c r="G1907" i="8"/>
  <c r="H4425" i="8" a="1"/>
  <c r="G2779" i="8"/>
  <c r="F293" i="8"/>
  <c r="H3729" i="8" a="1"/>
  <c r="F3295" i="8"/>
  <c r="F2883" i="8"/>
  <c r="G2883" i="8"/>
  <c r="F101" i="8"/>
  <c r="H4774" i="8" a="1"/>
  <c r="F621" i="8"/>
  <c r="F2857" i="8"/>
  <c r="G2988" i="8"/>
  <c r="H4077" i="8" a="1"/>
  <c r="G2649" i="8"/>
  <c r="H3642" i="8" a="1"/>
  <c r="G3556" i="8"/>
  <c r="G1187" i="8"/>
  <c r="H2960" i="8" a="1"/>
  <c r="G3034" i="8"/>
  <c r="H3033" i="8" a="1"/>
  <c r="G3295" i="8"/>
  <c r="F2961" i="8"/>
  <c r="G487" i="8"/>
  <c r="F4600" i="8"/>
  <c r="F3730" i="8"/>
  <c r="F2779" i="8"/>
  <c r="F4165" i="8"/>
  <c r="F421" i="8"/>
  <c r="F2909" i="8"/>
  <c r="H2357" i="8" a="1"/>
  <c r="G294" i="8"/>
  <c r="H36" i="8" a="1"/>
  <c r="G166" i="8"/>
  <c r="G2623" i="8"/>
  <c r="H3555" i="8" a="1"/>
  <c r="G2805" i="8"/>
  <c r="H4512" i="8" a="1"/>
  <c r="F3991" i="8"/>
  <c r="G1367" i="8"/>
  <c r="H4599" i="8" a="1"/>
  <c r="F3904" i="8"/>
  <c r="H2726" i="8" a="1"/>
  <c r="G3643" i="8"/>
  <c r="G2267" i="8"/>
  <c r="H2882" i="8" a="1"/>
  <c r="G2831" i="8"/>
  <c r="H4251" i="8" a="1"/>
  <c r="H621" i="8" a="1"/>
  <c r="H4164" i="8" a="1"/>
  <c r="G2087" i="8"/>
  <c r="H2934" i="8" a="1"/>
  <c r="G3991" i="8"/>
  <c r="F4078" i="8"/>
  <c r="G4165" i="8"/>
  <c r="F3469" i="8"/>
  <c r="H421" i="8" a="1"/>
  <c r="F2753" i="8"/>
  <c r="G102" i="8"/>
  <c r="H2830" i="8" a="1"/>
  <c r="G2753" i="8"/>
  <c r="H3990" i="8" a="1"/>
  <c r="G1817" i="8"/>
  <c r="F3034" i="8"/>
  <c r="H2856" i="8" a="1"/>
  <c r="F229" i="8"/>
  <c r="H2752" i="8" a="1"/>
  <c r="G4252" i="8"/>
  <c r="G2701" i="8"/>
  <c r="F2701" i="8"/>
  <c r="G4687" i="8"/>
  <c r="G2727" i="8"/>
  <c r="H2700" i="8" a="1"/>
  <c r="G1457" i="8"/>
  <c r="F2935" i="8"/>
  <c r="G3730" i="8"/>
  <c r="G827" i="8"/>
  <c r="H101" i="8" a="1"/>
  <c r="G4339" i="8"/>
  <c r="G737" i="8"/>
  <c r="H556" i="8" a="1"/>
  <c r="G4513" i="8"/>
  <c r="H3816" i="8" a="1"/>
  <c r="G422" i="8"/>
  <c r="H485" i="8" a="1"/>
  <c r="G3904" i="8"/>
  <c r="G1277" i="8"/>
  <c r="H4338" i="8" a="1"/>
  <c r="F2649" i="8"/>
  <c r="F4687" i="8"/>
  <c r="G2358" i="8"/>
  <c r="F2727" i="8"/>
  <c r="G3208" i="8"/>
  <c r="H357" i="8" a="1"/>
  <c r="G1997" i="8"/>
  <c r="F4252" i="8"/>
  <c r="H3468" i="8" a="1"/>
  <c r="G1097" i="8"/>
  <c r="G2857" i="8"/>
  <c r="F3382" i="8"/>
  <c r="F3817" i="8"/>
  <c r="H165" i="8" a="1"/>
  <c r="G2909" i="8"/>
  <c r="F557" i="8"/>
  <c r="F4426" i="8"/>
  <c r="G917" i="8"/>
  <c r="H3903" i="8" a="1"/>
  <c r="G358" i="8"/>
  <c r="F165" i="8"/>
  <c r="G557" i="8"/>
  <c r="G2935" i="8"/>
  <c r="H2596" i="8" a="1"/>
  <c r="F3121" i="8"/>
  <c r="F2988" i="8"/>
  <c r="F4775" i="8"/>
  <c r="F4339" i="8"/>
  <c r="G2177" i="8"/>
  <c r="G3382" i="8"/>
  <c r="G1007" i="8"/>
  <c r="G3469" i="8"/>
  <c r="F2805" i="8"/>
  <c r="H2778" i="8" a="1"/>
  <c r="F2377" i="8"/>
  <c r="G1547" i="8"/>
  <c r="H3207" i="8" a="1"/>
  <c r="H2622" i="8" a="1"/>
  <c r="F37" i="8"/>
  <c r="H229" i="8" a="1"/>
  <c r="F357" i="8"/>
  <c r="G4600" i="8"/>
  <c r="H2674" i="8" a="1"/>
  <c r="G1727" i="8"/>
  <c r="F486" i="8"/>
  <c r="F3208" i="8"/>
  <c r="G4078" i="8"/>
  <c r="H3381" i="8" a="1"/>
  <c r="G2961" i="8"/>
  <c r="G4426" i="8"/>
  <c r="G2675" i="8"/>
  <c r="F2623" i="8"/>
  <c r="H2648" i="8" a="1"/>
  <c r="F3643" i="8"/>
  <c r="F2831" i="8"/>
  <c r="G4775" i="8"/>
  <c r="G647" i="8"/>
  <c r="G3121" i="8"/>
  <c r="H2908" i="8" a="1"/>
  <c r="H4686" i="8" a="1"/>
  <c r="H3294" i="8" a="1"/>
  <c r="G230" i="8"/>
  <c r="F2675" i="8"/>
  <c r="F3556" i="8"/>
  <c r="G1637" i="8"/>
  <c r="H2804" i="8" a="1"/>
  <c r="H621" i="8" l="1"/>
  <c r="H3468" i="8"/>
  <c r="H3207" i="8"/>
  <c r="H101" i="8"/>
  <c r="H2804" i="8"/>
  <c r="H421" i="8"/>
  <c r="H4338" i="8"/>
  <c r="H4512" i="8"/>
  <c r="H2752" i="8"/>
  <c r="H3033" i="8"/>
  <c r="H4251" i="8"/>
  <c r="H4425" i="8"/>
  <c r="H3555" i="8"/>
  <c r="H2856" i="8"/>
  <c r="H2960" i="8"/>
  <c r="H2882" i="8"/>
  <c r="H293" i="8"/>
  <c r="H3294" i="8"/>
  <c r="H2674" i="8"/>
  <c r="H4774" i="8"/>
  <c r="H2596" i="8"/>
  <c r="H2648" i="8"/>
  <c r="H357" i="8"/>
  <c r="H2778" i="8"/>
  <c r="H485" i="8"/>
  <c r="H2700" i="8"/>
  <c r="H165" i="8"/>
  <c r="H2934" i="8"/>
  <c r="H3816" i="8"/>
  <c r="H36" i="8"/>
  <c r="H3990" i="8"/>
  <c r="H3642" i="8"/>
  <c r="H2726" i="8"/>
  <c r="H3120" i="8"/>
  <c r="H4686" i="8"/>
  <c r="H229" i="8"/>
  <c r="H4164" i="8"/>
  <c r="H556" i="8"/>
  <c r="H2357" i="8"/>
  <c r="H2830" i="8"/>
  <c r="H4077" i="8"/>
  <c r="H4599" i="8"/>
  <c r="H2987" i="8"/>
  <c r="H2908" i="8"/>
  <c r="H2622" i="8"/>
  <c r="H3729" i="8"/>
  <c r="H3903" i="8"/>
  <c r="H3381" i="8"/>
  <c r="C168" i="8"/>
  <c r="C104" i="8"/>
  <c r="C2677" i="8"/>
  <c r="C3297" i="8"/>
  <c r="B3123" i="8"/>
  <c r="B3036" i="8"/>
  <c r="C2911" i="8"/>
  <c r="B2937" i="8"/>
  <c r="B3210" i="8"/>
  <c r="B295" i="8"/>
  <c r="B2755" i="8"/>
  <c r="C4602" i="8"/>
  <c r="B2885" i="8"/>
  <c r="B4428" i="8"/>
  <c r="C1729" i="8"/>
  <c r="C1009" i="8"/>
  <c r="B231" i="8"/>
  <c r="B3993" i="8"/>
  <c r="C2269" i="8"/>
  <c r="C4689" i="8"/>
  <c r="C424" i="8"/>
  <c r="C2807" i="8"/>
  <c r="C2703" i="8"/>
  <c r="C2885" i="8"/>
  <c r="C2089" i="8"/>
  <c r="B2833" i="8"/>
  <c r="C1909" i="8"/>
  <c r="C739" i="8"/>
  <c r="B39" i="8"/>
  <c r="B3471" i="8"/>
  <c r="C488" i="8"/>
  <c r="C3558" i="8"/>
  <c r="B3558" i="8"/>
  <c r="C1369" i="8"/>
  <c r="B2703" i="8"/>
  <c r="B423" i="8"/>
  <c r="B4341" i="8"/>
  <c r="C2989" i="8"/>
  <c r="B2677" i="8"/>
  <c r="C1819" i="8"/>
  <c r="B4515" i="8"/>
  <c r="C829" i="8"/>
  <c r="C1279" i="8"/>
  <c r="C919" i="8"/>
  <c r="C4515" i="8"/>
  <c r="C1099" i="8"/>
  <c r="B2807" i="8"/>
  <c r="B3732" i="8"/>
  <c r="B4167" i="8"/>
  <c r="C4428" i="8"/>
  <c r="C3471" i="8"/>
  <c r="C2729" i="8"/>
  <c r="B2781" i="8"/>
  <c r="C3645" i="8"/>
  <c r="C232" i="8"/>
  <c r="C360" i="8"/>
  <c r="B2989" i="8"/>
  <c r="B559" i="8"/>
  <c r="B623" i="8"/>
  <c r="B4254" i="8"/>
  <c r="B2911" i="8"/>
  <c r="C1549" i="8"/>
  <c r="B2963" i="8"/>
  <c r="C1189" i="8"/>
  <c r="C2781" i="8"/>
  <c r="C2755" i="8"/>
  <c r="B3645" i="8"/>
  <c r="C1459" i="8"/>
  <c r="C2859" i="8"/>
  <c r="B359" i="8"/>
  <c r="C3123" i="8"/>
  <c r="C3036" i="8"/>
  <c r="B4080" i="8"/>
  <c r="C3993" i="8"/>
  <c r="B3297" i="8"/>
  <c r="B3819" i="8"/>
  <c r="C2179" i="8"/>
  <c r="B2379" i="8"/>
  <c r="C3906" i="8"/>
  <c r="B4602" i="8"/>
  <c r="C4341" i="8"/>
  <c r="C4080" i="8"/>
  <c r="C2359" i="8"/>
  <c r="C39" i="8"/>
  <c r="B3906" i="8"/>
  <c r="C4776" i="8"/>
  <c r="B167" i="8"/>
  <c r="B103" i="8"/>
  <c r="C4254" i="8"/>
  <c r="C3210" i="8"/>
  <c r="C3384" i="8"/>
  <c r="B2859" i="8"/>
  <c r="C1639" i="8"/>
  <c r="C2963" i="8"/>
  <c r="C4167" i="8"/>
  <c r="C296" i="8"/>
  <c r="C1999" i="8"/>
  <c r="C3732" i="8"/>
  <c r="C3819" i="8"/>
  <c r="B4689" i="8"/>
  <c r="B4776" i="8"/>
  <c r="B487" i="8"/>
  <c r="C2937" i="8"/>
  <c r="C649" i="8"/>
  <c r="C559" i="8"/>
  <c r="C2833" i="8"/>
  <c r="B2729" i="8"/>
  <c r="B3384" i="8"/>
  <c r="H2857" i="8" a="1"/>
  <c r="G4514" i="8"/>
  <c r="G2268" i="8"/>
  <c r="H358" i="8" a="1"/>
  <c r="G2359" i="8"/>
  <c r="H3904" i="8" a="1"/>
  <c r="G1998" i="8"/>
  <c r="H4513" i="8" a="1"/>
  <c r="F4601" i="8"/>
  <c r="H2909" i="8" a="1"/>
  <c r="G1728" i="8"/>
  <c r="H4165" i="8" a="1"/>
  <c r="F2754" i="8"/>
  <c r="F102" i="8"/>
  <c r="G2884" i="8"/>
  <c r="F4079" i="8"/>
  <c r="H3817" i="8" a="1"/>
  <c r="H486" i="8" a="1"/>
  <c r="F4688" i="8"/>
  <c r="H3730" i="8" a="1"/>
  <c r="G3470" i="8"/>
  <c r="H3295" i="8" a="1"/>
  <c r="F38" i="8"/>
  <c r="G3035" i="8"/>
  <c r="H2649" i="8" a="1"/>
  <c r="G1188" i="8"/>
  <c r="H2883" i="8" a="1"/>
  <c r="G3122" i="8"/>
  <c r="F230" i="8"/>
  <c r="F3209" i="8"/>
  <c r="H2753" i="8" a="1"/>
  <c r="G3905" i="8"/>
  <c r="H2805" i="8" a="1"/>
  <c r="G359" i="8"/>
  <c r="F4514" i="8"/>
  <c r="G1008" i="8"/>
  <c r="F4776" i="8"/>
  <c r="H3643" i="8" a="1"/>
  <c r="G738" i="8"/>
  <c r="G3818" i="8"/>
  <c r="G1548" i="8"/>
  <c r="H2701" i="8" a="1"/>
  <c r="G2858" i="8"/>
  <c r="F422" i="8"/>
  <c r="G2676" i="8"/>
  <c r="F3296" i="8"/>
  <c r="H3469" i="8" a="1"/>
  <c r="F4253" i="8"/>
  <c r="F3383" i="8"/>
  <c r="G558" i="8"/>
  <c r="F622" i="8"/>
  <c r="G295" i="8"/>
  <c r="H2675" i="8" a="1"/>
  <c r="G2754" i="8"/>
  <c r="H102" i="8" a="1"/>
  <c r="F166" i="8"/>
  <c r="G2728" i="8"/>
  <c r="G918" i="8"/>
  <c r="G2910" i="8"/>
  <c r="G1368" i="8"/>
  <c r="H557" i="8" a="1"/>
  <c r="G828" i="8"/>
  <c r="H2935" i="8" a="1"/>
  <c r="F2962" i="8"/>
  <c r="F2832" i="8"/>
  <c r="F3122" i="8"/>
  <c r="G3383" i="8"/>
  <c r="H3382" i="8" a="1"/>
  <c r="H2988" i="8" a="1"/>
  <c r="G4601" i="8"/>
  <c r="G3731" i="8"/>
  <c r="G1638" i="8"/>
  <c r="F2676" i="8"/>
  <c r="F3992" i="8"/>
  <c r="H2358" i="8" a="1"/>
  <c r="H4600" i="8" a="1"/>
  <c r="G2962" i="8"/>
  <c r="H230" i="8" a="1"/>
  <c r="F2650" i="8"/>
  <c r="G3992" i="8"/>
  <c r="G3209" i="8"/>
  <c r="F2780" i="8"/>
  <c r="G2088" i="8"/>
  <c r="H3121" i="8" a="1"/>
  <c r="F4340" i="8"/>
  <c r="G4166" i="8"/>
  <c r="G2650" i="8"/>
  <c r="F3818" i="8"/>
  <c r="H3208" i="8" a="1"/>
  <c r="G423" i="8"/>
  <c r="G231" i="8"/>
  <c r="G1278" i="8"/>
  <c r="G3557" i="8"/>
  <c r="G3296" i="8"/>
  <c r="F3035" i="8"/>
  <c r="G2832" i="8"/>
  <c r="H2727" i="8" a="1"/>
  <c r="F3557" i="8"/>
  <c r="H4339" i="8" a="1"/>
  <c r="G2178" i="8"/>
  <c r="F3731" i="8"/>
  <c r="G2780" i="8"/>
  <c r="H2623" i="8" a="1"/>
  <c r="F358" i="8"/>
  <c r="H4775" i="8" a="1"/>
  <c r="G488" i="8"/>
  <c r="F2378" i="8"/>
  <c r="H2961" i="8" a="1"/>
  <c r="G4427" i="8"/>
  <c r="F2910" i="8"/>
  <c r="H4687" i="8" a="1"/>
  <c r="G2702" i="8"/>
  <c r="H3556" i="8" a="1"/>
  <c r="F2936" i="8"/>
  <c r="F2702" i="8"/>
  <c r="F2858" i="8"/>
  <c r="G4776" i="8"/>
  <c r="G4340" i="8"/>
  <c r="H2831" i="8" a="1"/>
  <c r="G648" i="8"/>
  <c r="H4078" i="8" a="1"/>
  <c r="G1818" i="8"/>
  <c r="F2989" i="8"/>
  <c r="H4426" i="8" a="1"/>
  <c r="F4427" i="8"/>
  <c r="H166" i="8" a="1"/>
  <c r="G1458" i="8"/>
  <c r="G4253" i="8"/>
  <c r="H4252" i="8" a="1"/>
  <c r="F3905" i="8"/>
  <c r="G4079" i="8"/>
  <c r="H622" i="8" a="1"/>
  <c r="F487" i="8"/>
  <c r="H422" i="8" a="1"/>
  <c r="F3470" i="8"/>
  <c r="H2779" i="8" a="1"/>
  <c r="G38" i="8"/>
  <c r="H294" i="8" a="1"/>
  <c r="F3644" i="8"/>
  <c r="H3991" i="8" a="1"/>
  <c r="F2884" i="8"/>
  <c r="G3644" i="8"/>
  <c r="F2728" i="8"/>
  <c r="G167" i="8"/>
  <c r="G103" i="8"/>
  <c r="G4688" i="8"/>
  <c r="G2936" i="8"/>
  <c r="F4166" i="8"/>
  <c r="G2989" i="8"/>
  <c r="F2806" i="8"/>
  <c r="G1098" i="8"/>
  <c r="F558" i="8"/>
  <c r="G2806" i="8"/>
  <c r="H3034" i="8" a="1"/>
  <c r="H37" i="8" a="1"/>
  <c r="F294" i="8"/>
  <c r="G1908" i="8"/>
  <c r="H486" i="8" l="1"/>
  <c r="H3382" i="8"/>
  <c r="H3817" i="8"/>
  <c r="H4513" i="8"/>
  <c r="H2358" i="8"/>
  <c r="H2883" i="8"/>
  <c r="H166" i="8"/>
  <c r="H37" i="8"/>
  <c r="H3034" i="8"/>
  <c r="H2779" i="8"/>
  <c r="H2961" i="8"/>
  <c r="H2649" i="8"/>
  <c r="H4426" i="8"/>
  <c r="H3469" i="8"/>
  <c r="H3643" i="8"/>
  <c r="H422" i="8"/>
  <c r="H3208" i="8"/>
  <c r="H3904" i="8"/>
  <c r="H2805" i="8"/>
  <c r="H4339" i="8"/>
  <c r="H102" i="8"/>
  <c r="H622" i="8"/>
  <c r="H358" i="8"/>
  <c r="H2753" i="8"/>
  <c r="H2727" i="8"/>
  <c r="H2675" i="8"/>
  <c r="H3556" i="8"/>
  <c r="H3991" i="8"/>
  <c r="H2935" i="8"/>
  <c r="H4165" i="8"/>
  <c r="H230" i="8"/>
  <c r="H4775" i="8"/>
  <c r="H3295" i="8"/>
  <c r="H4078" i="8"/>
  <c r="H4687" i="8"/>
  <c r="H294" i="8"/>
  <c r="H557" i="8"/>
  <c r="H2909" i="8"/>
  <c r="H4600" i="8"/>
  <c r="H2623" i="8"/>
  <c r="H3730" i="8"/>
  <c r="H2831" i="8"/>
  <c r="H2701" i="8"/>
  <c r="H2988" i="8"/>
  <c r="H4252" i="8"/>
  <c r="H3121" i="8"/>
  <c r="H2857" i="8"/>
  <c r="B232" i="8"/>
  <c r="B3994" i="8"/>
  <c r="C2270" i="8"/>
  <c r="C3211" i="8"/>
  <c r="B3733" i="8"/>
  <c r="B2990" i="8"/>
  <c r="B2756" i="8"/>
  <c r="C3907" i="8"/>
  <c r="C2090" i="8"/>
  <c r="C4255" i="8"/>
  <c r="C1730" i="8"/>
  <c r="C3472" i="8"/>
  <c r="C4342" i="8"/>
  <c r="C4429" i="8"/>
  <c r="C3994" i="8"/>
  <c r="B3385" i="8"/>
  <c r="B4168" i="8"/>
  <c r="C2782" i="8"/>
  <c r="C1280" i="8"/>
  <c r="B560" i="8"/>
  <c r="B624" i="8"/>
  <c r="C425" i="8"/>
  <c r="C3733" i="8"/>
  <c r="C2756" i="8"/>
  <c r="C4516" i="8"/>
  <c r="B3820" i="8"/>
  <c r="C1190" i="8"/>
  <c r="C1010" i="8"/>
  <c r="C1910" i="8"/>
  <c r="B488" i="8"/>
  <c r="C3646" i="8"/>
  <c r="C830" i="8"/>
  <c r="C2912" i="8"/>
  <c r="C4777" i="8"/>
  <c r="B4081" i="8"/>
  <c r="B4516" i="8"/>
  <c r="C4690" i="8"/>
  <c r="B360" i="8"/>
  <c r="B3037" i="8"/>
  <c r="B3124" i="8"/>
  <c r="C3385" i="8"/>
  <c r="C650" i="8"/>
  <c r="C560" i="8"/>
  <c r="C40" i="8"/>
  <c r="C4081" i="8"/>
  <c r="C1640" i="8"/>
  <c r="B4342" i="8"/>
  <c r="B2808" i="8"/>
  <c r="B2704" i="8"/>
  <c r="B40" i="8"/>
  <c r="C2000" i="8"/>
  <c r="C2730" i="8"/>
  <c r="C1820" i="8"/>
  <c r="B3211" i="8"/>
  <c r="C169" i="8"/>
  <c r="C105" i="8"/>
  <c r="B424" i="8"/>
  <c r="C1550" i="8"/>
  <c r="C740" i="8"/>
  <c r="B4777" i="8"/>
  <c r="C3820" i="8"/>
  <c r="C361" i="8"/>
  <c r="C2990" i="8"/>
  <c r="B2886" i="8"/>
  <c r="C3298" i="8"/>
  <c r="B168" i="8"/>
  <c r="B104" i="8"/>
  <c r="C4168" i="8"/>
  <c r="B4690" i="8"/>
  <c r="B2380" i="8"/>
  <c r="B3907" i="8"/>
  <c r="C3124" i="8"/>
  <c r="C3037" i="8"/>
  <c r="C2886" i="8"/>
  <c r="C297" i="8"/>
  <c r="C3559" i="8"/>
  <c r="B4255" i="8"/>
  <c r="B2834" i="8"/>
  <c r="C4603" i="8"/>
  <c r="C1370" i="8"/>
  <c r="B4603" i="8"/>
  <c r="B4429" i="8"/>
  <c r="B2730" i="8"/>
  <c r="B3646" i="8"/>
  <c r="C2180" i="8"/>
  <c r="C489" i="8"/>
  <c r="C2360" i="8"/>
  <c r="B296" i="8"/>
  <c r="B2912" i="8"/>
  <c r="B2782" i="8"/>
  <c r="B3298" i="8"/>
  <c r="C2938" i="8"/>
  <c r="C233" i="8"/>
  <c r="B3472" i="8"/>
  <c r="C2860" i="8"/>
  <c r="C2964" i="8"/>
  <c r="C2808" i="8"/>
  <c r="B2938" i="8"/>
  <c r="C920" i="8"/>
  <c r="C1460" i="8"/>
  <c r="B3559" i="8"/>
  <c r="B2860" i="8"/>
  <c r="C2834" i="8"/>
  <c r="C1100" i="8"/>
  <c r="B2964" i="8"/>
  <c r="C2704" i="8"/>
  <c r="G3906" i="8"/>
  <c r="G2833" i="8"/>
  <c r="G3384" i="8"/>
  <c r="G4080" i="8"/>
  <c r="H3209" i="8" a="1"/>
  <c r="F39" i="8"/>
  <c r="H2910" i="8" a="1"/>
  <c r="G3558" i="8"/>
  <c r="F2885" i="8"/>
  <c r="H2936" i="8" a="1"/>
  <c r="F4080" i="8"/>
  <c r="G829" i="8"/>
  <c r="G2755" i="8"/>
  <c r="F2379" i="8"/>
  <c r="H3644" i="8" a="1"/>
  <c r="G2703" i="8"/>
  <c r="H2989" i="8" a="1"/>
  <c r="G2885" i="8"/>
  <c r="H2754" i="8" a="1"/>
  <c r="G4777" i="8"/>
  <c r="H231" i="8" a="1"/>
  <c r="G4689" i="8"/>
  <c r="F2755" i="8"/>
  <c r="F2990" i="8"/>
  <c r="F2859" i="8"/>
  <c r="H3992" i="8" a="1"/>
  <c r="F2781" i="8"/>
  <c r="G168" i="8"/>
  <c r="F167" i="8"/>
  <c r="G3210" i="8"/>
  <c r="H4166" i="8" a="1"/>
  <c r="F4254" i="8"/>
  <c r="F2833" i="8"/>
  <c r="F559" i="8"/>
  <c r="G424" i="8"/>
  <c r="H2858" i="8" a="1"/>
  <c r="H488" i="8" a="1"/>
  <c r="F2963" i="8"/>
  <c r="H3557" i="8" a="1"/>
  <c r="G4515" i="8"/>
  <c r="G1459" i="8"/>
  <c r="H487" i="8" a="1"/>
  <c r="H4688" i="8" a="1"/>
  <c r="F488" i="8"/>
  <c r="H38" i="8" a="1"/>
  <c r="F3732" i="8"/>
  <c r="G1279" i="8"/>
  <c r="F3906" i="8"/>
  <c r="F4689" i="8"/>
  <c r="H4427" i="8" a="1"/>
  <c r="F3036" i="8"/>
  <c r="F2937" i="8"/>
  <c r="H3035" i="8" a="1"/>
  <c r="G739" i="8"/>
  <c r="H2780" i="8" a="1"/>
  <c r="F423" i="8"/>
  <c r="G489" i="8"/>
  <c r="G3123" i="8"/>
  <c r="G296" i="8"/>
  <c r="H359" i="8" a="1"/>
  <c r="G1549" i="8"/>
  <c r="H4601" i="8" a="1"/>
  <c r="G2990" i="8"/>
  <c r="H2806" i="8" a="1"/>
  <c r="G3993" i="8"/>
  <c r="G2937" i="8"/>
  <c r="F3297" i="8"/>
  <c r="F4341" i="8"/>
  <c r="H2832" i="8" a="1"/>
  <c r="F4602" i="8"/>
  <c r="G2677" i="8"/>
  <c r="F3210" i="8"/>
  <c r="H3383" i="8" a="1"/>
  <c r="G2360" i="8"/>
  <c r="G4602" i="8"/>
  <c r="H295" i="8" a="1"/>
  <c r="G649" i="8"/>
  <c r="H423" i="8" a="1"/>
  <c r="F295" i="8"/>
  <c r="F3558" i="8"/>
  <c r="G4167" i="8"/>
  <c r="H623" i="8" a="1"/>
  <c r="H2676" i="8" a="1"/>
  <c r="G2963" i="8"/>
  <c r="F2703" i="8"/>
  <c r="H2962" i="8" a="1"/>
  <c r="G3732" i="8"/>
  <c r="H2884" i="8" a="1"/>
  <c r="G559" i="8"/>
  <c r="F231" i="8"/>
  <c r="G4341" i="8"/>
  <c r="G3471" i="8"/>
  <c r="H3731" i="8" a="1"/>
  <c r="F3471" i="8"/>
  <c r="G1999" i="8"/>
  <c r="F4515" i="8"/>
  <c r="H4514" i="8" a="1"/>
  <c r="G1729" i="8"/>
  <c r="H4776" i="8" a="1"/>
  <c r="G3297" i="8"/>
  <c r="G1009" i="8"/>
  <c r="G3645" i="8"/>
  <c r="G2089" i="8"/>
  <c r="H4340" i="8" a="1"/>
  <c r="G919" i="8"/>
  <c r="H4253" i="8" a="1"/>
  <c r="F2807" i="8"/>
  <c r="H2728" i="8" a="1"/>
  <c r="G2179" i="8"/>
  <c r="G232" i="8"/>
  <c r="H2702" i="8" a="1"/>
  <c r="F2677" i="8"/>
  <c r="H3818" i="8" a="1"/>
  <c r="G1099" i="8"/>
  <c r="F3384" i="8"/>
  <c r="F3645" i="8"/>
  <c r="G2859" i="8"/>
  <c r="G1369" i="8"/>
  <c r="F2729" i="8"/>
  <c r="F4167" i="8"/>
  <c r="H3470" i="8" a="1"/>
  <c r="G1909" i="8"/>
  <c r="H558" i="8" a="1"/>
  <c r="G1819" i="8"/>
  <c r="F2911" i="8"/>
  <c r="G1639" i="8"/>
  <c r="H3296" i="8" a="1"/>
  <c r="G1189" i="8"/>
  <c r="H3122" i="8" a="1"/>
  <c r="G360" i="8"/>
  <c r="F623" i="8"/>
  <c r="H2359" i="8" a="1"/>
  <c r="G104" i="8"/>
  <c r="H103" i="8" a="1"/>
  <c r="F3993" i="8"/>
  <c r="G2807" i="8"/>
  <c r="H4079" i="8" a="1"/>
  <c r="F359" i="8"/>
  <c r="H167" i="8" a="1"/>
  <c r="F4428" i="8"/>
  <c r="G2911" i="8"/>
  <c r="G3819" i="8"/>
  <c r="G3036" i="8"/>
  <c r="H3905" i="8" a="1"/>
  <c r="F3123" i="8"/>
  <c r="G2781" i="8"/>
  <c r="G2269" i="8"/>
  <c r="F3819" i="8"/>
  <c r="G4254" i="8"/>
  <c r="F4777" i="8"/>
  <c r="G39" i="8"/>
  <c r="G4428" i="8"/>
  <c r="G2729" i="8"/>
  <c r="H2650" i="8" a="1"/>
  <c r="F103" i="8"/>
  <c r="H488" i="8" l="1"/>
  <c r="H487" i="8"/>
  <c r="H2858" i="8"/>
  <c r="H2832" i="8"/>
  <c r="H3731" i="8"/>
  <c r="H2676" i="8"/>
  <c r="H3905" i="8"/>
  <c r="H3992" i="8"/>
  <c r="H359" i="8"/>
  <c r="H4427" i="8"/>
  <c r="H2728" i="8"/>
  <c r="H103" i="8"/>
  <c r="H2989" i="8"/>
  <c r="H2910" i="8"/>
  <c r="H3557" i="8"/>
  <c r="H623" i="8"/>
  <c r="H2650" i="8"/>
  <c r="H2359" i="8"/>
  <c r="H3644" i="8"/>
  <c r="H3209" i="8"/>
  <c r="H3383" i="8"/>
  <c r="H4776" i="8"/>
  <c r="H558" i="8"/>
  <c r="H3818" i="8"/>
  <c r="H4514" i="8"/>
  <c r="H3470" i="8"/>
  <c r="H2702" i="8"/>
  <c r="H4166" i="8"/>
  <c r="H2806" i="8"/>
  <c r="H2884" i="8"/>
  <c r="H423" i="8"/>
  <c r="H167" i="8"/>
  <c r="H231" i="8"/>
  <c r="H2780" i="8"/>
  <c r="H38" i="8"/>
  <c r="H4253" i="8"/>
  <c r="H3122" i="8"/>
  <c r="H4601" i="8"/>
  <c r="H2962" i="8"/>
  <c r="H295" i="8"/>
  <c r="H4079" i="8"/>
  <c r="H2754" i="8"/>
  <c r="H3035" i="8"/>
  <c r="H4688" i="8"/>
  <c r="H4340" i="8"/>
  <c r="H3296" i="8"/>
  <c r="H2936" i="8"/>
  <c r="C2861" i="8"/>
  <c r="B3647" i="8"/>
  <c r="C2271" i="8"/>
  <c r="B2757" i="8"/>
  <c r="B2991" i="8"/>
  <c r="C1011" i="8"/>
  <c r="C2835" i="8"/>
  <c r="C2887" i="8"/>
  <c r="C298" i="8"/>
  <c r="B3386" i="8"/>
  <c r="B4691" i="8"/>
  <c r="C4691" i="8"/>
  <c r="B4343" i="8"/>
  <c r="C362" i="8"/>
  <c r="C3386" i="8"/>
  <c r="C3908" i="8"/>
  <c r="C831" i="8"/>
  <c r="B489" i="8"/>
  <c r="C2757" i="8"/>
  <c r="B41" i="8"/>
  <c r="C41" i="8"/>
  <c r="C741" i="8"/>
  <c r="C2001" i="8"/>
  <c r="C1281" i="8"/>
  <c r="C1371" i="8"/>
  <c r="B4256" i="8"/>
  <c r="C4082" i="8"/>
  <c r="C4430" i="8"/>
  <c r="C2181" i="8"/>
  <c r="B2783" i="8"/>
  <c r="C2361" i="8"/>
  <c r="B297" i="8"/>
  <c r="C2965" i="8"/>
  <c r="B2809" i="8"/>
  <c r="C1461" i="8"/>
  <c r="B2861" i="8"/>
  <c r="B3995" i="8"/>
  <c r="B4778" i="8"/>
  <c r="B169" i="8"/>
  <c r="B105" i="8"/>
  <c r="B3299" i="8"/>
  <c r="B2835" i="8"/>
  <c r="C1731" i="8"/>
  <c r="B3125" i="8"/>
  <c r="B3038" i="8"/>
  <c r="C4778" i="8"/>
  <c r="B4169" i="8"/>
  <c r="C2939" i="8"/>
  <c r="C3734" i="8"/>
  <c r="C4604" i="8"/>
  <c r="C3821" i="8"/>
  <c r="C2809" i="8"/>
  <c r="C3560" i="8"/>
  <c r="C2731" i="8"/>
  <c r="C1191" i="8"/>
  <c r="B2887" i="8"/>
  <c r="C1551" i="8"/>
  <c r="B2965" i="8"/>
  <c r="C2991" i="8"/>
  <c r="B3560" i="8"/>
  <c r="B361" i="8"/>
  <c r="B3734" i="8"/>
  <c r="B4517" i="8"/>
  <c r="C3647" i="8"/>
  <c r="C3038" i="8"/>
  <c r="C3125" i="8"/>
  <c r="B233" i="8"/>
  <c r="B2913" i="8"/>
  <c r="C426" i="8"/>
  <c r="C1641" i="8"/>
  <c r="C170" i="8"/>
  <c r="C106" i="8"/>
  <c r="C3473" i="8"/>
  <c r="C921" i="8"/>
  <c r="C1101" i="8"/>
  <c r="B625" i="8"/>
  <c r="B561" i="8"/>
  <c r="B3473" i="8"/>
  <c r="C4517" i="8"/>
  <c r="C4343" i="8"/>
  <c r="C3995" i="8"/>
  <c r="C3299" i="8"/>
  <c r="B4082" i="8"/>
  <c r="B2939" i="8"/>
  <c r="C2913" i="8"/>
  <c r="C3212" i="8"/>
  <c r="B2381" i="8"/>
  <c r="C4256" i="8"/>
  <c r="C234" i="8"/>
  <c r="C1911" i="8"/>
  <c r="C2091" i="8"/>
  <c r="B2731" i="8"/>
  <c r="B4430" i="8"/>
  <c r="C4169" i="8"/>
  <c r="C651" i="8"/>
  <c r="C561" i="8"/>
  <c r="B3212" i="8"/>
  <c r="B425" i="8"/>
  <c r="B4604" i="8"/>
  <c r="B3908" i="8"/>
  <c r="C2783" i="8"/>
  <c r="C490" i="8"/>
  <c r="C1821" i="8"/>
  <c r="B3821" i="8"/>
  <c r="H3819" i="8" a="1"/>
  <c r="F3472" i="8"/>
  <c r="H3036" i="8" a="1"/>
  <c r="G1280" i="8"/>
  <c r="G425" i="8"/>
  <c r="G2808" i="8"/>
  <c r="G4255" i="8"/>
  <c r="H232" i="8" a="1"/>
  <c r="F4429" i="8"/>
  <c r="G2361" i="8"/>
  <c r="F4342" i="8"/>
  <c r="G2860" i="8"/>
  <c r="G2782" i="8"/>
  <c r="H4080" i="8" a="1"/>
  <c r="G3646" i="8"/>
  <c r="G2756" i="8"/>
  <c r="F4255" i="8"/>
  <c r="F296" i="8"/>
  <c r="H3558" i="8" a="1"/>
  <c r="G2704" i="8"/>
  <c r="H2360" i="8" a="1"/>
  <c r="F424" i="8"/>
  <c r="G560" i="8"/>
  <c r="G2180" i="8"/>
  <c r="G830" i="8"/>
  <c r="H3471" i="8" a="1"/>
  <c r="G1100" i="8"/>
  <c r="G650" i="8"/>
  <c r="G169" i="8"/>
  <c r="F3559" i="8"/>
  <c r="G2912" i="8"/>
  <c r="H4341" i="8" a="1"/>
  <c r="F2808" i="8"/>
  <c r="G4081" i="8"/>
  <c r="G233" i="8"/>
  <c r="G1460" i="8"/>
  <c r="G105" i="8"/>
  <c r="G490" i="8"/>
  <c r="H2755" i="8" a="1"/>
  <c r="G3037" i="8"/>
  <c r="H3297" i="8" a="1"/>
  <c r="H3906" i="8" a="1"/>
  <c r="G3907" i="8"/>
  <c r="H360" i="8" a="1"/>
  <c r="G2938" i="8"/>
  <c r="H424" i="8" a="1"/>
  <c r="F2834" i="8"/>
  <c r="G4168" i="8"/>
  <c r="G2730" i="8"/>
  <c r="H2963" i="8" a="1"/>
  <c r="G4778" i="8"/>
  <c r="H2677" i="8" a="1"/>
  <c r="G3820" i="8"/>
  <c r="G3385" i="8"/>
  <c r="H3732" i="8" a="1"/>
  <c r="G361" i="8"/>
  <c r="H2885" i="8" a="1"/>
  <c r="G40" i="8"/>
  <c r="G1550" i="8"/>
  <c r="H3210" i="8" a="1"/>
  <c r="F560" i="8"/>
  <c r="H3123" i="8" a="1"/>
  <c r="G2090" i="8"/>
  <c r="H4602" i="8" a="1"/>
  <c r="F624" i="8"/>
  <c r="F2912" i="8"/>
  <c r="H4689" i="8" a="1"/>
  <c r="H168" i="8" a="1"/>
  <c r="G4603" i="8"/>
  <c r="H2781" i="8" a="1"/>
  <c r="F3385" i="8"/>
  <c r="G2991" i="8"/>
  <c r="G1190" i="8"/>
  <c r="G2000" i="8"/>
  <c r="G920" i="8"/>
  <c r="G4516" i="8"/>
  <c r="H2937" i="8" a="1"/>
  <c r="F4081" i="8"/>
  <c r="F3124" i="8"/>
  <c r="F3037" i="8"/>
  <c r="H2729" i="8" a="1"/>
  <c r="G1010" i="8"/>
  <c r="H2703" i="8" a="1"/>
  <c r="G3994" i="8"/>
  <c r="H4515" i="8" a="1"/>
  <c r="G1910" i="8"/>
  <c r="G3211" i="8"/>
  <c r="H2911" i="8" a="1"/>
  <c r="F2756" i="8"/>
  <c r="G3298" i="8"/>
  <c r="F489" i="8"/>
  <c r="F2380" i="8"/>
  <c r="H4254" i="8" a="1"/>
  <c r="G4690" i="8"/>
  <c r="H39" i="8" a="1"/>
  <c r="F104" i="8"/>
  <c r="F2704" i="8"/>
  <c r="F2964" i="8"/>
  <c r="H104" i="8" a="1"/>
  <c r="F2938" i="8"/>
  <c r="H4428" i="8" a="1"/>
  <c r="F40" i="8"/>
  <c r="F360" i="8"/>
  <c r="F2991" i="8"/>
  <c r="G2886" i="8"/>
  <c r="H2807" i="8" a="1"/>
  <c r="G1640" i="8"/>
  <c r="F3733" i="8"/>
  <c r="G297" i="8"/>
  <c r="G3559" i="8"/>
  <c r="H2833" i="8" a="1"/>
  <c r="F168" i="8"/>
  <c r="H2859" i="8" a="1"/>
  <c r="F2886" i="8"/>
  <c r="F2730" i="8"/>
  <c r="F3994" i="8"/>
  <c r="H2990" i="8" a="1"/>
  <c r="F3907" i="8"/>
  <c r="H296" i="8" a="1"/>
  <c r="F4778" i="8"/>
  <c r="G1820" i="8"/>
  <c r="G2834" i="8"/>
  <c r="G3733" i="8"/>
  <c r="F232" i="8"/>
  <c r="G1370" i="8"/>
  <c r="F3820" i="8"/>
  <c r="F3298" i="8"/>
  <c r="F2860" i="8"/>
  <c r="H559" i="8" a="1"/>
  <c r="G3472" i="8"/>
  <c r="G1730" i="8"/>
  <c r="H624" i="8" a="1"/>
  <c r="H4777" i="8" a="1"/>
  <c r="G4429" i="8"/>
  <c r="H3993" i="8" a="1"/>
  <c r="G2270" i="8"/>
  <c r="H3645" i="8" a="1"/>
  <c r="F2782" i="8"/>
  <c r="G3124" i="8"/>
  <c r="H3384" i="8" a="1"/>
  <c r="F4690" i="8"/>
  <c r="H4167" i="8" a="1"/>
  <c r="F4516" i="8"/>
  <c r="F4603" i="8"/>
  <c r="F3211" i="8"/>
  <c r="F3646" i="8"/>
  <c r="G2964" i="8"/>
  <c r="G740" i="8"/>
  <c r="G4342" i="8"/>
  <c r="F4168" i="8"/>
  <c r="H624" i="8" l="1"/>
  <c r="H232" i="8"/>
  <c r="H3384" i="8"/>
  <c r="H4689" i="8"/>
  <c r="H2911" i="8"/>
  <c r="H4167" i="8"/>
  <c r="H3297" i="8"/>
  <c r="H3471" i="8"/>
  <c r="H2885" i="8"/>
  <c r="H2859" i="8"/>
  <c r="H2781" i="8"/>
  <c r="H3732" i="8"/>
  <c r="H2833" i="8"/>
  <c r="H2755" i="8"/>
  <c r="H559" i="8"/>
  <c r="H4080" i="8"/>
  <c r="H2937" i="8"/>
  <c r="H4341" i="8"/>
  <c r="H39" i="8"/>
  <c r="H296" i="8"/>
  <c r="H424" i="8"/>
  <c r="H3645" i="8"/>
  <c r="H4602" i="8"/>
  <c r="H4515" i="8"/>
  <c r="H4254" i="8"/>
  <c r="H2990" i="8"/>
  <c r="H360" i="8"/>
  <c r="H3993" i="8"/>
  <c r="H3123" i="8"/>
  <c r="H2703" i="8"/>
  <c r="H3036" i="8"/>
  <c r="H4428" i="8"/>
  <c r="H2360" i="8"/>
  <c r="H2677" i="8"/>
  <c r="H3906" i="8"/>
  <c r="H4777" i="8"/>
  <c r="H3210" i="8"/>
  <c r="H2729" i="8"/>
  <c r="H3819" i="8"/>
  <c r="H104" i="8"/>
  <c r="H3558" i="8"/>
  <c r="H2963" i="8"/>
  <c r="H2807" i="8"/>
  <c r="H168" i="8"/>
  <c r="C1912" i="8"/>
  <c r="C2810" i="8"/>
  <c r="B3300" i="8"/>
  <c r="C742" i="8"/>
  <c r="B4518" i="8"/>
  <c r="C2182" i="8"/>
  <c r="C299" i="8"/>
  <c r="B2382" i="8"/>
  <c r="B4170" i="8"/>
  <c r="C4083" i="8"/>
  <c r="C4605" i="8"/>
  <c r="B626" i="8"/>
  <c r="B562" i="8"/>
  <c r="C1012" i="8"/>
  <c r="C3648" i="8"/>
  <c r="C3822" i="8"/>
  <c r="B4257" i="8"/>
  <c r="C1822" i="8"/>
  <c r="B3387" i="8"/>
  <c r="B2888" i="8"/>
  <c r="B2836" i="8"/>
  <c r="C2092" i="8"/>
  <c r="C2862" i="8"/>
  <c r="C2362" i="8"/>
  <c r="B4692" i="8"/>
  <c r="C171" i="8"/>
  <c r="C107" i="8"/>
  <c r="C3126" i="8"/>
  <c r="C3039" i="8"/>
  <c r="B4605" i="8"/>
  <c r="B426" i="8"/>
  <c r="C1642" i="8"/>
  <c r="C1282" i="8"/>
  <c r="C3909" i="8"/>
  <c r="B3126" i="8"/>
  <c r="B3039" i="8"/>
  <c r="B362" i="8"/>
  <c r="B2810" i="8"/>
  <c r="C4518" i="8"/>
  <c r="B4344" i="8"/>
  <c r="C42" i="8"/>
  <c r="C2784" i="8"/>
  <c r="C922" i="8"/>
  <c r="C3474" i="8"/>
  <c r="B4431" i="8"/>
  <c r="B4779" i="8"/>
  <c r="C363" i="8"/>
  <c r="C2888" i="8"/>
  <c r="C4257" i="8"/>
  <c r="B2758" i="8"/>
  <c r="C2002" i="8"/>
  <c r="C4344" i="8"/>
  <c r="C3300" i="8"/>
  <c r="B2966" i="8"/>
  <c r="C3387" i="8"/>
  <c r="C4431" i="8"/>
  <c r="B3561" i="8"/>
  <c r="C1192" i="8"/>
  <c r="C235" i="8"/>
  <c r="C491" i="8"/>
  <c r="B298" i="8"/>
  <c r="B3648" i="8"/>
  <c r="B2992" i="8"/>
  <c r="C2758" i="8"/>
  <c r="B3213" i="8"/>
  <c r="B2862" i="8"/>
  <c r="B170" i="8"/>
  <c r="B106" i="8"/>
  <c r="C1552" i="8"/>
  <c r="C1372" i="8"/>
  <c r="C832" i="8"/>
  <c r="B2784" i="8"/>
  <c r="B3996" i="8"/>
  <c r="B3909" i="8"/>
  <c r="B490" i="8"/>
  <c r="C562" i="8"/>
  <c r="C652" i="8"/>
  <c r="C2940" i="8"/>
  <c r="C3561" i="8"/>
  <c r="C1732" i="8"/>
  <c r="B2940" i="8"/>
  <c r="C3213" i="8"/>
  <c r="C3735" i="8"/>
  <c r="B3822" i="8"/>
  <c r="B2914" i="8"/>
  <c r="C2836" i="8"/>
  <c r="C4692" i="8"/>
  <c r="C2966" i="8"/>
  <c r="B234" i="8"/>
  <c r="B4083" i="8"/>
  <c r="C2992" i="8"/>
  <c r="C2272" i="8"/>
  <c r="C4170" i="8"/>
  <c r="C1462" i="8"/>
  <c r="B42" i="8"/>
  <c r="C3996" i="8"/>
  <c r="C427" i="8"/>
  <c r="C4779" i="8"/>
  <c r="B3474" i="8"/>
  <c r="C2914" i="8"/>
  <c r="C1102" i="8"/>
  <c r="B3735" i="8"/>
  <c r="G2783" i="8"/>
  <c r="G1371" i="8"/>
  <c r="G2835" i="8"/>
  <c r="G2913" i="8"/>
  <c r="H4603" i="8" a="1"/>
  <c r="G491" i="8"/>
  <c r="G4256" i="8"/>
  <c r="H4081" i="8" a="1"/>
  <c r="F2992" i="8"/>
  <c r="H169" i="8" a="1"/>
  <c r="G3212" i="8"/>
  <c r="H40" i="8" a="1"/>
  <c r="F4604" i="8"/>
  <c r="G2992" i="8"/>
  <c r="F3560" i="8"/>
  <c r="G3734" i="8"/>
  <c r="H105" i="8" a="1"/>
  <c r="F297" i="8"/>
  <c r="F3734" i="8"/>
  <c r="H4778" i="8" a="1"/>
  <c r="F2835" i="8"/>
  <c r="H361" i="8" a="1"/>
  <c r="G3821" i="8"/>
  <c r="F2887" i="8"/>
  <c r="H2938" i="8" a="1"/>
  <c r="H2964" i="8" a="1"/>
  <c r="G741" i="8"/>
  <c r="H2361" i="8" a="1"/>
  <c r="F3473" i="8"/>
  <c r="H4168" i="8" a="1"/>
  <c r="F361" i="8"/>
  <c r="G1011" i="8"/>
  <c r="G1101" i="8"/>
  <c r="F4256" i="8"/>
  <c r="F3125" i="8"/>
  <c r="H2834" i="8" a="1"/>
  <c r="H3037" i="8" a="1"/>
  <c r="G4604" i="8"/>
  <c r="G2001" i="8"/>
  <c r="H4255" i="8" a="1"/>
  <c r="G41" i="8"/>
  <c r="F3995" i="8"/>
  <c r="F561" i="8"/>
  <c r="F2913" i="8"/>
  <c r="F169" i="8"/>
  <c r="H560" i="8" a="1"/>
  <c r="G3125" i="8"/>
  <c r="G2091" i="8"/>
  <c r="F233" i="8"/>
  <c r="H3559" i="8" a="1"/>
  <c r="F4779" i="8"/>
  <c r="H3733" i="8" a="1"/>
  <c r="H2886" i="8" a="1"/>
  <c r="H625" i="8" a="1"/>
  <c r="H3385" i="8" a="1"/>
  <c r="G298" i="8"/>
  <c r="G4691" i="8"/>
  <c r="F4169" i="8"/>
  <c r="F3821" i="8"/>
  <c r="H2860" i="8" a="1"/>
  <c r="G3386" i="8"/>
  <c r="F41" i="8"/>
  <c r="G2757" i="8"/>
  <c r="H3820" i="8" a="1"/>
  <c r="G2181" i="8"/>
  <c r="G3995" i="8"/>
  <c r="F2731" i="8"/>
  <c r="F490" i="8"/>
  <c r="H489" i="8" a="1"/>
  <c r="H4342" i="8" a="1"/>
  <c r="G831" i="8"/>
  <c r="H297" i="8" a="1"/>
  <c r="G1911" i="8"/>
  <c r="F3647" i="8"/>
  <c r="F2809" i="8"/>
  <c r="H2756" i="8" a="1"/>
  <c r="G1551" i="8"/>
  <c r="G921" i="8"/>
  <c r="G4779" i="8"/>
  <c r="G1191" i="8"/>
  <c r="G1641" i="8"/>
  <c r="H3907" i="8" a="1"/>
  <c r="G2731" i="8"/>
  <c r="H3124" i="8" a="1"/>
  <c r="H3211" i="8" a="1"/>
  <c r="G1461" i="8"/>
  <c r="H2704" i="8" a="1"/>
  <c r="G3299" i="8"/>
  <c r="H233" i="8" a="1"/>
  <c r="G3038" i="8"/>
  <c r="G4082" i="8"/>
  <c r="G234" i="8"/>
  <c r="G4343" i="8"/>
  <c r="G106" i="8"/>
  <c r="G2965" i="8"/>
  <c r="F2861" i="8"/>
  <c r="H3298" i="8" a="1"/>
  <c r="G4430" i="8"/>
  <c r="G2809" i="8"/>
  <c r="F3212" i="8"/>
  <c r="F105" i="8"/>
  <c r="F3038" i="8"/>
  <c r="F3386" i="8"/>
  <c r="H2808" i="8" a="1"/>
  <c r="F425" i="8"/>
  <c r="G651" i="8"/>
  <c r="G170" i="8"/>
  <c r="H3646" i="8" a="1"/>
  <c r="F2783" i="8"/>
  <c r="G4517" i="8"/>
  <c r="G3647" i="8"/>
  <c r="G2271" i="8"/>
  <c r="H3472" i="8" a="1"/>
  <c r="F4343" i="8"/>
  <c r="G3908" i="8"/>
  <c r="G3560" i="8"/>
  <c r="F2757" i="8"/>
  <c r="F4430" i="8"/>
  <c r="H4516" i="8" a="1"/>
  <c r="G2939" i="8"/>
  <c r="F2381" i="8"/>
  <c r="F2965" i="8"/>
  <c r="H4690" i="8" a="1"/>
  <c r="G2861" i="8"/>
  <c r="H2730" i="8" a="1"/>
  <c r="G2362" i="8"/>
  <c r="F3908" i="8"/>
  <c r="G426" i="8"/>
  <c r="H2991" i="8" a="1"/>
  <c r="F4517" i="8"/>
  <c r="H2912" i="8" a="1"/>
  <c r="G4169" i="8"/>
  <c r="G2887" i="8"/>
  <c r="F3299" i="8"/>
  <c r="G561" i="8"/>
  <c r="H4429" i="8" a="1"/>
  <c r="F4691" i="8"/>
  <c r="G362" i="8"/>
  <c r="G1821" i="8"/>
  <c r="G1731" i="8"/>
  <c r="F4082" i="8"/>
  <c r="G1281" i="8"/>
  <c r="F2939" i="8"/>
  <c r="H3994" i="8" a="1"/>
  <c r="F625" i="8"/>
  <c r="G3473" i="8"/>
  <c r="H425" i="8" a="1"/>
  <c r="H2782" i="8" a="1"/>
  <c r="H489" i="8" l="1"/>
  <c r="H4429" i="8"/>
  <c r="H2860" i="8"/>
  <c r="H2938" i="8"/>
  <c r="H2782" i="8"/>
  <c r="H425" i="8"/>
  <c r="H361" i="8"/>
  <c r="H3124" i="8"/>
  <c r="H2756" i="8"/>
  <c r="H2834" i="8"/>
  <c r="H2730" i="8"/>
  <c r="H3733" i="8"/>
  <c r="H3037" i="8"/>
  <c r="H4778" i="8"/>
  <c r="H3907" i="8"/>
  <c r="H4603" i="8"/>
  <c r="H3994" i="8"/>
  <c r="H4690" i="8"/>
  <c r="H3559" i="8"/>
  <c r="H3646" i="8"/>
  <c r="H4168" i="8"/>
  <c r="H233" i="8"/>
  <c r="H40" i="8"/>
  <c r="H2361" i="8"/>
  <c r="H2704" i="8"/>
  <c r="H169" i="8"/>
  <c r="H297" i="8"/>
  <c r="H2912" i="8"/>
  <c r="H3385" i="8"/>
  <c r="H3472" i="8"/>
  <c r="H4255" i="8"/>
  <c r="H3298" i="8"/>
  <c r="H105" i="8"/>
  <c r="H625" i="8"/>
  <c r="H3820" i="8"/>
  <c r="H4516" i="8"/>
  <c r="H560" i="8"/>
  <c r="H2808" i="8"/>
  <c r="H2964" i="8"/>
  <c r="H3211" i="8"/>
  <c r="H4081" i="8"/>
  <c r="H4342" i="8"/>
  <c r="H2991" i="8"/>
  <c r="H2886" i="8"/>
  <c r="C1193" i="8"/>
  <c r="C4258" i="8"/>
  <c r="B2967" i="8"/>
  <c r="C743" i="8"/>
  <c r="C923" i="8"/>
  <c r="C1643" i="8"/>
  <c r="B2889" i="8"/>
  <c r="C2785" i="8"/>
  <c r="B2785" i="8"/>
  <c r="C2915" i="8"/>
  <c r="B2837" i="8"/>
  <c r="B4693" i="8"/>
  <c r="C2183" i="8"/>
  <c r="B2915" i="8"/>
  <c r="C3910" i="8"/>
  <c r="C1103" i="8"/>
  <c r="B3388" i="8"/>
  <c r="B3562" i="8"/>
  <c r="C492" i="8"/>
  <c r="B43" i="8"/>
  <c r="B299" i="8"/>
  <c r="C4780" i="8"/>
  <c r="B2941" i="8"/>
  <c r="C3823" i="8"/>
  <c r="C3649" i="8"/>
  <c r="B3736" i="8"/>
  <c r="C1283" i="8"/>
  <c r="C4519" i="8"/>
  <c r="B2993" i="8"/>
  <c r="C4432" i="8"/>
  <c r="C3562" i="8"/>
  <c r="C2811" i="8"/>
  <c r="B4432" i="8"/>
  <c r="B3127" i="8"/>
  <c r="B3040" i="8"/>
  <c r="C1373" i="8"/>
  <c r="C172" i="8"/>
  <c r="C108" i="8"/>
  <c r="C2889" i="8"/>
  <c r="C4693" i="8"/>
  <c r="B4258" i="8"/>
  <c r="C364" i="8"/>
  <c r="B4606" i="8"/>
  <c r="C2003" i="8"/>
  <c r="C1553" i="8"/>
  <c r="C2363" i="8"/>
  <c r="C2993" i="8"/>
  <c r="C3301" i="8"/>
  <c r="C653" i="8"/>
  <c r="C563" i="8"/>
  <c r="B3997" i="8"/>
  <c r="B2811" i="8"/>
  <c r="C1463" i="8"/>
  <c r="B171" i="8"/>
  <c r="B107" i="8"/>
  <c r="C1013" i="8"/>
  <c r="B3214" i="8"/>
  <c r="B491" i="8"/>
  <c r="C3127" i="8"/>
  <c r="C3040" i="8"/>
  <c r="C236" i="8"/>
  <c r="B4780" i="8"/>
  <c r="B2863" i="8"/>
  <c r="B3475" i="8"/>
  <c r="B4345" i="8"/>
  <c r="C3736" i="8"/>
  <c r="B563" i="8"/>
  <c r="B627" i="8"/>
  <c r="C2837" i="8"/>
  <c r="B3823" i="8"/>
  <c r="C2941" i="8"/>
  <c r="C4084" i="8"/>
  <c r="B4171" i="8"/>
  <c r="C2863" i="8"/>
  <c r="B3910" i="8"/>
  <c r="C1823" i="8"/>
  <c r="C2967" i="8"/>
  <c r="B4084" i="8"/>
  <c r="B235" i="8"/>
  <c r="B3301" i="8"/>
  <c r="B363" i="8"/>
  <c r="C300" i="8"/>
  <c r="B3649" i="8"/>
  <c r="C3475" i="8"/>
  <c r="C3388" i="8"/>
  <c r="C2093" i="8"/>
  <c r="C4345" i="8"/>
  <c r="C428" i="8"/>
  <c r="B4519" i="8"/>
  <c r="C43" i="8"/>
  <c r="C4606" i="8"/>
  <c r="B427" i="8"/>
  <c r="C3997" i="8"/>
  <c r="C1733" i="8"/>
  <c r="C3214" i="8"/>
  <c r="C1913" i="8"/>
  <c r="C4171" i="8"/>
  <c r="B2383" i="8"/>
  <c r="C2273" i="8"/>
  <c r="C833" i="8"/>
  <c r="H3647" i="8" a="1"/>
  <c r="F2888" i="8"/>
  <c r="G742" i="8"/>
  <c r="G1282" i="8"/>
  <c r="H4691" i="8" a="1"/>
  <c r="G4344" i="8"/>
  <c r="G2182" i="8"/>
  <c r="F2914" i="8"/>
  <c r="H561" i="8" a="1"/>
  <c r="G42" i="8"/>
  <c r="H3908" i="8" a="1"/>
  <c r="H3212" i="8" a="1"/>
  <c r="F3909" i="8"/>
  <c r="G2810" i="8"/>
  <c r="F3996" i="8"/>
  <c r="G1102" i="8"/>
  <c r="F170" i="8"/>
  <c r="H234" i="8" a="1"/>
  <c r="G562" i="8"/>
  <c r="H2835" i="8" a="1"/>
  <c r="H3995" i="8" a="1"/>
  <c r="G3126" i="8"/>
  <c r="G4605" i="8"/>
  <c r="H3821" i="8" a="1"/>
  <c r="G4780" i="8"/>
  <c r="F4518" i="8"/>
  <c r="G2363" i="8"/>
  <c r="H4430" i="8" a="1"/>
  <c r="G1462" i="8"/>
  <c r="H426" i="8" a="1"/>
  <c r="F3039" i="8"/>
  <c r="H2809" i="8" a="1"/>
  <c r="H3038" i="8" a="1"/>
  <c r="G2966" i="8"/>
  <c r="G4431" i="8"/>
  <c r="G1642" i="8"/>
  <c r="F3822" i="8"/>
  <c r="G3213" i="8"/>
  <c r="H298" i="8" a="1"/>
  <c r="H2362" i="8" a="1"/>
  <c r="G3039" i="8"/>
  <c r="H362" i="8" a="1"/>
  <c r="H4169" i="8" a="1"/>
  <c r="G107" i="8"/>
  <c r="F4605" i="8"/>
  <c r="F362" i="8"/>
  <c r="F2940" i="8"/>
  <c r="H41" i="8" a="1"/>
  <c r="G1372" i="8"/>
  <c r="F4083" i="8"/>
  <c r="G2002" i="8"/>
  <c r="F2862" i="8"/>
  <c r="F3561" i="8"/>
  <c r="H2992" i="8" a="1"/>
  <c r="F2784" i="8"/>
  <c r="H490" i="8" a="1"/>
  <c r="G652" i="8"/>
  <c r="G3474" i="8"/>
  <c r="G363" i="8"/>
  <c r="F106" i="8"/>
  <c r="H2939" i="8" a="1"/>
  <c r="F298" i="8"/>
  <c r="G4083" i="8"/>
  <c r="H626" i="8" a="1"/>
  <c r="F2836" i="8"/>
  <c r="F4344" i="8"/>
  <c r="G3387" i="8"/>
  <c r="G4257" i="8"/>
  <c r="H4082" i="8" a="1"/>
  <c r="F3735" i="8"/>
  <c r="H4604" i="8" a="1"/>
  <c r="G922" i="8"/>
  <c r="H3560" i="8" a="1"/>
  <c r="G171" i="8"/>
  <c r="G4170" i="8"/>
  <c r="F4692" i="8"/>
  <c r="F4431" i="8"/>
  <c r="H3473" i="8" a="1"/>
  <c r="F3474" i="8"/>
  <c r="F2993" i="8"/>
  <c r="H2783" i="8" a="1"/>
  <c r="G2836" i="8"/>
  <c r="G1912" i="8"/>
  <c r="H4256" i="8" a="1"/>
  <c r="H2887" i="8" a="1"/>
  <c r="G2993" i="8"/>
  <c r="F426" i="8"/>
  <c r="G3996" i="8"/>
  <c r="G1552" i="8"/>
  <c r="G2914" i="8"/>
  <c r="F2382" i="8"/>
  <c r="H4517" i="8" a="1"/>
  <c r="G4692" i="8"/>
  <c r="F3126" i="8"/>
  <c r="G832" i="8"/>
  <c r="G1822" i="8"/>
  <c r="F3387" i="8"/>
  <c r="G4518" i="8"/>
  <c r="H4343" i="8" a="1"/>
  <c r="G1012" i="8"/>
  <c r="G2862" i="8"/>
  <c r="G299" i="8"/>
  <c r="H2913" i="8" a="1"/>
  <c r="F4170" i="8"/>
  <c r="H2965" i="8" a="1"/>
  <c r="F2966" i="8"/>
  <c r="H2861" i="8" a="1"/>
  <c r="H491" i="8" a="1"/>
  <c r="F626" i="8"/>
  <c r="F42" i="8"/>
  <c r="G1192" i="8"/>
  <c r="G2888" i="8"/>
  <c r="G3909" i="8"/>
  <c r="G3561" i="8"/>
  <c r="H2731" i="8" a="1"/>
  <c r="F3648" i="8"/>
  <c r="G235" i="8"/>
  <c r="F3300" i="8"/>
  <c r="H2757" i="8" a="1"/>
  <c r="F3213" i="8"/>
  <c r="G3648" i="8"/>
  <c r="F2758" i="8"/>
  <c r="G2272" i="8"/>
  <c r="H3386" i="8" a="1"/>
  <c r="H3299" i="8" a="1"/>
  <c r="H3125" i="8" a="1"/>
  <c r="H106" i="8" a="1"/>
  <c r="F4780" i="8"/>
  <c r="H3734" i="8" a="1"/>
  <c r="G3300" i="8"/>
  <c r="G2092" i="8"/>
  <c r="F234" i="8"/>
  <c r="F562" i="8"/>
  <c r="G2940" i="8"/>
  <c r="F491" i="8"/>
  <c r="F2810" i="8"/>
  <c r="H170" i="8" a="1"/>
  <c r="H4779" i="8" a="1"/>
  <c r="G2758" i="8"/>
  <c r="G427" i="8"/>
  <c r="G3735" i="8"/>
  <c r="G3822" i="8"/>
  <c r="G1732" i="8"/>
  <c r="G2784" i="8"/>
  <c r="G492" i="8"/>
  <c r="F4257" i="8"/>
  <c r="H491" i="8" l="1"/>
  <c r="H490" i="8"/>
  <c r="H2835" i="8"/>
  <c r="H298" i="8"/>
  <c r="H3299" i="8"/>
  <c r="H2809" i="8"/>
  <c r="H2861" i="8"/>
  <c r="H561" i="8"/>
  <c r="H2362" i="8"/>
  <c r="H2757" i="8"/>
  <c r="H4604" i="8"/>
  <c r="H2783" i="8"/>
  <c r="H4169" i="8"/>
  <c r="H170" i="8"/>
  <c r="H3908" i="8"/>
  <c r="H2992" i="8"/>
  <c r="H234" i="8"/>
  <c r="H106" i="8"/>
  <c r="H3386" i="8"/>
  <c r="H426" i="8"/>
  <c r="H2965" i="8"/>
  <c r="H626" i="8"/>
  <c r="H3125" i="8"/>
  <c r="H4779" i="8"/>
  <c r="H4430" i="8"/>
  <c r="H2913" i="8"/>
  <c r="H4691" i="8"/>
  <c r="H3560" i="8"/>
  <c r="H2731" i="8"/>
  <c r="H4082" i="8"/>
  <c r="H4517" i="8"/>
  <c r="H4256" i="8"/>
  <c r="H3473" i="8"/>
  <c r="H362" i="8"/>
  <c r="H3734" i="8"/>
  <c r="H2939" i="8"/>
  <c r="H3995" i="8"/>
  <c r="H41" i="8"/>
  <c r="H3212" i="8"/>
  <c r="H2887" i="8"/>
  <c r="H3038" i="8"/>
  <c r="H3821" i="8"/>
  <c r="H4343" i="8"/>
  <c r="H3647" i="8"/>
  <c r="C2004" i="8"/>
  <c r="C2890" i="8"/>
  <c r="C1554" i="8"/>
  <c r="B4781" i="8"/>
  <c r="C1734" i="8"/>
  <c r="C4346" i="8"/>
  <c r="C2364" i="8"/>
  <c r="C4259" i="8"/>
  <c r="B492" i="8"/>
  <c r="C44" i="8"/>
  <c r="C493" i="8"/>
  <c r="C2184" i="8"/>
  <c r="C3563" i="8"/>
  <c r="C365" i="8"/>
  <c r="B3389" i="8"/>
  <c r="B4172" i="8"/>
  <c r="C1914" i="8"/>
  <c r="C4172" i="8"/>
  <c r="B3911" i="8"/>
  <c r="B4433" i="8"/>
  <c r="C3215" i="8"/>
  <c r="B3302" i="8"/>
  <c r="B172" i="8"/>
  <c r="B108" i="8"/>
  <c r="C2094" i="8"/>
  <c r="C429" i="8"/>
  <c r="C4781" i="8"/>
  <c r="C173" i="8"/>
  <c r="C109" i="8"/>
  <c r="B4520" i="8"/>
  <c r="C3650" i="8"/>
  <c r="C1374" i="8"/>
  <c r="C3737" i="8"/>
  <c r="B364" i="8"/>
  <c r="C2274" i="8"/>
  <c r="B2864" i="8"/>
  <c r="B2812" i="8"/>
  <c r="B2916" i="8"/>
  <c r="C1284" i="8"/>
  <c r="C1824" i="8"/>
  <c r="C3824" i="8"/>
  <c r="B4085" i="8"/>
  <c r="C3389" i="8"/>
  <c r="C2968" i="8"/>
  <c r="B2890" i="8"/>
  <c r="C301" i="8"/>
  <c r="B236" i="8"/>
  <c r="C237" i="8"/>
  <c r="B3041" i="8"/>
  <c r="B3128" i="8"/>
  <c r="B3476" i="8"/>
  <c r="C3998" i="8"/>
  <c r="C1014" i="8"/>
  <c r="B2994" i="8"/>
  <c r="C3128" i="8"/>
  <c r="C3041" i="8"/>
  <c r="B2968" i="8"/>
  <c r="C1194" i="8"/>
  <c r="B2942" i="8"/>
  <c r="C2942" i="8"/>
  <c r="C2812" i="8"/>
  <c r="C834" i="8"/>
  <c r="C924" i="8"/>
  <c r="C4085" i="8"/>
  <c r="C4433" i="8"/>
  <c r="B628" i="8"/>
  <c r="B564" i="8"/>
  <c r="C1104" i="8"/>
  <c r="B2838" i="8"/>
  <c r="C654" i="8"/>
  <c r="C564" i="8"/>
  <c r="C2838" i="8"/>
  <c r="B2384" i="8"/>
  <c r="C3302" i="8"/>
  <c r="C4694" i="8"/>
  <c r="B4607" i="8"/>
  <c r="C3476" i="8"/>
  <c r="B3737" i="8"/>
  <c r="B428" i="8"/>
  <c r="B300" i="8"/>
  <c r="C2994" i="8"/>
  <c r="B3998" i="8"/>
  <c r="B4259" i="8"/>
  <c r="C2864" i="8"/>
  <c r="B3563" i="8"/>
  <c r="C744" i="8"/>
  <c r="C1644" i="8"/>
  <c r="B4694" i="8"/>
  <c r="B4346" i="8"/>
  <c r="C2916" i="8"/>
  <c r="C1464" i="8"/>
  <c r="B3215" i="8"/>
  <c r="C4520" i="8"/>
  <c r="C4607" i="8"/>
  <c r="B3824" i="8"/>
  <c r="C3911" i="8"/>
  <c r="B44" i="8"/>
  <c r="B3650" i="8"/>
  <c r="F492" i="8"/>
  <c r="G1553" i="8"/>
  <c r="G1463" i="8"/>
  <c r="F3040" i="8"/>
  <c r="H4083" i="8" a="1"/>
  <c r="G2811" i="8"/>
  <c r="G4171" i="8"/>
  <c r="G2941" i="8"/>
  <c r="H2914" i="8" a="1"/>
  <c r="G2967" i="8"/>
  <c r="H2888" i="8" a="1"/>
  <c r="G3301" i="8"/>
  <c r="H363" i="8" a="1"/>
  <c r="G3910" i="8"/>
  <c r="G2863" i="8"/>
  <c r="G1193" i="8"/>
  <c r="G4519" i="8"/>
  <c r="G1823" i="8"/>
  <c r="F43" i="8"/>
  <c r="F427" i="8"/>
  <c r="G3040" i="8"/>
  <c r="H427" i="8" a="1"/>
  <c r="G2889" i="8"/>
  <c r="G300" i="8"/>
  <c r="G172" i="8"/>
  <c r="F3562" i="8"/>
  <c r="G2003" i="8"/>
  <c r="H42" i="8" a="1"/>
  <c r="G428" i="8"/>
  <c r="G3997" i="8"/>
  <c r="H2810" i="8" a="1"/>
  <c r="G3823" i="8"/>
  <c r="F4084" i="8"/>
  <c r="H4605" i="8" a="1"/>
  <c r="G4606" i="8"/>
  <c r="G4781" i="8"/>
  <c r="F3910" i="8"/>
  <c r="G364" i="8"/>
  <c r="F235" i="8"/>
  <c r="G4693" i="8"/>
  <c r="H107" i="8" a="1"/>
  <c r="G3475" i="8"/>
  <c r="F2811" i="8"/>
  <c r="H3909" i="8" a="1"/>
  <c r="F4258" i="8"/>
  <c r="G4084" i="8"/>
  <c r="G4345" i="8"/>
  <c r="G493" i="8"/>
  <c r="G4432" i="8"/>
  <c r="G2273" i="8"/>
  <c r="F2967" i="8"/>
  <c r="H299" i="8" a="1"/>
  <c r="F3649" i="8"/>
  <c r="G43" i="8"/>
  <c r="G236" i="8"/>
  <c r="H171" i="8" a="1"/>
  <c r="F2889" i="8"/>
  <c r="H3822" i="8" a="1"/>
  <c r="F3823" i="8"/>
  <c r="F2383" i="8"/>
  <c r="H2784" i="8" a="1"/>
  <c r="H2836" i="8" a="1"/>
  <c r="F3214" i="8"/>
  <c r="G2785" i="8"/>
  <c r="F3388" i="8"/>
  <c r="G3127" i="8"/>
  <c r="H235" i="8" a="1"/>
  <c r="H3387" i="8" a="1"/>
  <c r="G2837" i="8"/>
  <c r="H4344" i="8" a="1"/>
  <c r="G1103" i="8"/>
  <c r="H2363" i="8" a="1"/>
  <c r="F4432" i="8"/>
  <c r="F363" i="8"/>
  <c r="F4781" i="8"/>
  <c r="H4692" i="8" a="1"/>
  <c r="G108" i="8"/>
  <c r="F3127" i="8"/>
  <c r="G1283" i="8"/>
  <c r="H562" i="8" a="1"/>
  <c r="F3301" i="8"/>
  <c r="G563" i="8"/>
  <c r="H3039" i="8" a="1"/>
  <c r="F3736" i="8"/>
  <c r="F4345" i="8"/>
  <c r="F2915" i="8"/>
  <c r="H3474" i="8" a="1"/>
  <c r="G743" i="8"/>
  <c r="H2940" i="8" a="1"/>
  <c r="F2837" i="8"/>
  <c r="G1373" i="8"/>
  <c r="F107" i="8"/>
  <c r="H2966" i="8" a="1"/>
  <c r="G3649" i="8"/>
  <c r="F4519" i="8"/>
  <c r="H3300" i="8" a="1"/>
  <c r="G1013" i="8"/>
  <c r="H3648" i="8" a="1"/>
  <c r="H4257" i="8" a="1"/>
  <c r="H2862" i="8" a="1"/>
  <c r="G3388" i="8"/>
  <c r="H2993" i="8" a="1"/>
  <c r="G3736" i="8"/>
  <c r="H3213" i="8" a="1"/>
  <c r="F627" i="8"/>
  <c r="H4780" i="8" a="1"/>
  <c r="F2785" i="8"/>
  <c r="H3996" i="8" a="1"/>
  <c r="G2915" i="8"/>
  <c r="H3561" i="8" a="1"/>
  <c r="F299" i="8"/>
  <c r="F4171" i="8"/>
  <c r="G2093" i="8"/>
  <c r="H3126" i="8" a="1"/>
  <c r="G3562" i="8"/>
  <c r="G3214" i="8"/>
  <c r="G1643" i="8"/>
  <c r="F3475" i="8"/>
  <c r="H4170" i="8" a="1"/>
  <c r="F2863" i="8"/>
  <c r="H4518" i="8" a="1"/>
  <c r="F2994" i="8"/>
  <c r="F4693" i="8"/>
  <c r="H627" i="8" a="1"/>
  <c r="G653" i="8"/>
  <c r="G2364" i="8"/>
  <c r="G2994" i="8"/>
  <c r="G1913" i="8"/>
  <c r="F171" i="8"/>
  <c r="H3735" i="8" a="1"/>
  <c r="F563" i="8"/>
  <c r="G4258" i="8"/>
  <c r="F3997" i="8"/>
  <c r="F4606" i="8"/>
  <c r="G923" i="8"/>
  <c r="F2941" i="8"/>
  <c r="H4431" i="8" a="1"/>
  <c r="H2758" i="8" a="1"/>
  <c r="G833" i="8"/>
  <c r="G1733" i="8"/>
  <c r="G2183" i="8"/>
  <c r="H627" i="8" l="1"/>
  <c r="H4780" i="8"/>
  <c r="H4257" i="8"/>
  <c r="H2966" i="8"/>
  <c r="H3126" i="8"/>
  <c r="H4692" i="8"/>
  <c r="H235" i="8"/>
  <c r="H2836" i="8"/>
  <c r="H2758" i="8"/>
  <c r="H2784" i="8"/>
  <c r="H3039" i="8"/>
  <c r="H3909" i="8"/>
  <c r="H2810" i="8"/>
  <c r="H427" i="8"/>
  <c r="H299" i="8"/>
  <c r="H4083" i="8"/>
  <c r="H3735" i="8"/>
  <c r="H4518" i="8"/>
  <c r="H363" i="8"/>
  <c r="H3213" i="8"/>
  <c r="H3387" i="8"/>
  <c r="H4170" i="8"/>
  <c r="H2888" i="8"/>
  <c r="H2993" i="8"/>
  <c r="H3648" i="8"/>
  <c r="H2940" i="8"/>
  <c r="H3561" i="8"/>
  <c r="H2363" i="8"/>
  <c r="H4431" i="8"/>
  <c r="H3822" i="8"/>
  <c r="H562" i="8"/>
  <c r="H107" i="8"/>
  <c r="H42" i="8"/>
  <c r="H2914" i="8"/>
  <c r="H2862" i="8"/>
  <c r="H3300" i="8"/>
  <c r="H3474" i="8"/>
  <c r="H3996" i="8"/>
  <c r="H4344" i="8"/>
  <c r="H4605" i="8"/>
  <c r="H171" i="8"/>
  <c r="B3825" i="8"/>
  <c r="C2865" i="8"/>
  <c r="C745" i="8"/>
  <c r="C1195" i="8"/>
  <c r="C3216" i="8"/>
  <c r="B3564" i="8"/>
  <c r="C2185" i="8"/>
  <c r="C2275" i="8"/>
  <c r="B3738" i="8"/>
  <c r="C3999" i="8"/>
  <c r="C4695" i="8"/>
  <c r="B3303" i="8"/>
  <c r="C2943" i="8"/>
  <c r="B4782" i="8"/>
  <c r="C835" i="8"/>
  <c r="C2891" i="8"/>
  <c r="B4086" i="8"/>
  <c r="B365" i="8"/>
  <c r="B4695" i="8"/>
  <c r="C3390" i="8"/>
  <c r="B2865" i="8"/>
  <c r="C4521" i="8"/>
  <c r="C1015" i="8"/>
  <c r="C2839" i="8"/>
  <c r="B2969" i="8"/>
  <c r="B2995" i="8"/>
  <c r="B3216" i="8"/>
  <c r="C302" i="8"/>
  <c r="C366" i="8"/>
  <c r="C2995" i="8"/>
  <c r="B4173" i="8"/>
  <c r="C1375" i="8"/>
  <c r="B2839" i="8"/>
  <c r="C2365" i="8"/>
  <c r="C3825" i="8"/>
  <c r="C3738" i="8"/>
  <c r="C174" i="8"/>
  <c r="C110" i="8"/>
  <c r="B3390" i="8"/>
  <c r="B4521" i="8"/>
  <c r="C4260" i="8"/>
  <c r="B4260" i="8"/>
  <c r="C430" i="8"/>
  <c r="C45" i="8"/>
  <c r="C4347" i="8"/>
  <c r="C4434" i="8"/>
  <c r="C2917" i="8"/>
  <c r="B629" i="8"/>
  <c r="B565" i="8"/>
  <c r="C925" i="8"/>
  <c r="C2969" i="8"/>
  <c r="C1285" i="8"/>
  <c r="C4086" i="8"/>
  <c r="B2943" i="8"/>
  <c r="C1465" i="8"/>
  <c r="C238" i="8"/>
  <c r="C494" i="8"/>
  <c r="B173" i="8"/>
  <c r="B109" i="8"/>
  <c r="C2005" i="8"/>
  <c r="C1825" i="8"/>
  <c r="B3651" i="8"/>
  <c r="C3564" i="8"/>
  <c r="B45" i="8"/>
  <c r="B3912" i="8"/>
  <c r="C4608" i="8"/>
  <c r="C1555" i="8"/>
  <c r="B4434" i="8"/>
  <c r="C1735" i="8"/>
  <c r="B4347" i="8"/>
  <c r="B493" i="8"/>
  <c r="C4782" i="8"/>
  <c r="B2385" i="8"/>
  <c r="C655" i="8"/>
  <c r="C565" i="8"/>
  <c r="C4173" i="8"/>
  <c r="C3042" i="8"/>
  <c r="C3129" i="8"/>
  <c r="C1105" i="8"/>
  <c r="B3129" i="8"/>
  <c r="B3042" i="8"/>
  <c r="B301" i="8"/>
  <c r="B2917" i="8"/>
  <c r="C3477" i="8"/>
  <c r="C3912" i="8"/>
  <c r="C1915" i="8"/>
  <c r="B2891" i="8"/>
  <c r="B429" i="8"/>
  <c r="B4608" i="8"/>
  <c r="B237" i="8"/>
  <c r="C3303" i="8"/>
  <c r="B3999" i="8"/>
  <c r="B3477" i="8"/>
  <c r="C3651" i="8"/>
  <c r="C1645" i="8"/>
  <c r="C2095" i="8"/>
  <c r="F4085" i="8"/>
  <c r="H236" i="8" a="1"/>
  <c r="F2812" i="8"/>
  <c r="H2837" i="8" a="1"/>
  <c r="G2968" i="8"/>
  <c r="F628" i="8"/>
  <c r="G429" i="8"/>
  <c r="H43" i="8" a="1"/>
  <c r="G834" i="8"/>
  <c r="F3737" i="8"/>
  <c r="F3824" i="8"/>
  <c r="H4258" i="8" a="1"/>
  <c r="F4172" i="8"/>
  <c r="H2863" i="8" a="1"/>
  <c r="G3302" i="8"/>
  <c r="H4432" i="8" a="1"/>
  <c r="G4520" i="8"/>
  <c r="G2916" i="8"/>
  <c r="F3041" i="8"/>
  <c r="H4693" i="8" a="1"/>
  <c r="F108" i="8"/>
  <c r="H3475" i="8" a="1"/>
  <c r="G1284" i="8"/>
  <c r="G3563" i="8"/>
  <c r="H563" i="8" a="1"/>
  <c r="G1914" i="8"/>
  <c r="G2094" i="8"/>
  <c r="G564" i="8"/>
  <c r="H3040" i="8" a="1"/>
  <c r="G4346" i="8"/>
  <c r="H364" i="8" a="1"/>
  <c r="F2968" i="8"/>
  <c r="F300" i="8"/>
  <c r="H2364" i="8" a="1"/>
  <c r="G1554" i="8"/>
  <c r="F2384" i="8"/>
  <c r="H108" i="8" a="1"/>
  <c r="G4259" i="8"/>
  <c r="H3997" i="8" a="1"/>
  <c r="G1734" i="8"/>
  <c r="H4084" i="8" a="1"/>
  <c r="F4433" i="8"/>
  <c r="H300" i="8" a="1"/>
  <c r="G2995" i="8"/>
  <c r="H428" i="8" a="1"/>
  <c r="F44" i="8"/>
  <c r="G4607" i="8"/>
  <c r="G1014" i="8"/>
  <c r="H2994" i="8" a="1"/>
  <c r="G494" i="8"/>
  <c r="H3301" i="8" a="1"/>
  <c r="G3389" i="8"/>
  <c r="F2942" i="8"/>
  <c r="F2864" i="8"/>
  <c r="G924" i="8"/>
  <c r="G3215" i="8"/>
  <c r="G2812" i="8"/>
  <c r="F428" i="8"/>
  <c r="G1104" i="8"/>
  <c r="G2942" i="8"/>
  <c r="F172" i="8"/>
  <c r="H3388" i="8" a="1"/>
  <c r="F4346" i="8"/>
  <c r="F2890" i="8"/>
  <c r="H2967" i="8" a="1"/>
  <c r="G3998" i="8"/>
  <c r="H3736" i="8" a="1"/>
  <c r="F3563" i="8"/>
  <c r="F3650" i="8"/>
  <c r="G4085" i="8"/>
  <c r="H3127" i="8" a="1"/>
  <c r="G1374" i="8"/>
  <c r="H2915" i="8" a="1"/>
  <c r="F3911" i="8"/>
  <c r="F2838" i="8"/>
  <c r="G4694" i="8"/>
  <c r="F4607" i="8"/>
  <c r="F4520" i="8"/>
  <c r="F4782" i="8"/>
  <c r="G1644" i="8"/>
  <c r="G2838" i="8"/>
  <c r="H4345" i="8" a="1"/>
  <c r="G4172" i="8"/>
  <c r="H4171" i="8" a="1"/>
  <c r="F2916" i="8"/>
  <c r="H2941" i="8" a="1"/>
  <c r="G3650" i="8"/>
  <c r="H3214" i="8" a="1"/>
  <c r="F4694" i="8"/>
  <c r="H628" i="8" a="1"/>
  <c r="G4782" i="8"/>
  <c r="F3128" i="8"/>
  <c r="H492" i="8" a="1"/>
  <c r="G301" i="8"/>
  <c r="F3389" i="8"/>
  <c r="F2995" i="8"/>
  <c r="H4606" i="8" a="1"/>
  <c r="G654" i="8"/>
  <c r="F4259" i="8"/>
  <c r="F3998" i="8"/>
  <c r="G3824" i="8"/>
  <c r="G2184" i="8"/>
  <c r="G1464" i="8"/>
  <c r="G237" i="8"/>
  <c r="H4519" i="8" a="1"/>
  <c r="F3302" i="8"/>
  <c r="H4781" i="8" a="1"/>
  <c r="G3737" i="8"/>
  <c r="H2785" i="8" a="1"/>
  <c r="G2365" i="8"/>
  <c r="G2004" i="8"/>
  <c r="F3215" i="8"/>
  <c r="H2889" i="8" a="1"/>
  <c r="G1194" i="8"/>
  <c r="G3128" i="8"/>
  <c r="F493" i="8"/>
  <c r="H3910" i="8" a="1"/>
  <c r="G44" i="8"/>
  <c r="H3823" i="8" a="1"/>
  <c r="G4433" i="8"/>
  <c r="G1824" i="8"/>
  <c r="H172" i="8" a="1"/>
  <c r="G365" i="8"/>
  <c r="H2811" i="8" a="1"/>
  <c r="G173" i="8"/>
  <c r="H3649" i="8" a="1"/>
  <c r="G109" i="8"/>
  <c r="H3562" i="8" a="1"/>
  <c r="G2864" i="8"/>
  <c r="G3041" i="8"/>
  <c r="G3911" i="8"/>
  <c r="F564" i="8"/>
  <c r="F364" i="8"/>
  <c r="G744" i="8"/>
  <c r="G3476" i="8"/>
  <c r="G2274" i="8"/>
  <c r="G2890" i="8"/>
  <c r="F3476" i="8"/>
  <c r="F236" i="8"/>
  <c r="H628" i="8" l="1"/>
  <c r="H2915" i="8"/>
  <c r="H2967" i="8"/>
  <c r="H3475" i="8"/>
  <c r="H3301" i="8"/>
  <c r="H4606" i="8"/>
  <c r="H364" i="8"/>
  <c r="H3823" i="8"/>
  <c r="H2863" i="8"/>
  <c r="H300" i="8"/>
  <c r="H3562" i="8"/>
  <c r="H3214" i="8"/>
  <c r="H2364" i="8"/>
  <c r="H4693" i="8"/>
  <c r="H2994" i="8"/>
  <c r="H3127" i="8"/>
  <c r="H3040" i="8"/>
  <c r="H3910" i="8"/>
  <c r="H4258" i="8"/>
  <c r="H4084" i="8"/>
  <c r="H3649" i="8"/>
  <c r="H2941" i="8"/>
  <c r="H2785" i="8"/>
  <c r="H2837" i="8"/>
  <c r="H3997" i="8"/>
  <c r="H2811" i="8"/>
  <c r="H4171" i="8"/>
  <c r="H4781" i="8"/>
  <c r="H236" i="8"/>
  <c r="H492" i="8"/>
  <c r="H3388" i="8"/>
  <c r="H4432" i="8"/>
  <c r="H428" i="8"/>
  <c r="H3736" i="8"/>
  <c r="H563" i="8"/>
  <c r="H2889" i="8"/>
  <c r="H43" i="8"/>
  <c r="H108" i="8"/>
  <c r="H172" i="8"/>
  <c r="H4345" i="8"/>
  <c r="H4519" i="8"/>
  <c r="B4696" i="8"/>
  <c r="C2186" i="8"/>
  <c r="B3217" i="8"/>
  <c r="C746" i="8"/>
  <c r="B4435" i="8"/>
  <c r="B4522" i="8"/>
  <c r="C4696" i="8"/>
  <c r="B46" i="8"/>
  <c r="B3739" i="8"/>
  <c r="C2096" i="8"/>
  <c r="C1556" i="8"/>
  <c r="C4435" i="8"/>
  <c r="C495" i="8"/>
  <c r="C4348" i="8"/>
  <c r="B3478" i="8"/>
  <c r="C3826" i="8"/>
  <c r="C2866" i="8"/>
  <c r="C2366" i="8"/>
  <c r="B4087" i="8"/>
  <c r="C2006" i="8"/>
  <c r="B366" i="8"/>
  <c r="B4000" i="8"/>
  <c r="C1916" i="8"/>
  <c r="C4174" i="8"/>
  <c r="C2996" i="8"/>
  <c r="B630" i="8"/>
  <c r="B566" i="8"/>
  <c r="C1466" i="8"/>
  <c r="C367" i="8"/>
  <c r="C4609" i="8"/>
  <c r="C3478" i="8"/>
  <c r="B430" i="8"/>
  <c r="C2918" i="8"/>
  <c r="B3391" i="8"/>
  <c r="C4087" i="8"/>
  <c r="B3652" i="8"/>
  <c r="C1286" i="8"/>
  <c r="C2892" i="8"/>
  <c r="C3739" i="8"/>
  <c r="B302" i="8"/>
  <c r="B494" i="8"/>
  <c r="C3565" i="8"/>
  <c r="C1196" i="8"/>
  <c r="C3130" i="8"/>
  <c r="C3043" i="8"/>
  <c r="C1736" i="8"/>
  <c r="B2918" i="8"/>
  <c r="B2386" i="8"/>
  <c r="C1826" i="8"/>
  <c r="C1646" i="8"/>
  <c r="C3652" i="8"/>
  <c r="B174" i="8"/>
  <c r="B110" i="8"/>
  <c r="C1376" i="8"/>
  <c r="C1016" i="8"/>
  <c r="C4522" i="8"/>
  <c r="C46" i="8"/>
  <c r="B4348" i="8"/>
  <c r="B4609" i="8"/>
  <c r="C175" i="8"/>
  <c r="C111" i="8"/>
  <c r="B4261" i="8"/>
  <c r="B3304" i="8"/>
  <c r="B2996" i="8"/>
  <c r="B2892" i="8"/>
  <c r="C836" i="8"/>
  <c r="B3565" i="8"/>
  <c r="C3391" i="8"/>
  <c r="C4000" i="8"/>
  <c r="B2944" i="8"/>
  <c r="B3130" i="8"/>
  <c r="B3043" i="8"/>
  <c r="C3217" i="8"/>
  <c r="C4261" i="8"/>
  <c r="C656" i="8"/>
  <c r="C566" i="8"/>
  <c r="B238" i="8"/>
  <c r="C303" i="8"/>
  <c r="B2970" i="8"/>
  <c r="C2944" i="8"/>
  <c r="C239" i="8"/>
  <c r="C3913" i="8"/>
  <c r="B2866" i="8"/>
  <c r="C431" i="8"/>
  <c r="C1106" i="8"/>
  <c r="B4783" i="8"/>
  <c r="B4174" i="8"/>
  <c r="C926" i="8"/>
  <c r="C2970" i="8"/>
  <c r="C4783" i="8"/>
  <c r="B3826" i="8"/>
  <c r="C2276" i="8"/>
  <c r="C3304" i="8"/>
  <c r="B3913" i="8"/>
  <c r="H2812" i="8" a="1"/>
  <c r="G2969" i="8"/>
  <c r="H4085" i="8" a="1"/>
  <c r="G4434" i="8"/>
  <c r="H237" i="8" a="1"/>
  <c r="G3738" i="8"/>
  <c r="H4433" i="8" a="1"/>
  <c r="G1105" i="8"/>
  <c r="F3042" i="8"/>
  <c r="G1555" i="8"/>
  <c r="G1645" i="8"/>
  <c r="H2365" i="8" a="1"/>
  <c r="F429" i="8"/>
  <c r="F4608" i="8"/>
  <c r="F4173" i="8"/>
  <c r="G1915" i="8"/>
  <c r="G3129" i="8"/>
  <c r="H564" i="8" a="1"/>
  <c r="G3042" i="8"/>
  <c r="F4521" i="8"/>
  <c r="G4521" i="8"/>
  <c r="G3825" i="8"/>
  <c r="H3128" i="8" a="1"/>
  <c r="G3477" i="8"/>
  <c r="H2916" i="8" a="1"/>
  <c r="F3216" i="8"/>
  <c r="H4346" i="8" a="1"/>
  <c r="G1285" i="8"/>
  <c r="G1825" i="8"/>
  <c r="G2839" i="8"/>
  <c r="F3825" i="8"/>
  <c r="H4259" i="8" a="1"/>
  <c r="F2385" i="8"/>
  <c r="G2366" i="8"/>
  <c r="G3303" i="8"/>
  <c r="H3215" i="8" a="1"/>
  <c r="F494" i="8"/>
  <c r="H3824" i="8" a="1"/>
  <c r="G45" i="8"/>
  <c r="G2185" i="8"/>
  <c r="G565" i="8"/>
  <c r="H3650" i="8" a="1"/>
  <c r="F4434" i="8"/>
  <c r="G2917" i="8"/>
  <c r="F3651" i="8"/>
  <c r="G4173" i="8"/>
  <c r="F3303" i="8"/>
  <c r="F4086" i="8"/>
  <c r="G2095" i="8"/>
  <c r="G110" i="8"/>
  <c r="F4695" i="8"/>
  <c r="G925" i="8"/>
  <c r="G3390" i="8"/>
  <c r="F3129" i="8"/>
  <c r="F2969" i="8"/>
  <c r="G4086" i="8"/>
  <c r="F173" i="8"/>
  <c r="H301" i="8" a="1"/>
  <c r="F2891" i="8"/>
  <c r="G495" i="8"/>
  <c r="F2996" i="8"/>
  <c r="H3041" i="8" a="1"/>
  <c r="H3563" i="8" a="1"/>
  <c r="H4607" i="8" a="1"/>
  <c r="H629" i="8" a="1"/>
  <c r="G1195" i="8"/>
  <c r="G4608" i="8"/>
  <c r="F2917" i="8"/>
  <c r="F365" i="8"/>
  <c r="G174" i="8"/>
  <c r="H4172" i="8" a="1"/>
  <c r="F629" i="8"/>
  <c r="G2996" i="8"/>
  <c r="G3912" i="8"/>
  <c r="H4694" i="8" a="1"/>
  <c r="F2839" i="8"/>
  <c r="G2865" i="8"/>
  <c r="G3564" i="8"/>
  <c r="H3302" i="8" a="1"/>
  <c r="F3999" i="8"/>
  <c r="H2995" i="8" a="1"/>
  <c r="G1735" i="8"/>
  <c r="G4783" i="8"/>
  <c r="G2005" i="8"/>
  <c r="H3476" i="8" a="1"/>
  <c r="G430" i="8"/>
  <c r="H2890" i="8" a="1"/>
  <c r="F3477" i="8"/>
  <c r="G1465" i="8"/>
  <c r="G1015" i="8"/>
  <c r="F3564" i="8"/>
  <c r="F3738" i="8"/>
  <c r="G655" i="8"/>
  <c r="F2865" i="8"/>
  <c r="G302" i="8"/>
  <c r="G238" i="8"/>
  <c r="H109" i="8" a="1"/>
  <c r="H3998" i="8" a="1"/>
  <c r="F3390" i="8"/>
  <c r="H2942" i="8" a="1"/>
  <c r="F237" i="8"/>
  <c r="F4783" i="8"/>
  <c r="F45" i="8"/>
  <c r="G835" i="8"/>
  <c r="G2891" i="8"/>
  <c r="G366" i="8"/>
  <c r="G3999" i="8"/>
  <c r="F4347" i="8"/>
  <c r="H493" i="8" a="1"/>
  <c r="H2968" i="8" a="1"/>
  <c r="H173" i="8" a="1"/>
  <c r="G1375" i="8"/>
  <c r="H3737" i="8" a="1"/>
  <c r="F4260" i="8"/>
  <c r="H3911" i="8" a="1"/>
  <c r="G2275" i="8"/>
  <c r="F565" i="8"/>
  <c r="G745" i="8"/>
  <c r="G4260" i="8"/>
  <c r="H2838" i="8" a="1"/>
  <c r="F301" i="8"/>
  <c r="H2864" i="8" a="1"/>
  <c r="F109" i="8"/>
  <c r="H4782" i="8" a="1"/>
  <c r="G4347" i="8"/>
  <c r="H3389" i="8" a="1"/>
  <c r="G3651" i="8"/>
  <c r="G4695" i="8"/>
  <c r="H4520" i="8" a="1"/>
  <c r="F2943" i="8"/>
  <c r="H429" i="8" a="1"/>
  <c r="F3912" i="8"/>
  <c r="H44" i="8" a="1"/>
  <c r="G2943" i="8"/>
  <c r="G3216" i="8"/>
  <c r="H365" i="8" a="1"/>
  <c r="H629" i="8" l="1"/>
  <c r="H4694" i="8"/>
  <c r="H3824" i="8"/>
  <c r="H2968" i="8"/>
  <c r="H44" i="8"/>
  <c r="H3476" i="8"/>
  <c r="H4433" i="8"/>
  <c r="H429" i="8"/>
  <c r="H3389" i="8"/>
  <c r="H4172" i="8"/>
  <c r="H4607" i="8"/>
  <c r="H301" i="8"/>
  <c r="H564" i="8"/>
  <c r="H3215" i="8"/>
  <c r="H2365" i="8"/>
  <c r="H4346" i="8"/>
  <c r="H3911" i="8"/>
  <c r="H237" i="8"/>
  <c r="H2890" i="8"/>
  <c r="H4782" i="8"/>
  <c r="H493" i="8"/>
  <c r="H365" i="8"/>
  <c r="H2916" i="8"/>
  <c r="H3737" i="8"/>
  <c r="H4085" i="8"/>
  <c r="H3650" i="8"/>
  <c r="H2864" i="8"/>
  <c r="H2995" i="8"/>
  <c r="H2942" i="8"/>
  <c r="H3563" i="8"/>
  <c r="H4259" i="8"/>
  <c r="H4520" i="8"/>
  <c r="H3128" i="8"/>
  <c r="H173" i="8"/>
  <c r="H2812" i="8"/>
  <c r="H109" i="8"/>
  <c r="H2838" i="8"/>
  <c r="H3302" i="8"/>
  <c r="H3998" i="8"/>
  <c r="H3041" i="8"/>
  <c r="B4262" i="8"/>
  <c r="C304" i="8"/>
  <c r="B2997" i="8"/>
  <c r="B303" i="8"/>
  <c r="C3479" i="8"/>
  <c r="C2367" i="8"/>
  <c r="C1017" i="8"/>
  <c r="C4001" i="8"/>
  <c r="C4349" i="8"/>
  <c r="B3131" i="8"/>
  <c r="B3044" i="8"/>
  <c r="C927" i="8"/>
  <c r="B4349" i="8"/>
  <c r="B239" i="8"/>
  <c r="B2387" i="8"/>
  <c r="C1827" i="8"/>
  <c r="C1377" i="8"/>
  <c r="C2007" i="8"/>
  <c r="B431" i="8"/>
  <c r="B4175" i="8"/>
  <c r="B3566" i="8"/>
  <c r="C1647" i="8"/>
  <c r="B3827" i="8"/>
  <c r="C4784" i="8"/>
  <c r="B4523" i="8"/>
  <c r="B3305" i="8"/>
  <c r="B4784" i="8"/>
  <c r="C368" i="8"/>
  <c r="C657" i="8"/>
  <c r="C567" i="8"/>
  <c r="C3305" i="8"/>
  <c r="B3218" i="8"/>
  <c r="B3653" i="8"/>
  <c r="B3392" i="8"/>
  <c r="B4697" i="8"/>
  <c r="C47" i="8"/>
  <c r="C1467" i="8"/>
  <c r="C1917" i="8"/>
  <c r="C1287" i="8"/>
  <c r="C3827" i="8"/>
  <c r="C4175" i="8"/>
  <c r="C2945" i="8"/>
  <c r="C3566" i="8"/>
  <c r="C432" i="8"/>
  <c r="B567" i="8"/>
  <c r="B631" i="8"/>
  <c r="C4262" i="8"/>
  <c r="C2097" i="8"/>
  <c r="B4001" i="8"/>
  <c r="C496" i="8"/>
  <c r="C2971" i="8"/>
  <c r="C4088" i="8"/>
  <c r="C2997" i="8"/>
  <c r="C1197" i="8"/>
  <c r="B2893" i="8"/>
  <c r="C747" i="8"/>
  <c r="B2971" i="8"/>
  <c r="B2919" i="8"/>
  <c r="C176" i="8"/>
  <c r="C112" i="8"/>
  <c r="C3740" i="8"/>
  <c r="B2945" i="8"/>
  <c r="C3131" i="8"/>
  <c r="C3044" i="8"/>
  <c r="C3653" i="8"/>
  <c r="C1557" i="8"/>
  <c r="B4088" i="8"/>
  <c r="C3914" i="8"/>
  <c r="C4436" i="8"/>
  <c r="C4523" i="8"/>
  <c r="C2187" i="8"/>
  <c r="B47" i="8"/>
  <c r="B4610" i="8"/>
  <c r="C837" i="8"/>
  <c r="C2277" i="8"/>
  <c r="C3392" i="8"/>
  <c r="B3914" i="8"/>
  <c r="C240" i="8"/>
  <c r="B4436" i="8"/>
  <c r="C4610" i="8"/>
  <c r="C1107" i="8"/>
  <c r="B175" i="8"/>
  <c r="B111" i="8"/>
  <c r="C1737" i="8"/>
  <c r="C3218" i="8"/>
  <c r="B367" i="8"/>
  <c r="C2919" i="8"/>
  <c r="B3740" i="8"/>
  <c r="B3479" i="8"/>
  <c r="B495" i="8"/>
  <c r="C4697" i="8"/>
  <c r="C2893" i="8"/>
  <c r="H2943" i="8" a="1"/>
  <c r="F4609" i="8"/>
  <c r="H2996" i="8" a="1"/>
  <c r="G1826" i="8"/>
  <c r="H366" i="8" a="1"/>
  <c r="F3217" i="8"/>
  <c r="H3390" i="8" a="1"/>
  <c r="G4174" i="8"/>
  <c r="F3826" i="8"/>
  <c r="G1286" i="8"/>
  <c r="H4695" i="8" a="1"/>
  <c r="F3739" i="8"/>
  <c r="G4522" i="8"/>
  <c r="G3391" i="8"/>
  <c r="G4609" i="8"/>
  <c r="G4696" i="8"/>
  <c r="H3129" i="8" a="1"/>
  <c r="G496" i="8"/>
  <c r="F2970" i="8"/>
  <c r="F2892" i="8"/>
  <c r="H3216" i="8" a="1"/>
  <c r="G367" i="8"/>
  <c r="G3913" i="8"/>
  <c r="F2918" i="8"/>
  <c r="H4086" i="8" a="1"/>
  <c r="G1106" i="8"/>
  <c r="G926" i="8"/>
  <c r="G3565" i="8"/>
  <c r="H2865" i="8" a="1"/>
  <c r="G2997" i="8"/>
  <c r="G836" i="8"/>
  <c r="G3043" i="8"/>
  <c r="G746" i="8"/>
  <c r="F366" i="8"/>
  <c r="G3130" i="8"/>
  <c r="F4522" i="8"/>
  <c r="H45" i="8" a="1"/>
  <c r="H3564" i="8" a="1"/>
  <c r="G3478" i="8"/>
  <c r="H3303" i="8" a="1"/>
  <c r="G4000" i="8"/>
  <c r="H3825" i="8" a="1"/>
  <c r="G46" i="8"/>
  <c r="H4521" i="8" a="1"/>
  <c r="G1466" i="8"/>
  <c r="H238" i="8" a="1"/>
  <c r="G1376" i="8"/>
  <c r="H3042" i="8" a="1"/>
  <c r="G2918" i="8"/>
  <c r="H3912" i="8" a="1"/>
  <c r="G566" i="8"/>
  <c r="H110" i="8" a="1"/>
  <c r="F2944" i="8"/>
  <c r="G239" i="8"/>
  <c r="F46" i="8"/>
  <c r="F2386" i="8"/>
  <c r="G4435" i="8"/>
  <c r="H4608" i="8" a="1"/>
  <c r="F110" i="8"/>
  <c r="G1916" i="8"/>
  <c r="G4348" i="8"/>
  <c r="F238" i="8"/>
  <c r="F4174" i="8"/>
  <c r="G2186" i="8"/>
  <c r="G3217" i="8"/>
  <c r="H3477" i="8" a="1"/>
  <c r="G111" i="8"/>
  <c r="F3043" i="8"/>
  <c r="H630" i="8" a="1"/>
  <c r="H2366" i="8" a="1"/>
  <c r="G3652" i="8"/>
  <c r="F174" i="8"/>
  <c r="G1646" i="8"/>
  <c r="H3738" i="8" a="1"/>
  <c r="F566" i="8"/>
  <c r="H4173" i="8" a="1"/>
  <c r="G656" i="8"/>
  <c r="H4347" i="8" a="1"/>
  <c r="G3739" i="8"/>
  <c r="G2276" i="8"/>
  <c r="F495" i="8"/>
  <c r="F4784" i="8"/>
  <c r="H565" i="8" a="1"/>
  <c r="F4435" i="8"/>
  <c r="F3391" i="8"/>
  <c r="G4261" i="8"/>
  <c r="H2917" i="8" a="1"/>
  <c r="G303" i="8"/>
  <c r="F4348" i="8"/>
  <c r="F3565" i="8"/>
  <c r="H3999" i="8" a="1"/>
  <c r="H494" i="8" a="1"/>
  <c r="G1016" i="8"/>
  <c r="G2367" i="8"/>
  <c r="F430" i="8"/>
  <c r="F3478" i="8"/>
  <c r="G175" i="8"/>
  <c r="F2997" i="8"/>
  <c r="G2892" i="8"/>
  <c r="G1556" i="8"/>
  <c r="F3913" i="8"/>
  <c r="H430" i="8" a="1"/>
  <c r="F630" i="8"/>
  <c r="F4261" i="8"/>
  <c r="G3826" i="8"/>
  <c r="H2969" i="8" a="1"/>
  <c r="G2096" i="8"/>
  <c r="G1736" i="8"/>
  <c r="H3651" i="8" a="1"/>
  <c r="G1196" i="8"/>
  <c r="H4260" i="8" a="1"/>
  <c r="G2006" i="8"/>
  <c r="H2891" i="8" a="1"/>
  <c r="F3130" i="8"/>
  <c r="H174" i="8" a="1"/>
  <c r="G2944" i="8"/>
  <c r="H302" i="8" a="1"/>
  <c r="G4087" i="8"/>
  <c r="H4783" i="8" a="1"/>
  <c r="G431" i="8"/>
  <c r="H2839" i="8" a="1"/>
  <c r="F3304" i="8"/>
  <c r="H4434" i="8" a="1"/>
  <c r="G2970" i="8"/>
  <c r="F3652" i="8"/>
  <c r="F4000" i="8"/>
  <c r="F2866" i="8"/>
  <c r="F302" i="8"/>
  <c r="G3304" i="8"/>
  <c r="F4087" i="8"/>
  <c r="F4696" i="8"/>
  <c r="G4784" i="8"/>
  <c r="G2866" i="8"/>
  <c r="H4521" i="8" l="1"/>
  <c r="H4434" i="8"/>
  <c r="H174" i="8"/>
  <c r="H110" i="8"/>
  <c r="H3390" i="8"/>
  <c r="H45" i="8"/>
  <c r="H2917" i="8"/>
  <c r="H4608" i="8"/>
  <c r="H2969" i="8"/>
  <c r="H2366" i="8"/>
  <c r="H2865" i="8"/>
  <c r="H3216" i="8"/>
  <c r="H4347" i="8"/>
  <c r="H3825" i="8"/>
  <c r="H2839" i="8"/>
  <c r="H2891" i="8"/>
  <c r="H3912" i="8"/>
  <c r="H366" i="8"/>
  <c r="H494" i="8"/>
  <c r="H630" i="8"/>
  <c r="H4173" i="8"/>
  <c r="H3303" i="8"/>
  <c r="H4783" i="8"/>
  <c r="H4260" i="8"/>
  <c r="H3042" i="8"/>
  <c r="H2996" i="8"/>
  <c r="H3999" i="8"/>
  <c r="H565" i="8"/>
  <c r="H4695" i="8"/>
  <c r="H430" i="8"/>
  <c r="H3477" i="8"/>
  <c r="H4086" i="8"/>
  <c r="H3129" i="8"/>
  <c r="H3738" i="8"/>
  <c r="H3564" i="8"/>
  <c r="H302" i="8"/>
  <c r="H3651" i="8"/>
  <c r="H238" i="8"/>
  <c r="H2943" i="8"/>
  <c r="C1828" i="8"/>
  <c r="C2920" i="8"/>
  <c r="B3828" i="8"/>
  <c r="B432" i="8"/>
  <c r="C2278" i="8"/>
  <c r="C177" i="8"/>
  <c r="C113" i="8"/>
  <c r="B568" i="8"/>
  <c r="B632" i="8"/>
  <c r="C3654" i="8"/>
  <c r="C4263" i="8"/>
  <c r="C1378" i="8"/>
  <c r="C1558" i="8"/>
  <c r="B4785" i="8"/>
  <c r="B3741" i="8"/>
  <c r="B3393" i="8"/>
  <c r="B3219" i="8"/>
  <c r="B368" i="8"/>
  <c r="C369" i="8"/>
  <c r="B3567" i="8"/>
  <c r="C1198" i="8"/>
  <c r="B4524" i="8"/>
  <c r="B4002" i="8"/>
  <c r="C2368" i="8"/>
  <c r="B4698" i="8"/>
  <c r="C4524" i="8"/>
  <c r="B4176" i="8"/>
  <c r="C1648" i="8"/>
  <c r="C3132" i="8"/>
  <c r="C3045" i="8"/>
  <c r="C241" i="8"/>
  <c r="B2998" i="8"/>
  <c r="B2920" i="8"/>
  <c r="C2998" i="8"/>
  <c r="B4089" i="8"/>
  <c r="C4350" i="8"/>
  <c r="C2972" i="8"/>
  <c r="C2008" i="8"/>
  <c r="C433" i="8"/>
  <c r="C1738" i="8"/>
  <c r="B4263" i="8"/>
  <c r="C2098" i="8"/>
  <c r="C1918" i="8"/>
  <c r="B304" i="8"/>
  <c r="C1018" i="8"/>
  <c r="C1108" i="8"/>
  <c r="C4785" i="8"/>
  <c r="C2946" i="8"/>
  <c r="C3306" i="8"/>
  <c r="B176" i="8"/>
  <c r="B112" i="8"/>
  <c r="C928" i="8"/>
  <c r="B48" i="8"/>
  <c r="C3219" i="8"/>
  <c r="C3828" i="8"/>
  <c r="C1288" i="8"/>
  <c r="C497" i="8"/>
  <c r="C3915" i="8"/>
  <c r="C48" i="8"/>
  <c r="B3480" i="8"/>
  <c r="B3306" i="8"/>
  <c r="C658" i="8"/>
  <c r="C568" i="8"/>
  <c r="C1468" i="8"/>
  <c r="C4437" i="8"/>
  <c r="C3567" i="8"/>
  <c r="B4350" i="8"/>
  <c r="B240" i="8"/>
  <c r="C4698" i="8"/>
  <c r="C305" i="8"/>
  <c r="C3480" i="8"/>
  <c r="C4611" i="8"/>
  <c r="C4002" i="8"/>
  <c r="C3741" i="8"/>
  <c r="B2972" i="8"/>
  <c r="B2946" i="8"/>
  <c r="C838" i="8"/>
  <c r="C4176" i="8"/>
  <c r="C2188" i="8"/>
  <c r="C3393" i="8"/>
  <c r="C748" i="8"/>
  <c r="B4611" i="8"/>
  <c r="B3915" i="8"/>
  <c r="B3654" i="8"/>
  <c r="B496" i="8"/>
  <c r="B2388" i="8"/>
  <c r="B4437" i="8"/>
  <c r="B3045" i="8"/>
  <c r="B3132" i="8"/>
  <c r="C4089" i="8"/>
  <c r="F3305" i="8"/>
  <c r="G4088" i="8"/>
  <c r="G1557" i="8"/>
  <c r="F3827" i="8"/>
  <c r="G176" i="8"/>
  <c r="F4785" i="8"/>
  <c r="F175" i="8"/>
  <c r="G2187" i="8"/>
  <c r="G1377" i="8"/>
  <c r="F4436" i="8"/>
  <c r="G2097" i="8"/>
  <c r="F3131" i="8"/>
  <c r="G657" i="8"/>
  <c r="H2970" i="8" a="1"/>
  <c r="F3479" i="8"/>
  <c r="F2387" i="8"/>
  <c r="G1827" i="8"/>
  <c r="H4174" i="8" a="1"/>
  <c r="G2945" i="8"/>
  <c r="H3652" i="8" a="1"/>
  <c r="G2971" i="8"/>
  <c r="F3044" i="8"/>
  <c r="H303" i="8" a="1"/>
  <c r="G2368" i="8"/>
  <c r="G927" i="8"/>
  <c r="G368" i="8"/>
  <c r="G1647" i="8"/>
  <c r="G3479" i="8"/>
  <c r="G4610" i="8"/>
  <c r="F3218" i="8"/>
  <c r="H2892" i="8" a="1"/>
  <c r="G3044" i="8"/>
  <c r="H2944" i="8" a="1"/>
  <c r="G4785" i="8"/>
  <c r="H3739" i="8" a="1"/>
  <c r="F4175" i="8"/>
  <c r="F4088" i="8"/>
  <c r="H2866" i="8" a="1"/>
  <c r="F303" i="8"/>
  <c r="F4523" i="8"/>
  <c r="F2893" i="8"/>
  <c r="F4349" i="8"/>
  <c r="F4001" i="8"/>
  <c r="H4609" i="8" a="1"/>
  <c r="H566" i="8" a="1"/>
  <c r="G2998" i="8"/>
  <c r="H3130" i="8" a="1"/>
  <c r="F111" i="8"/>
  <c r="H3304" i="8" a="1"/>
  <c r="G497" i="8"/>
  <c r="H2918" i="8" a="1"/>
  <c r="G3131" i="8"/>
  <c r="G432" i="8"/>
  <c r="H4522" i="8" a="1"/>
  <c r="G4262" i="8"/>
  <c r="H367" i="8" a="1"/>
  <c r="G3740" i="8"/>
  <c r="H3565" i="8" a="1"/>
  <c r="G47" i="8"/>
  <c r="H111" i="8" a="1"/>
  <c r="G837" i="8"/>
  <c r="H4087" i="8" a="1"/>
  <c r="H3826" i="8" a="1"/>
  <c r="G1917" i="8"/>
  <c r="H4784" i="8" a="1"/>
  <c r="H631" i="8" a="1"/>
  <c r="H3478" i="8" a="1"/>
  <c r="G567" i="8"/>
  <c r="G3305" i="8"/>
  <c r="H2997" i="8" a="1"/>
  <c r="F2998" i="8"/>
  <c r="H4696" i="8" a="1"/>
  <c r="G3218" i="8"/>
  <c r="H4261" i="8" a="1"/>
  <c r="G4697" i="8"/>
  <c r="H4435" i="8" a="1"/>
  <c r="H239" i="8" a="1"/>
  <c r="F239" i="8"/>
  <c r="H431" i="8" a="1"/>
  <c r="F3392" i="8"/>
  <c r="F367" i="8"/>
  <c r="F4262" i="8"/>
  <c r="G112" i="8"/>
  <c r="G4001" i="8"/>
  <c r="F2971" i="8"/>
  <c r="G1737" i="8"/>
  <c r="G1017" i="8"/>
  <c r="F567" i="8"/>
  <c r="G3392" i="8"/>
  <c r="G4175" i="8"/>
  <c r="G1287" i="8"/>
  <c r="F3740" i="8"/>
  <c r="F47" i="8"/>
  <c r="F3653" i="8"/>
  <c r="G747" i="8"/>
  <c r="G1467" i="8"/>
  <c r="H3217" i="8" a="1"/>
  <c r="H2367" i="8" a="1"/>
  <c r="H4000" i="8" a="1"/>
  <c r="G2007" i="8"/>
  <c r="H175" i="8" a="1"/>
  <c r="G3827" i="8"/>
  <c r="G2893" i="8"/>
  <c r="G4349" i="8"/>
  <c r="H495" i="8" a="1"/>
  <c r="G3566" i="8"/>
  <c r="G240" i="8"/>
  <c r="G2277" i="8"/>
  <c r="F496" i="8"/>
  <c r="G304" i="8"/>
  <c r="F431" i="8"/>
  <c r="F3914" i="8"/>
  <c r="G4523" i="8"/>
  <c r="F3566" i="8"/>
  <c r="F4697" i="8"/>
  <c r="G3653" i="8"/>
  <c r="G4436" i="8"/>
  <c r="F2945" i="8"/>
  <c r="G1107" i="8"/>
  <c r="H3043" i="8" a="1"/>
  <c r="F4610" i="8"/>
  <c r="F2919" i="8"/>
  <c r="G2919" i="8"/>
  <c r="H4348" i="8" a="1"/>
  <c r="H3913" i="8" a="1"/>
  <c r="H46" i="8" a="1"/>
  <c r="G3914" i="8"/>
  <c r="G1197" i="8"/>
  <c r="H3391" i="8" a="1"/>
  <c r="F631" i="8"/>
  <c r="H495" i="8" l="1"/>
  <c r="H2367" i="8"/>
  <c r="H4087" i="8"/>
  <c r="H111" i="8"/>
  <c r="H2918" i="8"/>
  <c r="H4435" i="8"/>
  <c r="H3391" i="8"/>
  <c r="H46" i="8"/>
  <c r="H3652" i="8"/>
  <c r="H4609" i="8"/>
  <c r="H3217" i="8"/>
  <c r="H3043" i="8"/>
  <c r="H3478" i="8"/>
  <c r="H3565" i="8"/>
  <c r="H3304" i="8"/>
  <c r="H4261" i="8"/>
  <c r="H3739" i="8"/>
  <c r="H3913" i="8"/>
  <c r="H4174" i="8"/>
  <c r="H631" i="8"/>
  <c r="H431" i="8"/>
  <c r="H175" i="8"/>
  <c r="H4784" i="8"/>
  <c r="H367" i="8"/>
  <c r="H3130" i="8"/>
  <c r="H4696" i="8"/>
  <c r="H2944" i="8"/>
  <c r="H4348" i="8"/>
  <c r="H239" i="8"/>
  <c r="H4000" i="8"/>
  <c r="H3826" i="8"/>
  <c r="H4522" i="8"/>
  <c r="H566" i="8"/>
  <c r="H2997" i="8"/>
  <c r="H2892" i="8"/>
  <c r="H303" i="8"/>
  <c r="H2970" i="8"/>
  <c r="H2866" i="8"/>
  <c r="C749" i="8"/>
  <c r="C3916" i="8"/>
  <c r="C2973" i="8"/>
  <c r="B3133" i="8"/>
  <c r="B3046" i="8"/>
  <c r="B2389" i="8"/>
  <c r="B3742" i="8"/>
  <c r="B4699" i="8"/>
  <c r="C3481" i="8"/>
  <c r="C4264" i="8"/>
  <c r="B2973" i="8"/>
  <c r="C3829" i="8"/>
  <c r="C4699" i="8"/>
  <c r="C370" i="8"/>
  <c r="B305" i="8"/>
  <c r="C3655" i="8"/>
  <c r="C1559" i="8"/>
  <c r="C49" i="8"/>
  <c r="B241" i="8"/>
  <c r="C1199" i="8"/>
  <c r="B369" i="8"/>
  <c r="C2189" i="8"/>
  <c r="C2099" i="8"/>
  <c r="C4438" i="8"/>
  <c r="C3046" i="8"/>
  <c r="C3133" i="8"/>
  <c r="C1289" i="8"/>
  <c r="B433" i="8"/>
  <c r="B3481" i="8"/>
  <c r="C3742" i="8"/>
  <c r="C2369" i="8"/>
  <c r="B3916" i="8"/>
  <c r="C1919" i="8"/>
  <c r="C4177" i="8"/>
  <c r="C2279" i="8"/>
  <c r="C929" i="8"/>
  <c r="C3568" i="8"/>
  <c r="B3394" i="8"/>
  <c r="C1379" i="8"/>
  <c r="C3307" i="8"/>
  <c r="C1019" i="8"/>
  <c r="C3394" i="8"/>
  <c r="C1109" i="8"/>
  <c r="C2009" i="8"/>
  <c r="B2947" i="8"/>
  <c r="C3220" i="8"/>
  <c r="B4264" i="8"/>
  <c r="B4786" i="8"/>
  <c r="B4090" i="8"/>
  <c r="B3829" i="8"/>
  <c r="C178" i="8"/>
  <c r="C114" i="8"/>
  <c r="B3220" i="8"/>
  <c r="B4525" i="8"/>
  <c r="B4003" i="8"/>
  <c r="C839" i="8"/>
  <c r="B2999" i="8"/>
  <c r="C4090" i="8"/>
  <c r="C4786" i="8"/>
  <c r="B4438" i="8"/>
  <c r="C4525" i="8"/>
  <c r="C659" i="8"/>
  <c r="C569" i="8"/>
  <c r="B49" i="8"/>
  <c r="B4351" i="8"/>
  <c r="C498" i="8"/>
  <c r="C2999" i="8"/>
  <c r="B4177" i="8"/>
  <c r="C306" i="8"/>
  <c r="B3655" i="8"/>
  <c r="C434" i="8"/>
  <c r="B3307" i="8"/>
  <c r="C1649" i="8"/>
  <c r="C4351" i="8"/>
  <c r="C242" i="8"/>
  <c r="B497" i="8"/>
  <c r="C2947" i="8"/>
  <c r="B3568" i="8"/>
  <c r="C4003" i="8"/>
  <c r="B177" i="8"/>
  <c r="B113" i="8"/>
  <c r="C1829" i="8"/>
  <c r="C1739" i="8"/>
  <c r="C4612" i="8"/>
  <c r="B4612" i="8"/>
  <c r="C1469" i="8"/>
  <c r="B633" i="8"/>
  <c r="B569" i="8"/>
  <c r="G2008" i="8"/>
  <c r="H567" i="8" a="1"/>
  <c r="G3654" i="8"/>
  <c r="F3306" i="8"/>
  <c r="F368" i="8"/>
  <c r="F4611" i="8"/>
  <c r="F4437" i="8"/>
  <c r="G177" i="8"/>
  <c r="F2920" i="8"/>
  <c r="H2998" i="8" a="1"/>
  <c r="F2972" i="8"/>
  <c r="H3479" i="8" a="1"/>
  <c r="F3480" i="8"/>
  <c r="G48" i="8"/>
  <c r="G1558" i="8"/>
  <c r="H4697" i="8" a="1"/>
  <c r="G369" i="8"/>
  <c r="G4611" i="8"/>
  <c r="F497" i="8"/>
  <c r="H2945" i="8" a="1"/>
  <c r="H3827" i="8" a="1"/>
  <c r="G2369" i="8"/>
  <c r="G568" i="8"/>
  <c r="H2893" i="8" a="1"/>
  <c r="G3915" i="8"/>
  <c r="F240" i="8"/>
  <c r="H496" i="8" a="1"/>
  <c r="H3392" i="8" a="1"/>
  <c r="H4785" i="8" a="1"/>
  <c r="F4263" i="8"/>
  <c r="H112" i="8" a="1"/>
  <c r="F2388" i="8"/>
  <c r="F4698" i="8"/>
  <c r="F4350" i="8"/>
  <c r="G1288" i="8"/>
  <c r="H4088" i="8" a="1"/>
  <c r="F3915" i="8"/>
  <c r="G4263" i="8"/>
  <c r="F3219" i="8"/>
  <c r="G3567" i="8"/>
  <c r="G2972" i="8"/>
  <c r="H4349" i="8" a="1"/>
  <c r="G2999" i="8"/>
  <c r="G3393" i="8"/>
  <c r="F4089" i="8"/>
  <c r="H47" i="8" a="1"/>
  <c r="H4175" i="8" a="1"/>
  <c r="G1198" i="8"/>
  <c r="F2999" i="8"/>
  <c r="G3828" i="8"/>
  <c r="H4523" i="8" a="1"/>
  <c r="F304" i="8"/>
  <c r="F568" i="8"/>
  <c r="H3044" i="8" a="1"/>
  <c r="H2368" i="8" a="1"/>
  <c r="F632" i="8"/>
  <c r="G2920" i="8"/>
  <c r="F2946" i="8"/>
  <c r="G4089" i="8"/>
  <c r="G113" i="8"/>
  <c r="G305" i="8"/>
  <c r="H2919" i="8" a="1"/>
  <c r="G4786" i="8"/>
  <c r="F3654" i="8"/>
  <c r="G498" i="8"/>
  <c r="H3914" i="8" a="1"/>
  <c r="H176" i="8" a="1"/>
  <c r="G4350" i="8"/>
  <c r="H632" i="8" a="1"/>
  <c r="H3566" i="8" a="1"/>
  <c r="F3567" i="8"/>
  <c r="F176" i="8"/>
  <c r="G1378" i="8"/>
  <c r="H3653" i="8" a="1"/>
  <c r="H240" i="8" a="1"/>
  <c r="G1018" i="8"/>
  <c r="H497" i="8" a="1"/>
  <c r="G2278" i="8"/>
  <c r="H304" i="8" a="1"/>
  <c r="G838" i="8"/>
  <c r="G3132" i="8"/>
  <c r="G1918" i="8"/>
  <c r="G3741" i="8"/>
  <c r="G4002" i="8"/>
  <c r="G433" i="8"/>
  <c r="G1828" i="8"/>
  <c r="H3740" i="8" a="1"/>
  <c r="F4786" i="8"/>
  <c r="F3741" i="8"/>
  <c r="H4262" i="8" a="1"/>
  <c r="G1648" i="8"/>
  <c r="G1468" i="8"/>
  <c r="G1738" i="8"/>
  <c r="H3218" i="8" a="1"/>
  <c r="H4436" i="8" a="1"/>
  <c r="G3480" i="8"/>
  <c r="F4524" i="8"/>
  <c r="F3393" i="8"/>
  <c r="H368" i="8" a="1"/>
  <c r="F3828" i="8"/>
  <c r="G3306" i="8"/>
  <c r="G3219" i="8"/>
  <c r="G4176" i="8"/>
  <c r="G748" i="8"/>
  <c r="H3305" i="8" a="1"/>
  <c r="F4002" i="8"/>
  <c r="G658" i="8"/>
  <c r="G4698" i="8"/>
  <c r="H3131" i="8" a="1"/>
  <c r="H4001" i="8" a="1"/>
  <c r="G1108" i="8"/>
  <c r="G928" i="8"/>
  <c r="H432" i="8" a="1"/>
  <c r="F3132" i="8"/>
  <c r="F3045" i="8"/>
  <c r="G4437" i="8"/>
  <c r="H2971" i="8" a="1"/>
  <c r="H4610" i="8" a="1"/>
  <c r="G2098" i="8"/>
  <c r="F4176" i="8"/>
  <c r="G241" i="8"/>
  <c r="G2188" i="8"/>
  <c r="G4524" i="8"/>
  <c r="G3045" i="8"/>
  <c r="G2946" i="8"/>
  <c r="F112" i="8"/>
  <c r="F48" i="8"/>
  <c r="F432" i="8"/>
  <c r="H497" i="8" l="1"/>
  <c r="H632" i="8"/>
  <c r="H2368" i="8"/>
  <c r="H240" i="8"/>
  <c r="H4436" i="8"/>
  <c r="H4785" i="8"/>
  <c r="H3827" i="8"/>
  <c r="H4175" i="8"/>
  <c r="H176" i="8"/>
  <c r="H4610" i="8"/>
  <c r="H4001" i="8"/>
  <c r="H3044" i="8"/>
  <c r="H3653" i="8"/>
  <c r="H3218" i="8"/>
  <c r="H3392" i="8"/>
  <c r="H2945" i="8"/>
  <c r="H47" i="8"/>
  <c r="H3914" i="8"/>
  <c r="H2971" i="8"/>
  <c r="H3131" i="8"/>
  <c r="H3479" i="8"/>
  <c r="H496" i="8"/>
  <c r="H2998" i="8"/>
  <c r="H4088" i="8"/>
  <c r="H3740" i="8"/>
  <c r="H304" i="8"/>
  <c r="H368" i="8"/>
  <c r="H567" i="8"/>
  <c r="H112" i="8"/>
  <c r="H4523" i="8"/>
  <c r="H3566" i="8"/>
  <c r="H4262" i="8"/>
  <c r="H2893" i="8"/>
  <c r="H4697" i="8"/>
  <c r="H4349" i="8"/>
  <c r="H2919" i="8"/>
  <c r="H432" i="8"/>
  <c r="H3305" i="8"/>
  <c r="B242" i="8"/>
  <c r="B634" i="8"/>
  <c r="B570" i="8"/>
  <c r="C1740" i="8"/>
  <c r="C4613" i="8"/>
  <c r="B4091" i="8"/>
  <c r="B4700" i="8"/>
  <c r="C1830" i="8"/>
  <c r="B178" i="8"/>
  <c r="B114" i="8"/>
  <c r="B3656" i="8"/>
  <c r="C2974" i="8"/>
  <c r="C307" i="8"/>
  <c r="C499" i="8"/>
  <c r="C371" i="8"/>
  <c r="B4439" i="8"/>
  <c r="C570" i="8"/>
  <c r="C660" i="8"/>
  <c r="B4178" i="8"/>
  <c r="B4352" i="8"/>
  <c r="B2974" i="8"/>
  <c r="C1110" i="8"/>
  <c r="C1470" i="8"/>
  <c r="C2010" i="8"/>
  <c r="B3569" i="8"/>
  <c r="B3221" i="8"/>
  <c r="C4004" i="8"/>
  <c r="B4265" i="8"/>
  <c r="C1020" i="8"/>
  <c r="C4526" i="8"/>
  <c r="C1290" i="8"/>
  <c r="C3743" i="8"/>
  <c r="C3917" i="8"/>
  <c r="B4787" i="8"/>
  <c r="C840" i="8"/>
  <c r="C1560" i="8"/>
  <c r="C750" i="8"/>
  <c r="B4526" i="8"/>
  <c r="C4178" i="8"/>
  <c r="C930" i="8"/>
  <c r="B4613" i="8"/>
  <c r="C179" i="8"/>
  <c r="C115" i="8"/>
  <c r="B4004" i="8"/>
  <c r="C3830" i="8"/>
  <c r="C3221" i="8"/>
  <c r="C2280" i="8"/>
  <c r="C50" i="8"/>
  <c r="C435" i="8"/>
  <c r="C4352" i="8"/>
  <c r="B2390" i="8"/>
  <c r="C4700" i="8"/>
  <c r="C4091" i="8"/>
  <c r="C4439" i="8"/>
  <c r="B3395" i="8"/>
  <c r="B3743" i="8"/>
  <c r="B50" i="8"/>
  <c r="B3308" i="8"/>
  <c r="C243" i="8"/>
  <c r="B3917" i="8"/>
  <c r="C3308" i="8"/>
  <c r="C2100" i="8"/>
  <c r="C3482" i="8"/>
  <c r="C3395" i="8"/>
  <c r="B3482" i="8"/>
  <c r="C4265" i="8"/>
  <c r="B498" i="8"/>
  <c r="C2190" i="8"/>
  <c r="B3000" i="8"/>
  <c r="C3000" i="8"/>
  <c r="C1920" i="8"/>
  <c r="C1200" i="8"/>
  <c r="C3656" i="8"/>
  <c r="C2370" i="8"/>
  <c r="C1380" i="8"/>
  <c r="C3134" i="8"/>
  <c r="C3047" i="8"/>
  <c r="B434" i="8"/>
  <c r="B306" i="8"/>
  <c r="C1650" i="8"/>
  <c r="B370" i="8"/>
  <c r="C4787" i="8"/>
  <c r="C3569" i="8"/>
  <c r="B3830" i="8"/>
  <c r="B3134" i="8"/>
  <c r="B3047" i="8"/>
  <c r="H177" i="8" a="1"/>
  <c r="F4525" i="8"/>
  <c r="H2999" i="8" a="1"/>
  <c r="G3307" i="8"/>
  <c r="G1649" i="8"/>
  <c r="H3306" i="8" a="1"/>
  <c r="F2973" i="8"/>
  <c r="G929" i="8"/>
  <c r="H4263" i="8" a="1"/>
  <c r="F3655" i="8"/>
  <c r="H3132" i="8" a="1"/>
  <c r="F4438" i="8"/>
  <c r="G1379" i="8"/>
  <c r="F2947" i="8"/>
  <c r="H2369" i="8" a="1"/>
  <c r="G4264" i="8"/>
  <c r="H48" i="8" a="1"/>
  <c r="G3655" i="8"/>
  <c r="H3915" i="8" a="1"/>
  <c r="F3307" i="8"/>
  <c r="F305" i="8"/>
  <c r="G3220" i="8"/>
  <c r="G659" i="8"/>
  <c r="H3045" i="8" a="1"/>
  <c r="G2009" i="8"/>
  <c r="H4786" i="8" a="1"/>
  <c r="F498" i="8"/>
  <c r="G434" i="8"/>
  <c r="H4002" i="8" a="1"/>
  <c r="G2947" i="8"/>
  <c r="G3829" i="8"/>
  <c r="G4003" i="8"/>
  <c r="F2389" i="8"/>
  <c r="H3393" i="8" a="1"/>
  <c r="G3000" i="8"/>
  <c r="G306" i="8"/>
  <c r="G1109" i="8"/>
  <c r="G499" i="8"/>
  <c r="F4351" i="8"/>
  <c r="H305" i="8" a="1"/>
  <c r="F3916" i="8"/>
  <c r="F177" i="8"/>
  <c r="G4177" i="8"/>
  <c r="F4003" i="8"/>
  <c r="G3046" i="8"/>
  <c r="G1559" i="8"/>
  <c r="G749" i="8"/>
  <c r="H4437" i="8" a="1"/>
  <c r="F3829" i="8"/>
  <c r="H4698" i="8" a="1"/>
  <c r="G2189" i="8"/>
  <c r="F113" i="8"/>
  <c r="G3394" i="8"/>
  <c r="G4090" i="8"/>
  <c r="H3654" i="8" a="1"/>
  <c r="F3220" i="8"/>
  <c r="G242" i="8"/>
  <c r="G2973" i="8"/>
  <c r="G3568" i="8"/>
  <c r="F3046" i="8"/>
  <c r="H633" i="8" a="1"/>
  <c r="H241" i="8" a="1"/>
  <c r="G839" i="8"/>
  <c r="H568" i="8" a="1"/>
  <c r="F4177" i="8"/>
  <c r="G178" i="8"/>
  <c r="H369" i="8" a="1"/>
  <c r="G2370" i="8"/>
  <c r="G569" i="8"/>
  <c r="G2279" i="8"/>
  <c r="F4264" i="8"/>
  <c r="H3480" i="8" a="1"/>
  <c r="H4089" i="8" a="1"/>
  <c r="G3133" i="8"/>
  <c r="F3568" i="8"/>
  <c r="G2099" i="8"/>
  <c r="F4612" i="8"/>
  <c r="G3481" i="8"/>
  <c r="G1199" i="8"/>
  <c r="G1829" i="8"/>
  <c r="G1289" i="8"/>
  <c r="G4525" i="8"/>
  <c r="H4524" i="8" a="1"/>
  <c r="F4787" i="8"/>
  <c r="H433" i="8" a="1"/>
  <c r="F3133" i="8"/>
  <c r="G370" i="8"/>
  <c r="G3916" i="8"/>
  <c r="H3219" i="8" a="1"/>
  <c r="G4351" i="8"/>
  <c r="H2946" i="8" a="1"/>
  <c r="F3000" i="8"/>
  <c r="F369" i="8"/>
  <c r="F4090" i="8"/>
  <c r="H113" i="8" a="1"/>
  <c r="G49" i="8"/>
  <c r="H2972" i="8" a="1"/>
  <c r="G4438" i="8"/>
  <c r="H4611" i="8" a="1"/>
  <c r="F569" i="8"/>
  <c r="G4699" i="8"/>
  <c r="G1019" i="8"/>
  <c r="F241" i="8"/>
  <c r="G1919" i="8"/>
  <c r="H4350" i="8" a="1"/>
  <c r="G3742" i="8"/>
  <c r="G4787" i="8"/>
  <c r="G114" i="8"/>
  <c r="F3481" i="8"/>
  <c r="H3741" i="8" a="1"/>
  <c r="G4612" i="8"/>
  <c r="H4176" i="8" a="1"/>
  <c r="F4699" i="8"/>
  <c r="H3828" i="8" a="1"/>
  <c r="F49" i="8"/>
  <c r="G1469" i="8"/>
  <c r="F433" i="8"/>
  <c r="F3394" i="8"/>
  <c r="G1739" i="8"/>
  <c r="H2920" i="8" a="1"/>
  <c r="F633" i="8"/>
  <c r="H3567" i="8" a="1"/>
  <c r="F3742" i="8"/>
  <c r="H3828" i="8" l="1"/>
  <c r="H3915" i="8"/>
  <c r="H4611" i="8"/>
  <c r="H3306" i="8"/>
  <c r="H3567" i="8"/>
  <c r="H4350" i="8"/>
  <c r="H3480" i="8"/>
  <c r="H4002" i="8"/>
  <c r="H2920" i="8"/>
  <c r="H4786" i="8"/>
  <c r="H4698" i="8"/>
  <c r="H3132" i="8"/>
  <c r="H2946" i="8"/>
  <c r="H4176" i="8"/>
  <c r="H48" i="8"/>
  <c r="H2972" i="8"/>
  <c r="H568" i="8"/>
  <c r="H433" i="8"/>
  <c r="H2999" i="8"/>
  <c r="H3045" i="8"/>
  <c r="H4437" i="8"/>
  <c r="H4263" i="8"/>
  <c r="H3219" i="8"/>
  <c r="H3741" i="8"/>
  <c r="H2369" i="8"/>
  <c r="H113" i="8"/>
  <c r="H241" i="8"/>
  <c r="H4524" i="8"/>
  <c r="H633" i="8"/>
  <c r="H369" i="8"/>
  <c r="H3393" i="8"/>
  <c r="H3654" i="8"/>
  <c r="H4089" i="8"/>
  <c r="H305" i="8"/>
  <c r="H177" i="8"/>
  <c r="B3135" i="8"/>
  <c r="B3048" i="8"/>
  <c r="C3222" i="8"/>
  <c r="B3918" i="8"/>
  <c r="B499" i="8"/>
  <c r="C2371" i="8"/>
  <c r="B4701" i="8"/>
  <c r="C841" i="8"/>
  <c r="C931" i="8"/>
  <c r="C1111" i="8"/>
  <c r="C4092" i="8"/>
  <c r="B3657" i="8"/>
  <c r="B3001" i="8"/>
  <c r="B4266" i="8"/>
  <c r="C3001" i="8"/>
  <c r="C4701" i="8"/>
  <c r="B571" i="8"/>
  <c r="B635" i="8"/>
  <c r="C1471" i="8"/>
  <c r="C3744" i="8"/>
  <c r="C2011" i="8"/>
  <c r="B3570" i="8"/>
  <c r="C3570" i="8"/>
  <c r="C3396" i="8"/>
  <c r="C308" i="8"/>
  <c r="B51" i="8"/>
  <c r="B3483" i="8"/>
  <c r="C4179" i="8"/>
  <c r="B2391" i="8"/>
  <c r="C500" i="8"/>
  <c r="C3918" i="8"/>
  <c r="C180" i="8"/>
  <c r="C116" i="8"/>
  <c r="C1021" i="8"/>
  <c r="C1201" i="8"/>
  <c r="C751" i="8"/>
  <c r="B4527" i="8"/>
  <c r="B179" i="8"/>
  <c r="B115" i="8"/>
  <c r="B3222" i="8"/>
  <c r="C3657" i="8"/>
  <c r="B435" i="8"/>
  <c r="B371" i="8"/>
  <c r="C3135" i="8"/>
  <c r="C3048" i="8"/>
  <c r="B3396" i="8"/>
  <c r="C3309" i="8"/>
  <c r="B4092" i="8"/>
  <c r="C244" i="8"/>
  <c r="B4614" i="8"/>
  <c r="C1651" i="8"/>
  <c r="C3831" i="8"/>
  <c r="C4614" i="8"/>
  <c r="B4353" i="8"/>
  <c r="B3309" i="8"/>
  <c r="C2101" i="8"/>
  <c r="B4440" i="8"/>
  <c r="B243" i="8"/>
  <c r="B4788" i="8"/>
  <c r="B4179" i="8"/>
  <c r="C1831" i="8"/>
  <c r="C1741" i="8"/>
  <c r="C1291" i="8"/>
  <c r="C2281" i="8"/>
  <c r="C4353" i="8"/>
  <c r="C3483" i="8"/>
  <c r="C2191" i="8"/>
  <c r="B4005" i="8"/>
  <c r="B3831" i="8"/>
  <c r="C4527" i="8"/>
  <c r="C4788" i="8"/>
  <c r="C4440" i="8"/>
  <c r="C51" i="8"/>
  <c r="C4266" i="8"/>
  <c r="C4005" i="8"/>
  <c r="C1381" i="8"/>
  <c r="C1561" i="8"/>
  <c r="C661" i="8"/>
  <c r="C571" i="8"/>
  <c r="C436" i="8"/>
  <c r="C372" i="8"/>
  <c r="B3744" i="8"/>
  <c r="C1921" i="8"/>
  <c r="B307" i="8"/>
  <c r="H4438" i="8" a="1"/>
  <c r="F4004" i="8"/>
  <c r="G750" i="8"/>
  <c r="G570" i="8"/>
  <c r="F3395" i="8"/>
  <c r="H3655" i="8" a="1"/>
  <c r="G2010" i="8"/>
  <c r="G4004" i="8"/>
  <c r="H370" i="8" a="1"/>
  <c r="F114" i="8"/>
  <c r="H3000" i="8" a="1"/>
  <c r="F4352" i="8"/>
  <c r="H3133" i="8" a="1"/>
  <c r="G1290" i="8"/>
  <c r="F2390" i="8"/>
  <c r="F3001" i="8"/>
  <c r="H3829" i="8" a="1"/>
  <c r="F3134" i="8"/>
  <c r="F3047" i="8"/>
  <c r="F4700" i="8"/>
  <c r="H3916" i="8" a="1"/>
  <c r="H306" i="8" a="1"/>
  <c r="F178" i="8"/>
  <c r="G4700" i="8"/>
  <c r="H3481" i="8" a="1"/>
  <c r="G930" i="8"/>
  <c r="F242" i="8"/>
  <c r="H4699" i="8" a="1"/>
  <c r="G2190" i="8"/>
  <c r="G3308" i="8"/>
  <c r="G3917" i="8"/>
  <c r="G3047" i="8"/>
  <c r="F2974" i="8"/>
  <c r="H4090" i="8" a="1"/>
  <c r="G500" i="8"/>
  <c r="H2370" i="8" a="1"/>
  <c r="F4788" i="8"/>
  <c r="G1020" i="8"/>
  <c r="F3743" i="8"/>
  <c r="G3001" i="8"/>
  <c r="G3743" i="8"/>
  <c r="H434" i="8" a="1"/>
  <c r="G660" i="8"/>
  <c r="H4525" i="8" a="1"/>
  <c r="G2100" i="8"/>
  <c r="F4178" i="8"/>
  <c r="G50" i="8"/>
  <c r="G3569" i="8"/>
  <c r="F4613" i="8"/>
  <c r="G1830" i="8"/>
  <c r="G435" i="8"/>
  <c r="H4177" i="8" a="1"/>
  <c r="G4526" i="8"/>
  <c r="H4264" i="8" a="1"/>
  <c r="G840" i="8"/>
  <c r="H3394" i="8" a="1"/>
  <c r="G1110" i="8"/>
  <c r="H4612" i="8" a="1"/>
  <c r="F3221" i="8"/>
  <c r="G1650" i="8"/>
  <c r="H2973" i="8" a="1"/>
  <c r="F4526" i="8"/>
  <c r="F3569" i="8"/>
  <c r="G307" i="8"/>
  <c r="G115" i="8"/>
  <c r="H178" i="8" a="1"/>
  <c r="G243" i="8"/>
  <c r="F3917" i="8"/>
  <c r="H49" i="8" a="1"/>
  <c r="F4265" i="8"/>
  <c r="G3656" i="8"/>
  <c r="G1200" i="8"/>
  <c r="F4439" i="8"/>
  <c r="H114" i="8" a="1"/>
  <c r="H4787" i="8" a="1"/>
  <c r="G2974" i="8"/>
  <c r="H4351" i="8" a="1"/>
  <c r="F370" i="8"/>
  <c r="F3830" i="8"/>
  <c r="G1740" i="8"/>
  <c r="F499" i="8"/>
  <c r="F3656" i="8"/>
  <c r="H569" i="8" a="1"/>
  <c r="G371" i="8"/>
  <c r="H3568" i="8" a="1"/>
  <c r="H4003" i="8" a="1"/>
  <c r="F570" i="8"/>
  <c r="H242" i="8" a="1"/>
  <c r="G3221" i="8"/>
  <c r="G2371" i="8"/>
  <c r="G4265" i="8"/>
  <c r="G3395" i="8"/>
  <c r="G3134" i="8"/>
  <c r="G4439" i="8"/>
  <c r="F50" i="8"/>
  <c r="H3220" i="8" a="1"/>
  <c r="G179" i="8"/>
  <c r="H2947" i="8" a="1"/>
  <c r="H634" i="8" a="1"/>
  <c r="G1380" i="8"/>
  <c r="F434" i="8"/>
  <c r="G4178" i="8"/>
  <c r="G4091" i="8"/>
  <c r="H3742" i="8" a="1"/>
  <c r="G1560" i="8"/>
  <c r="H3307" i="8" a="1"/>
  <c r="H3046" i="8" a="1"/>
  <c r="F3308" i="8"/>
  <c r="G2280" i="8"/>
  <c r="G4788" i="8"/>
  <c r="G4613" i="8"/>
  <c r="G1470" i="8"/>
  <c r="G1920" i="8"/>
  <c r="F4091" i="8"/>
  <c r="G3482" i="8"/>
  <c r="G4352" i="8"/>
  <c r="F3482" i="8"/>
  <c r="F634" i="8"/>
  <c r="G3830" i="8"/>
  <c r="H498" i="8" a="1"/>
  <c r="F306" i="8"/>
  <c r="H498" i="8" l="1"/>
  <c r="H634" i="8"/>
  <c r="H3916" i="8"/>
  <c r="H3133" i="8"/>
  <c r="H569" i="8"/>
  <c r="H4264" i="8"/>
  <c r="H3307" i="8"/>
  <c r="H2947" i="8"/>
  <c r="H3655" i="8"/>
  <c r="H3481" i="8"/>
  <c r="H114" i="8"/>
  <c r="H178" i="8"/>
  <c r="H3568" i="8"/>
  <c r="H3000" i="8"/>
  <c r="H4612" i="8"/>
  <c r="H4177" i="8"/>
  <c r="H3742" i="8"/>
  <c r="H3220" i="8"/>
  <c r="H4525" i="8"/>
  <c r="H2370" i="8"/>
  <c r="H242" i="8"/>
  <c r="H4351" i="8"/>
  <c r="H3829" i="8"/>
  <c r="H370" i="8"/>
  <c r="H3394" i="8"/>
  <c r="H4699" i="8"/>
  <c r="H306" i="8"/>
  <c r="H49" i="8"/>
  <c r="H2973" i="8"/>
  <c r="H4438" i="8"/>
  <c r="H3046" i="8"/>
  <c r="H434" i="8"/>
  <c r="H4090" i="8"/>
  <c r="H4003" i="8"/>
  <c r="H4787" i="8"/>
  <c r="B372" i="8"/>
  <c r="C437" i="8"/>
  <c r="C662" i="8"/>
  <c r="C572" i="8"/>
  <c r="C1472" i="8"/>
  <c r="C752" i="8"/>
  <c r="C4354" i="8"/>
  <c r="C4528" i="8"/>
  <c r="C4615" i="8"/>
  <c r="B4093" i="8"/>
  <c r="C3571" i="8"/>
  <c r="C2372" i="8"/>
  <c r="B4267" i="8"/>
  <c r="B308" i="8"/>
  <c r="C2192" i="8"/>
  <c r="B4441" i="8"/>
  <c r="C3919" i="8"/>
  <c r="B4702" i="8"/>
  <c r="B4180" i="8"/>
  <c r="B3484" i="8"/>
  <c r="B244" i="8"/>
  <c r="C842" i="8"/>
  <c r="B3571" i="8"/>
  <c r="B636" i="8"/>
  <c r="B572" i="8"/>
  <c r="C4180" i="8"/>
  <c r="C1022" i="8"/>
  <c r="B4789" i="8"/>
  <c r="C3310" i="8"/>
  <c r="C3397" i="8"/>
  <c r="B436" i="8"/>
  <c r="C3745" i="8"/>
  <c r="C1292" i="8"/>
  <c r="C4006" i="8"/>
  <c r="B2392" i="8"/>
  <c r="C373" i="8"/>
  <c r="C3658" i="8"/>
  <c r="C2102" i="8"/>
  <c r="C1562" i="8"/>
  <c r="B3745" i="8"/>
  <c r="C932" i="8"/>
  <c r="B3832" i="8"/>
  <c r="C501" i="8"/>
  <c r="C2282" i="8"/>
  <c r="C2012" i="8"/>
  <c r="C1652" i="8"/>
  <c r="C4093" i="8"/>
  <c r="C52" i="8"/>
  <c r="B3919" i="8"/>
  <c r="C4441" i="8"/>
  <c r="C1382" i="8"/>
  <c r="C1922" i="8"/>
  <c r="B4528" i="8"/>
  <c r="B3397" i="8"/>
  <c r="C4702" i="8"/>
  <c r="C1742" i="8"/>
  <c r="C309" i="8"/>
  <c r="C3136" i="8"/>
  <c r="C3049" i="8"/>
  <c r="B4615" i="8"/>
  <c r="C181" i="8"/>
  <c r="C117" i="8"/>
  <c r="C4789" i="8"/>
  <c r="B4354" i="8"/>
  <c r="C1202" i="8"/>
  <c r="B4006" i="8"/>
  <c r="B3049" i="8"/>
  <c r="B3136" i="8"/>
  <c r="C1832" i="8"/>
  <c r="C3223" i="8"/>
  <c r="B500" i="8"/>
  <c r="B3310" i="8"/>
  <c r="B180" i="8"/>
  <c r="B116" i="8"/>
  <c r="C1112" i="8"/>
  <c r="C245" i="8"/>
  <c r="C4267" i="8"/>
  <c r="B52" i="8"/>
  <c r="C3484" i="8"/>
  <c r="B3658" i="8"/>
  <c r="C3832" i="8"/>
  <c r="B3223" i="8"/>
  <c r="F4701" i="8"/>
  <c r="H3482" i="8" a="1"/>
  <c r="F3396" i="8"/>
  <c r="H179" i="8" a="1"/>
  <c r="H4091" i="8" a="1"/>
  <c r="H3743" i="8" a="1"/>
  <c r="G3309" i="8"/>
  <c r="H50" i="8" a="1"/>
  <c r="G931" i="8"/>
  <c r="H4700" i="8" a="1"/>
  <c r="G4789" i="8"/>
  <c r="H3569" i="8" a="1"/>
  <c r="G3657" i="8"/>
  <c r="H4613" i="8" a="1"/>
  <c r="G3570" i="8"/>
  <c r="H4788" i="8" a="1"/>
  <c r="G1111" i="8"/>
  <c r="F4789" i="8"/>
  <c r="F3570" i="8"/>
  <c r="G4701" i="8"/>
  <c r="G4092" i="8"/>
  <c r="H371" i="8" a="1"/>
  <c r="F4614" i="8"/>
  <c r="G1291" i="8"/>
  <c r="F4092" i="8"/>
  <c r="F51" i="8"/>
  <c r="G3918" i="8"/>
  <c r="F3744" i="8"/>
  <c r="F3657" i="8"/>
  <c r="H499" i="8" a="1"/>
  <c r="F3222" i="8"/>
  <c r="H3001" i="8" a="1"/>
  <c r="G308" i="8"/>
  <c r="H570" i="8" a="1"/>
  <c r="G2191" i="8"/>
  <c r="H4004" i="8" a="1"/>
  <c r="F3831" i="8"/>
  <c r="H4526" i="8" a="1"/>
  <c r="G2011" i="8"/>
  <c r="H3656" i="8" a="1"/>
  <c r="G1561" i="8"/>
  <c r="G372" i="8"/>
  <c r="H3830" i="8" a="1"/>
  <c r="H115" i="8" a="1"/>
  <c r="G51" i="8"/>
  <c r="H4439" i="8" a="1"/>
  <c r="G4353" i="8"/>
  <c r="G2101" i="8"/>
  <c r="H3047" i="8" a="1"/>
  <c r="G1921" i="8"/>
  <c r="F179" i="8"/>
  <c r="H3917" i="8" a="1"/>
  <c r="G1741" i="8"/>
  <c r="G4005" i="8"/>
  <c r="H3221" i="8" a="1"/>
  <c r="G1651" i="8"/>
  <c r="G571" i="8"/>
  <c r="H635" i="8" a="1"/>
  <c r="G3222" i="8"/>
  <c r="G180" i="8"/>
  <c r="H3308" i="8" a="1"/>
  <c r="F4527" i="8"/>
  <c r="G661" i="8"/>
  <c r="F4266" i="8"/>
  <c r="F371" i="8"/>
  <c r="G1381" i="8"/>
  <c r="H4178" i="8" a="1"/>
  <c r="F635" i="8"/>
  <c r="G4440" i="8"/>
  <c r="F500" i="8"/>
  <c r="G1201" i="8"/>
  <c r="G4266" i="8"/>
  <c r="G4614" i="8"/>
  <c r="G116" i="8"/>
  <c r="H307" i="8" a="1"/>
  <c r="G1831" i="8"/>
  <c r="H2974" i="8" a="1"/>
  <c r="F3309" i="8"/>
  <c r="H2371" i="8" a="1"/>
  <c r="F307" i="8"/>
  <c r="G3135" i="8"/>
  <c r="G2281" i="8"/>
  <c r="G4179" i="8"/>
  <c r="G1471" i="8"/>
  <c r="F3483" i="8"/>
  <c r="G2372" i="8"/>
  <c r="G3396" i="8"/>
  <c r="F243" i="8"/>
  <c r="G3744" i="8"/>
  <c r="G841" i="8"/>
  <c r="F4440" i="8"/>
  <c r="G751" i="8"/>
  <c r="H4352" i="8" a="1"/>
  <c r="F4353" i="8"/>
  <c r="H3395" i="8" a="1"/>
  <c r="G501" i="8"/>
  <c r="G3831" i="8"/>
  <c r="F3048" i="8"/>
  <c r="F4179" i="8"/>
  <c r="H3134" i="8" a="1"/>
  <c r="F3918" i="8"/>
  <c r="F4005" i="8"/>
  <c r="G1021" i="8"/>
  <c r="F2391" i="8"/>
  <c r="G4527" i="8"/>
  <c r="G244" i="8"/>
  <c r="F435" i="8"/>
  <c r="G436" i="8"/>
  <c r="H4265" i="8" a="1"/>
  <c r="F115" i="8"/>
  <c r="G3483" i="8"/>
  <c r="H243" i="8" a="1"/>
  <c r="H435" i="8" a="1"/>
  <c r="F3135" i="8"/>
  <c r="F571" i="8"/>
  <c r="G3048" i="8"/>
  <c r="H499" i="8" l="1"/>
  <c r="H4091" i="8"/>
  <c r="H2371" i="8"/>
  <c r="H3047" i="8"/>
  <c r="H3830" i="8"/>
  <c r="H4004" i="8"/>
  <c r="H435" i="8"/>
  <c r="H4788" i="8"/>
  <c r="H4700" i="8"/>
  <c r="H179" i="8"/>
  <c r="H4265" i="8"/>
  <c r="H3395" i="8"/>
  <c r="H635" i="8"/>
  <c r="H2974" i="8"/>
  <c r="H4439" i="8"/>
  <c r="H3656" i="8"/>
  <c r="H570" i="8"/>
  <c r="H3917" i="8"/>
  <c r="H4613" i="8"/>
  <c r="H50" i="8"/>
  <c r="H3482" i="8"/>
  <c r="H371" i="8"/>
  <c r="H4352" i="8"/>
  <c r="H3134" i="8"/>
  <c r="H4178" i="8"/>
  <c r="H3308" i="8"/>
  <c r="H3221" i="8"/>
  <c r="H307" i="8"/>
  <c r="H115" i="8"/>
  <c r="H4526" i="8"/>
  <c r="H3001" i="8"/>
  <c r="H243" i="8"/>
  <c r="H3569" i="8"/>
  <c r="H3743" i="8"/>
  <c r="C3920" i="8"/>
  <c r="B3398" i="8"/>
  <c r="C3311" i="8"/>
  <c r="C1293" i="8"/>
  <c r="B4703" i="8"/>
  <c r="C1473" i="8"/>
  <c r="C2193" i="8"/>
  <c r="C438" i="8"/>
  <c r="C4094" i="8"/>
  <c r="C3833" i="8"/>
  <c r="C3485" i="8"/>
  <c r="C4268" i="8"/>
  <c r="C2283" i="8"/>
  <c r="C753" i="8"/>
  <c r="B437" i="8"/>
  <c r="B3746" i="8"/>
  <c r="B53" i="8"/>
  <c r="C310" i="8"/>
  <c r="B3137" i="8"/>
  <c r="B3050" i="8"/>
  <c r="C182" i="8"/>
  <c r="C118" i="8"/>
  <c r="C374" i="8"/>
  <c r="C4790" i="8"/>
  <c r="B4616" i="8"/>
  <c r="B4007" i="8"/>
  <c r="C4181" i="8"/>
  <c r="C2103" i="8"/>
  <c r="C3746" i="8"/>
  <c r="C1113" i="8"/>
  <c r="B3659" i="8"/>
  <c r="B309" i="8"/>
  <c r="B4268" i="8"/>
  <c r="C4007" i="8"/>
  <c r="B4355" i="8"/>
  <c r="C3659" i="8"/>
  <c r="C4703" i="8"/>
  <c r="C4442" i="8"/>
  <c r="C1563" i="8"/>
  <c r="B3311" i="8"/>
  <c r="B181" i="8"/>
  <c r="B117" i="8"/>
  <c r="C3572" i="8"/>
  <c r="B245" i="8"/>
  <c r="C1923" i="8"/>
  <c r="B4094" i="8"/>
  <c r="C246" i="8"/>
  <c r="C3050" i="8"/>
  <c r="C3137" i="8"/>
  <c r="C1833" i="8"/>
  <c r="C2013" i="8"/>
  <c r="C53" i="8"/>
  <c r="C1023" i="8"/>
  <c r="C1653" i="8"/>
  <c r="B2393" i="8"/>
  <c r="C1383" i="8"/>
  <c r="B501" i="8"/>
  <c r="C3398" i="8"/>
  <c r="B637" i="8"/>
  <c r="B573" i="8"/>
  <c r="C933" i="8"/>
  <c r="C502" i="8"/>
  <c r="C4355" i="8"/>
  <c r="C1203" i="8"/>
  <c r="B3224" i="8"/>
  <c r="B4442" i="8"/>
  <c r="C3224" i="8"/>
  <c r="B3485" i="8"/>
  <c r="C4529" i="8"/>
  <c r="C1743" i="8"/>
  <c r="C2373" i="8"/>
  <c r="B3920" i="8"/>
  <c r="B3833" i="8"/>
  <c r="B3572" i="8"/>
  <c r="B4790" i="8"/>
  <c r="B4529" i="8"/>
  <c r="B373" i="8"/>
  <c r="B4181" i="8"/>
  <c r="C4616" i="8"/>
  <c r="C843" i="8"/>
  <c r="C663" i="8"/>
  <c r="C573" i="8"/>
  <c r="H180" i="8" a="1"/>
  <c r="G3049" i="8"/>
  <c r="F3832" i="8"/>
  <c r="H3744" i="8" a="1"/>
  <c r="F244" i="8"/>
  <c r="H4092" i="8" a="1"/>
  <c r="G1652" i="8"/>
  <c r="G3310" i="8"/>
  <c r="F116" i="8"/>
  <c r="G932" i="8"/>
  <c r="H3831" i="8" a="1"/>
  <c r="G117" i="8"/>
  <c r="H3483" i="8" a="1"/>
  <c r="G1112" i="8"/>
  <c r="H51" i="8" a="1"/>
  <c r="F3745" i="8"/>
  <c r="F3571" i="8"/>
  <c r="G3223" i="8"/>
  <c r="G3745" i="8"/>
  <c r="G3484" i="8"/>
  <c r="H4789" i="8" a="1"/>
  <c r="G4180" i="8"/>
  <c r="G1922" i="8"/>
  <c r="G373" i="8"/>
  <c r="G572" i="8"/>
  <c r="H3570" i="8" a="1"/>
  <c r="G4441" i="8"/>
  <c r="G245" i="8"/>
  <c r="H3309" i="8" a="1"/>
  <c r="F436" i="8"/>
  <c r="F3049" i="8"/>
  <c r="G4528" i="8"/>
  <c r="H4614" i="8" a="1"/>
  <c r="F501" i="8"/>
  <c r="F4790" i="8"/>
  <c r="H4353" i="8" a="1"/>
  <c r="G3919" i="8"/>
  <c r="G1202" i="8"/>
  <c r="H636" i="8" a="1"/>
  <c r="G4790" i="8"/>
  <c r="H500" i="8" a="1"/>
  <c r="F4093" i="8"/>
  <c r="G3397" i="8"/>
  <c r="F3136" i="8"/>
  <c r="G1562" i="8"/>
  <c r="H4440" i="8" a="1"/>
  <c r="H3657" i="8" a="1"/>
  <c r="F3484" i="8"/>
  <c r="G4615" i="8"/>
  <c r="F4615" i="8"/>
  <c r="G309" i="8"/>
  <c r="G1832" i="8"/>
  <c r="H4527" i="8" a="1"/>
  <c r="F372" i="8"/>
  <c r="F3658" i="8"/>
  <c r="H2372" i="8" a="1"/>
  <c r="F4441" i="8"/>
  <c r="G1292" i="8"/>
  <c r="G2102" i="8"/>
  <c r="F4180" i="8"/>
  <c r="G181" i="8"/>
  <c r="H501" i="8" a="1"/>
  <c r="H3396" i="8" a="1"/>
  <c r="G2282" i="8"/>
  <c r="G4093" i="8"/>
  <c r="G3832" i="8"/>
  <c r="F636" i="8"/>
  <c r="G3658" i="8"/>
  <c r="H3222" i="8" a="1"/>
  <c r="F180" i="8"/>
  <c r="F2392" i="8"/>
  <c r="H3048" i="8" a="1"/>
  <c r="G4702" i="8"/>
  <c r="H4179" i="8" a="1"/>
  <c r="F4354" i="8"/>
  <c r="F4528" i="8"/>
  <c r="G2012" i="8"/>
  <c r="G3571" i="8"/>
  <c r="H4701" i="8" a="1"/>
  <c r="H3918" i="8" a="1"/>
  <c r="G1022" i="8"/>
  <c r="F3223" i="8"/>
  <c r="H4005" i="8" a="1"/>
  <c r="F52" i="8"/>
  <c r="H116" i="8" a="1"/>
  <c r="G437" i="8"/>
  <c r="H244" i="8" a="1"/>
  <c r="G2192" i="8"/>
  <c r="G752" i="8"/>
  <c r="G842" i="8"/>
  <c r="G4006" i="8"/>
  <c r="G52" i="8"/>
  <c r="G1742" i="8"/>
  <c r="H4266" i="8" a="1"/>
  <c r="G4267" i="8"/>
  <c r="F3310" i="8"/>
  <c r="H571" i="8" a="1"/>
  <c r="G4354" i="8"/>
  <c r="G1382" i="8"/>
  <c r="F4702" i="8"/>
  <c r="G2373" i="8"/>
  <c r="F4006" i="8"/>
  <c r="G502" i="8"/>
  <c r="H372" i="8" a="1"/>
  <c r="F3919" i="8"/>
  <c r="H308" i="8" a="1"/>
  <c r="F3397" i="8"/>
  <c r="F4267" i="8"/>
  <c r="H436" i="8" a="1"/>
  <c r="G3136" i="8"/>
  <c r="H3135" i="8" a="1"/>
  <c r="G662" i="8"/>
  <c r="F308" i="8"/>
  <c r="G1472" i="8"/>
  <c r="F572" i="8"/>
  <c r="H3918" i="8" l="1"/>
  <c r="H4440" i="8"/>
  <c r="H3222" i="8"/>
  <c r="H501" i="8"/>
  <c r="H4527" i="8"/>
  <c r="H436" i="8"/>
  <c r="H244" i="8"/>
  <c r="H636" i="8"/>
  <c r="H4092" i="8"/>
  <c r="H308" i="8"/>
  <c r="H4179" i="8"/>
  <c r="H3483" i="8"/>
  <c r="H116" i="8"/>
  <c r="H3309" i="8"/>
  <c r="H3135" i="8"/>
  <c r="H571" i="8"/>
  <c r="H4353" i="8"/>
  <c r="H3744" i="8"/>
  <c r="H372" i="8"/>
  <c r="H3048" i="8"/>
  <c r="H3831" i="8"/>
  <c r="H4005" i="8"/>
  <c r="H4701" i="8"/>
  <c r="H500" i="8"/>
  <c r="H2372" i="8"/>
  <c r="H3657" i="8"/>
  <c r="H51" i="8"/>
  <c r="H3396" i="8"/>
  <c r="H3570" i="8"/>
  <c r="H4789" i="8"/>
  <c r="H4266" i="8"/>
  <c r="H4614" i="8"/>
  <c r="H180" i="8"/>
  <c r="C934" i="8"/>
  <c r="C4617" i="8"/>
  <c r="C3312" i="8"/>
  <c r="C4443" i="8"/>
  <c r="C1744" i="8"/>
  <c r="C3138" i="8"/>
  <c r="C3051" i="8"/>
  <c r="C3834" i="8"/>
  <c r="C844" i="8"/>
  <c r="C1564" i="8"/>
  <c r="C1384" i="8"/>
  <c r="C664" i="8"/>
  <c r="C574" i="8"/>
  <c r="B4008" i="8"/>
  <c r="C3486" i="8"/>
  <c r="C1474" i="8"/>
  <c r="C54" i="8"/>
  <c r="B246" i="8"/>
  <c r="C1654" i="8"/>
  <c r="C4791" i="8"/>
  <c r="B4443" i="8"/>
  <c r="B4356" i="8"/>
  <c r="B3747" i="8"/>
  <c r="C4269" i="8"/>
  <c r="B4704" i="8"/>
  <c r="C439" i="8"/>
  <c r="C375" i="8"/>
  <c r="B3834" i="8"/>
  <c r="C4356" i="8"/>
  <c r="C3921" i="8"/>
  <c r="C503" i="8"/>
  <c r="B3486" i="8"/>
  <c r="B4617" i="8"/>
  <c r="B4182" i="8"/>
  <c r="B182" i="8"/>
  <c r="B118" i="8"/>
  <c r="C247" i="8"/>
  <c r="C4704" i="8"/>
  <c r="B438" i="8"/>
  <c r="C1834" i="8"/>
  <c r="B4530" i="8"/>
  <c r="C1294" i="8"/>
  <c r="C311" i="8"/>
  <c r="C2014" i="8"/>
  <c r="C3660" i="8"/>
  <c r="C1204" i="8"/>
  <c r="C2194" i="8"/>
  <c r="B3138" i="8"/>
  <c r="B3051" i="8"/>
  <c r="C2374" i="8"/>
  <c r="B3660" i="8"/>
  <c r="B3921" i="8"/>
  <c r="C1924" i="8"/>
  <c r="B310" i="8"/>
  <c r="C754" i="8"/>
  <c r="B3573" i="8"/>
  <c r="B638" i="8"/>
  <c r="B574" i="8"/>
  <c r="C3225" i="8"/>
  <c r="B4269" i="8"/>
  <c r="B3312" i="8"/>
  <c r="C1024" i="8"/>
  <c r="B2394" i="8"/>
  <c r="C1114" i="8"/>
  <c r="C2104" i="8"/>
  <c r="B3399" i="8"/>
  <c r="C4530" i="8"/>
  <c r="C3747" i="8"/>
  <c r="C4095" i="8"/>
  <c r="B374" i="8"/>
  <c r="B4095" i="8"/>
  <c r="C183" i="8"/>
  <c r="C119" i="8"/>
  <c r="B3225" i="8"/>
  <c r="B54" i="8"/>
  <c r="B502" i="8"/>
  <c r="C3573" i="8"/>
  <c r="C4182" i="8"/>
  <c r="C2284" i="8"/>
  <c r="B4791" i="8"/>
  <c r="C3399" i="8"/>
  <c r="C4008" i="8"/>
  <c r="H4615" i="8" a="1"/>
  <c r="F53" i="8"/>
  <c r="G3572" i="8"/>
  <c r="H181" i="8" a="1"/>
  <c r="F245" i="8"/>
  <c r="F637" i="8"/>
  <c r="G4181" i="8"/>
  <c r="G1473" i="8"/>
  <c r="F4007" i="8"/>
  <c r="G573" i="8"/>
  <c r="F3224" i="8"/>
  <c r="G4791" i="8"/>
  <c r="G3137" i="8"/>
  <c r="H637" i="8" a="1"/>
  <c r="G374" i="8"/>
  <c r="G1563" i="8"/>
  <c r="F502" i="8"/>
  <c r="G3398" i="8"/>
  <c r="H52" i="8" a="1"/>
  <c r="H4006" i="8" a="1"/>
  <c r="G4442" i="8"/>
  <c r="G246" i="8"/>
  <c r="F4703" i="8"/>
  <c r="G310" i="8"/>
  <c r="H4354" i="8" a="1"/>
  <c r="F3311" i="8"/>
  <c r="F4355" i="8"/>
  <c r="H3223" i="8" a="1"/>
  <c r="F3398" i="8"/>
  <c r="F3833" i="8"/>
  <c r="G3311" i="8"/>
  <c r="G1653" i="8"/>
  <c r="H3745" i="8" a="1"/>
  <c r="F4181" i="8"/>
  <c r="H245" i="8" a="1"/>
  <c r="H3397" i="8" a="1"/>
  <c r="H309" i="8" a="1"/>
  <c r="F3572" i="8"/>
  <c r="F373" i="8"/>
  <c r="F3485" i="8"/>
  <c r="F3659" i="8"/>
  <c r="H437" i="8" a="1"/>
  <c r="G1113" i="8"/>
  <c r="F3137" i="8"/>
  <c r="H3919" i="8" a="1"/>
  <c r="G663" i="8"/>
  <c r="F4442" i="8"/>
  <c r="G1023" i="8"/>
  <c r="F4616" i="8"/>
  <c r="G753" i="8"/>
  <c r="G3224" i="8"/>
  <c r="H3658" i="8" a="1"/>
  <c r="G1743" i="8"/>
  <c r="G1203" i="8"/>
  <c r="H4528" i="8" a="1"/>
  <c r="F4268" i="8"/>
  <c r="G3746" i="8"/>
  <c r="G4007" i="8"/>
  <c r="G4355" i="8"/>
  <c r="G1383" i="8"/>
  <c r="H4267" i="8" a="1"/>
  <c r="F437" i="8"/>
  <c r="G2103" i="8"/>
  <c r="H572" i="8" a="1"/>
  <c r="G438" i="8"/>
  <c r="H3832" i="8" a="1"/>
  <c r="F309" i="8"/>
  <c r="H4180" i="8" a="1"/>
  <c r="H4790" i="8" a="1"/>
  <c r="H3310" i="8" a="1"/>
  <c r="G2374" i="8"/>
  <c r="H117" i="8" a="1"/>
  <c r="F4529" i="8"/>
  <c r="G2193" i="8"/>
  <c r="G4703" i="8"/>
  <c r="H3049" i="8" a="1"/>
  <c r="G2013" i="8"/>
  <c r="G4529" i="8"/>
  <c r="G1293" i="8"/>
  <c r="H3484" i="8" a="1"/>
  <c r="F4094" i="8"/>
  <c r="G182" i="8"/>
  <c r="F4791" i="8"/>
  <c r="G4268" i="8"/>
  <c r="G3659" i="8"/>
  <c r="F3920" i="8"/>
  <c r="H4702" i="8" a="1"/>
  <c r="G933" i="8"/>
  <c r="H3571" i="8" a="1"/>
  <c r="G1923" i="8"/>
  <c r="G3050" i="8"/>
  <c r="G1833" i="8"/>
  <c r="G3833" i="8"/>
  <c r="F181" i="8"/>
  <c r="H4093" i="8" a="1"/>
  <c r="F2393" i="8"/>
  <c r="H4441" i="8" a="1"/>
  <c r="G2283" i="8"/>
  <c r="H2373" i="8" a="1"/>
  <c r="F3746" i="8"/>
  <c r="G503" i="8"/>
  <c r="G4094" i="8"/>
  <c r="G53" i="8"/>
  <c r="H373" i="8" a="1"/>
  <c r="F117" i="8"/>
  <c r="G3920" i="8"/>
  <c r="G843" i="8"/>
  <c r="G118" i="8"/>
  <c r="G4616" i="8"/>
  <c r="F573" i="8"/>
  <c r="H3136" i="8" a="1"/>
  <c r="F3050" i="8"/>
  <c r="G3485" i="8"/>
  <c r="H637" i="8" l="1"/>
  <c r="H3136" i="8"/>
  <c r="H4180" i="8"/>
  <c r="H3832" i="8"/>
  <c r="H3397" i="8"/>
  <c r="H4354" i="8"/>
  <c r="H52" i="8"/>
  <c r="H437" i="8"/>
  <c r="H4528" i="8"/>
  <c r="H373" i="8"/>
  <c r="H4441" i="8"/>
  <c r="H3571" i="8"/>
  <c r="H245" i="8"/>
  <c r="H3223" i="8"/>
  <c r="H117" i="8"/>
  <c r="H572" i="8"/>
  <c r="H181" i="8"/>
  <c r="H3049" i="8"/>
  <c r="H4093" i="8"/>
  <c r="H4702" i="8"/>
  <c r="H3745" i="8"/>
  <c r="H3658" i="8"/>
  <c r="H3310" i="8"/>
  <c r="H4790" i="8"/>
  <c r="H4267" i="8"/>
  <c r="H4615" i="8"/>
  <c r="H4006" i="8"/>
  <c r="H3919" i="8"/>
  <c r="H309" i="8"/>
  <c r="H3484" i="8"/>
  <c r="H2373" i="8"/>
  <c r="C4270" i="8"/>
  <c r="C2375" i="8"/>
  <c r="B4183" i="8"/>
  <c r="C4183" i="8"/>
  <c r="C2195" i="8"/>
  <c r="B2395" i="8"/>
  <c r="C1115" i="8"/>
  <c r="B4357" i="8"/>
  <c r="B575" i="8"/>
  <c r="B639" i="8"/>
  <c r="C3748" i="8"/>
  <c r="B4618" i="8"/>
  <c r="C3487" i="8"/>
  <c r="C3661" i="8"/>
  <c r="B55" i="8"/>
  <c r="C184" i="8"/>
  <c r="C120" i="8"/>
  <c r="C1205" i="8"/>
  <c r="B3400" i="8"/>
  <c r="C3313" i="8"/>
  <c r="C845" i="8"/>
  <c r="C2015" i="8"/>
  <c r="B3748" i="8"/>
  <c r="B3139" i="8"/>
  <c r="B3052" i="8"/>
  <c r="C2105" i="8"/>
  <c r="C1385" i="8"/>
  <c r="C1925" i="8"/>
  <c r="B4270" i="8"/>
  <c r="B3574" i="8"/>
  <c r="B3922" i="8"/>
  <c r="C504" i="8"/>
  <c r="C4357" i="8"/>
  <c r="B4444" i="8"/>
  <c r="B311" i="8"/>
  <c r="B4096" i="8"/>
  <c r="C1835" i="8"/>
  <c r="C3400" i="8"/>
  <c r="C248" i="8"/>
  <c r="B439" i="8"/>
  <c r="C3835" i="8"/>
  <c r="B3226" i="8"/>
  <c r="C1295" i="8"/>
  <c r="C4792" i="8"/>
  <c r="B183" i="8"/>
  <c r="B119" i="8"/>
  <c r="C1745" i="8"/>
  <c r="C1475" i="8"/>
  <c r="C935" i="8"/>
  <c r="C3139" i="8"/>
  <c r="C3052" i="8"/>
  <c r="C4096" i="8"/>
  <c r="B3313" i="8"/>
  <c r="C4618" i="8"/>
  <c r="B3661" i="8"/>
  <c r="B375" i="8"/>
  <c r="B4009" i="8"/>
  <c r="B247" i="8"/>
  <c r="B4705" i="8"/>
  <c r="C4444" i="8"/>
  <c r="C440" i="8"/>
  <c r="B4792" i="8"/>
  <c r="B3835" i="8"/>
  <c r="B4531" i="8"/>
  <c r="C55" i="8"/>
  <c r="C3574" i="8"/>
  <c r="C665" i="8"/>
  <c r="C575" i="8"/>
  <c r="C3226" i="8"/>
  <c r="C4531" i="8"/>
  <c r="C4705" i="8"/>
  <c r="B3487" i="8"/>
  <c r="C2285" i="8"/>
  <c r="C376" i="8"/>
  <c r="B503" i="8"/>
  <c r="C312" i="8"/>
  <c r="C4009" i="8"/>
  <c r="C1565" i="8"/>
  <c r="C755" i="8"/>
  <c r="C1655" i="8"/>
  <c r="C3922" i="8"/>
  <c r="C1025" i="8"/>
  <c r="H638" i="8" a="1"/>
  <c r="G3399" i="8"/>
  <c r="F310" i="8"/>
  <c r="G1024" i="8"/>
  <c r="H3485" i="8" a="1"/>
  <c r="F4008" i="8"/>
  <c r="G375" i="8"/>
  <c r="F4269" i="8"/>
  <c r="H4181" i="8" a="1"/>
  <c r="G1204" i="8"/>
  <c r="H4703" i="8" a="1"/>
  <c r="G2194" i="8"/>
  <c r="G2014" i="8"/>
  <c r="H118" i="8" a="1"/>
  <c r="G1294" i="8"/>
  <c r="G1114" i="8"/>
  <c r="G4356" i="8"/>
  <c r="F3660" i="8"/>
  <c r="H3833" i="8" a="1"/>
  <c r="F374" i="8"/>
  <c r="G1564" i="8"/>
  <c r="H3311" i="8" a="1"/>
  <c r="F3921" i="8"/>
  <c r="F4095" i="8"/>
  <c r="H3050" i="8" a="1"/>
  <c r="F4792" i="8"/>
  <c r="G754" i="8"/>
  <c r="F4443" i="8"/>
  <c r="G504" i="8"/>
  <c r="H3398" i="8" a="1"/>
  <c r="G4704" i="8"/>
  <c r="H3920" i="8" a="1"/>
  <c r="G1924" i="8"/>
  <c r="F54" i="8"/>
  <c r="F182" i="8"/>
  <c r="F574" i="8"/>
  <c r="H3659" i="8" a="1"/>
  <c r="G1654" i="8"/>
  <c r="H573" i="8" a="1"/>
  <c r="G311" i="8"/>
  <c r="F4182" i="8"/>
  <c r="F503" i="8"/>
  <c r="G4792" i="8"/>
  <c r="H2374" i="8" a="1"/>
  <c r="G3051" i="8"/>
  <c r="G4095" i="8"/>
  <c r="H4355" i="8" a="1"/>
  <c r="G183" i="8"/>
  <c r="H246" i="8" a="1"/>
  <c r="G3138" i="8"/>
  <c r="G3573" i="8"/>
  <c r="G54" i="8"/>
  <c r="G934" i="8"/>
  <c r="G247" i="8"/>
  <c r="H374" i="8" a="1"/>
  <c r="G3834" i="8"/>
  <c r="G4269" i="8"/>
  <c r="H4616" i="8" a="1"/>
  <c r="G1384" i="8"/>
  <c r="H3746" i="8" a="1"/>
  <c r="F4617" i="8"/>
  <c r="H4268" i="8" a="1"/>
  <c r="G574" i="8"/>
  <c r="F3051" i="8"/>
  <c r="G3486" i="8"/>
  <c r="F4356" i="8"/>
  <c r="H4094" i="8" a="1"/>
  <c r="G3921" i="8"/>
  <c r="G2375" i="8"/>
  <c r="H310" i="8" a="1"/>
  <c r="G1744" i="8"/>
  <c r="H4529" i="8" a="1"/>
  <c r="F3573" i="8"/>
  <c r="F4530" i="8"/>
  <c r="F3747" i="8"/>
  <c r="F3312" i="8"/>
  <c r="G3660" i="8"/>
  <c r="G4530" i="8"/>
  <c r="G664" i="8"/>
  <c r="F2394" i="8"/>
  <c r="H3572" i="8" a="1"/>
  <c r="G3747" i="8"/>
  <c r="H4442" i="8" a="1"/>
  <c r="G4617" i="8"/>
  <c r="F638" i="8"/>
  <c r="G1474" i="8"/>
  <c r="H3224" i="8" a="1"/>
  <c r="H3137" i="8" a="1"/>
  <c r="F246" i="8"/>
  <c r="H53" i="8" a="1"/>
  <c r="F3225" i="8"/>
  <c r="G2284" i="8"/>
  <c r="H502" i="8" a="1"/>
  <c r="G119" i="8"/>
  <c r="G2104" i="8"/>
  <c r="G4008" i="8"/>
  <c r="G4182" i="8"/>
  <c r="F438" i="8"/>
  <c r="F3486" i="8"/>
  <c r="H4791" i="8" a="1"/>
  <c r="G844" i="8"/>
  <c r="G3225" i="8"/>
  <c r="F4704" i="8"/>
  <c r="G1834" i="8"/>
  <c r="H438" i="8" a="1"/>
  <c r="F3138" i="8"/>
  <c r="F3399" i="8"/>
  <c r="H4007" i="8" a="1"/>
  <c r="F3834" i="8"/>
  <c r="F118" i="8"/>
  <c r="H182" i="8" a="1"/>
  <c r="G3312" i="8"/>
  <c r="G439" i="8"/>
  <c r="G4443" i="8"/>
  <c r="H502" i="8" l="1"/>
  <c r="H3746" i="8"/>
  <c r="H182" i="8"/>
  <c r="H2374" i="8"/>
  <c r="H4094" i="8"/>
  <c r="H3398" i="8"/>
  <c r="H438" i="8"/>
  <c r="H3833" i="8"/>
  <c r="H3659" i="8"/>
  <c r="H3485" i="8"/>
  <c r="H4703" i="8"/>
  <c r="H4442" i="8"/>
  <c r="H246" i="8"/>
  <c r="H4529" i="8"/>
  <c r="H53" i="8"/>
  <c r="H4616" i="8"/>
  <c r="H3311" i="8"/>
  <c r="H4181" i="8"/>
  <c r="H3572" i="8"/>
  <c r="H4355" i="8"/>
  <c r="H310" i="8"/>
  <c r="H3137" i="8"/>
  <c r="H638" i="8"/>
  <c r="H3224" i="8"/>
  <c r="H374" i="8"/>
  <c r="H4007" i="8"/>
  <c r="H573" i="8"/>
  <c r="H4268" i="8"/>
  <c r="H3050" i="8"/>
  <c r="H4791" i="8"/>
  <c r="H118" i="8"/>
  <c r="H3920" i="8"/>
  <c r="C4010" i="8"/>
  <c r="C1116" i="8"/>
  <c r="B4619" i="8"/>
  <c r="C1746" i="8"/>
  <c r="C1656" i="8"/>
  <c r="C377" i="8"/>
  <c r="C441" i="8"/>
  <c r="C4619" i="8"/>
  <c r="C666" i="8"/>
  <c r="C576" i="8"/>
  <c r="B3749" i="8"/>
  <c r="B3401" i="8"/>
  <c r="C1026" i="8"/>
  <c r="B4532" i="8"/>
  <c r="C2016" i="8"/>
  <c r="B3227" i="8"/>
  <c r="C2106" i="8"/>
  <c r="B3488" i="8"/>
  <c r="C185" i="8"/>
  <c r="C121" i="8"/>
  <c r="B4445" i="8"/>
  <c r="B2396" i="8"/>
  <c r="C4271" i="8"/>
  <c r="C4097" i="8"/>
  <c r="C756" i="8"/>
  <c r="C56" i="8"/>
  <c r="B3923" i="8"/>
  <c r="C505" i="8"/>
  <c r="B4793" i="8"/>
  <c r="B4097" i="8"/>
  <c r="C3140" i="8"/>
  <c r="C3053" i="8"/>
  <c r="B3314" i="8"/>
  <c r="B504" i="8"/>
  <c r="C3488" i="8"/>
  <c r="B4184" i="8"/>
  <c r="B3662" i="8"/>
  <c r="C2196" i="8"/>
  <c r="C936" i="8"/>
  <c r="C3401" i="8"/>
  <c r="C1296" i="8"/>
  <c r="C249" i="8"/>
  <c r="C3749" i="8"/>
  <c r="B4706" i="8"/>
  <c r="C2286" i="8"/>
  <c r="C846" i="8"/>
  <c r="C2376" i="8"/>
  <c r="C4793" i="8"/>
  <c r="C3314" i="8"/>
  <c r="C3227" i="8"/>
  <c r="C1566" i="8"/>
  <c r="B184" i="8"/>
  <c r="B120" i="8"/>
  <c r="C1476" i="8"/>
  <c r="B3836" i="8"/>
  <c r="B576" i="8"/>
  <c r="B640" i="8"/>
  <c r="C1206" i="8"/>
  <c r="B4271" i="8"/>
  <c r="C4358" i="8"/>
  <c r="B3575" i="8"/>
  <c r="C3662" i="8"/>
  <c r="C4532" i="8"/>
  <c r="B312" i="8"/>
  <c r="B440" i="8"/>
  <c r="C4706" i="8"/>
  <c r="C4184" i="8"/>
  <c r="C1836" i="8"/>
  <c r="B248" i="8"/>
  <c r="C1386" i="8"/>
  <c r="C3923" i="8"/>
  <c r="C313" i="8"/>
  <c r="C1926" i="8"/>
  <c r="B376" i="8"/>
  <c r="C4445" i="8"/>
  <c r="B4010" i="8"/>
  <c r="B4358" i="8"/>
  <c r="B3053" i="8"/>
  <c r="B3140" i="8"/>
  <c r="B56" i="8"/>
  <c r="C3575" i="8"/>
  <c r="C3836" i="8"/>
  <c r="G575" i="8"/>
  <c r="F4270" i="8"/>
  <c r="G2376" i="8"/>
  <c r="H3573" i="8" a="1"/>
  <c r="G2195" i="8"/>
  <c r="F4531" i="8"/>
  <c r="G4444" i="8"/>
  <c r="F3313" i="8"/>
  <c r="H3921" i="8" a="1"/>
  <c r="G3226" i="8"/>
  <c r="H4792" i="8" a="1"/>
  <c r="G2285" i="8"/>
  <c r="G1565" i="8"/>
  <c r="H4443" i="8" a="1"/>
  <c r="G505" i="8"/>
  <c r="G4531" i="8"/>
  <c r="G1295" i="8"/>
  <c r="H3834" i="8" a="1"/>
  <c r="F3922" i="8"/>
  <c r="G665" i="8"/>
  <c r="H3051" i="8" a="1"/>
  <c r="G3052" i="8"/>
  <c r="F3661" i="8"/>
  <c r="F55" i="8"/>
  <c r="H247" i="8" a="1"/>
  <c r="G755" i="8"/>
  <c r="F3400" i="8"/>
  <c r="G1025" i="8"/>
  <c r="G1115" i="8"/>
  <c r="H4269" i="8" a="1"/>
  <c r="G1745" i="8"/>
  <c r="F4357" i="8"/>
  <c r="G184" i="8"/>
  <c r="F639" i="8"/>
  <c r="G312" i="8"/>
  <c r="G3574" i="8"/>
  <c r="H3399" i="8" a="1"/>
  <c r="G248" i="8"/>
  <c r="G4183" i="8"/>
  <c r="H4530" i="8" a="1"/>
  <c r="G3313" i="8"/>
  <c r="F2395" i="8"/>
  <c r="G4618" i="8"/>
  <c r="F4793" i="8"/>
  <c r="H4617" i="8" a="1"/>
  <c r="G2105" i="8"/>
  <c r="H183" i="8" a="1"/>
  <c r="F4618" i="8"/>
  <c r="G4009" i="8"/>
  <c r="F311" i="8"/>
  <c r="F3226" i="8"/>
  <c r="H4356" i="8" a="1"/>
  <c r="H439" i="8" a="1"/>
  <c r="F439" i="8"/>
  <c r="G935" i="8"/>
  <c r="G3748" i="8"/>
  <c r="G1925" i="8"/>
  <c r="H375" i="8" a="1"/>
  <c r="F4705" i="8"/>
  <c r="H3138" i="8" a="1"/>
  <c r="F4096" i="8"/>
  <c r="H639" i="8" a="1"/>
  <c r="G4270" i="8"/>
  <c r="G2015" i="8"/>
  <c r="H3312" i="8" a="1"/>
  <c r="G1385" i="8"/>
  <c r="H2375" i="8" a="1"/>
  <c r="F375" i="8"/>
  <c r="F4009" i="8"/>
  <c r="H54" i="8" a="1"/>
  <c r="G1205" i="8"/>
  <c r="H4095" i="8" a="1"/>
  <c r="F575" i="8"/>
  <c r="G1655" i="8"/>
  <c r="F183" i="8"/>
  <c r="G3400" i="8"/>
  <c r="H4704" i="8" a="1"/>
  <c r="G3661" i="8"/>
  <c r="G3922" i="8"/>
  <c r="G1835" i="8"/>
  <c r="F504" i="8"/>
  <c r="H3225" i="8" a="1"/>
  <c r="G4705" i="8"/>
  <c r="G55" i="8"/>
  <c r="F3052" i="8"/>
  <c r="F3574" i="8"/>
  <c r="H3747" i="8" a="1"/>
  <c r="G4793" i="8"/>
  <c r="H311" i="8" a="1"/>
  <c r="F3487" i="8"/>
  <c r="G440" i="8"/>
  <c r="H503" i="8" a="1"/>
  <c r="G845" i="8"/>
  <c r="H3660" i="8" a="1"/>
  <c r="G3835" i="8"/>
  <c r="F4444" i="8"/>
  <c r="H4008" i="8" a="1"/>
  <c r="F119" i="8"/>
  <c r="H4182" i="8" a="1"/>
  <c r="G1475" i="8"/>
  <c r="G376" i="8"/>
  <c r="G3139" i="8"/>
  <c r="F3139" i="8"/>
  <c r="H574" i="8" a="1"/>
  <c r="F3748" i="8"/>
  <c r="H3486" i="8" a="1"/>
  <c r="F247" i="8"/>
  <c r="G120" i="8"/>
  <c r="F4183" i="8"/>
  <c r="G4096" i="8"/>
  <c r="H119" i="8" a="1"/>
  <c r="F3835" i="8"/>
  <c r="G4357" i="8"/>
  <c r="G3487" i="8"/>
  <c r="H4095" i="8" l="1"/>
  <c r="H3660" i="8"/>
  <c r="H3747" i="8"/>
  <c r="H4356" i="8"/>
  <c r="H4617" i="8"/>
  <c r="H3312" i="8"/>
  <c r="H375" i="8"/>
  <c r="H247" i="8"/>
  <c r="H119" i="8"/>
  <c r="H3834" i="8"/>
  <c r="H3399" i="8"/>
  <c r="H4269" i="8"/>
  <c r="H3486" i="8"/>
  <c r="H4182" i="8"/>
  <c r="H4792" i="8"/>
  <c r="H3573" i="8"/>
  <c r="H4704" i="8"/>
  <c r="H54" i="8"/>
  <c r="H503" i="8"/>
  <c r="H639" i="8"/>
  <c r="H574" i="8"/>
  <c r="H4008" i="8"/>
  <c r="H3921" i="8"/>
  <c r="H2375" i="8"/>
  <c r="H311" i="8"/>
  <c r="H3225" i="8"/>
  <c r="H183" i="8"/>
  <c r="H4530" i="8"/>
  <c r="H3138" i="8"/>
  <c r="H439" i="8"/>
  <c r="H3051" i="8"/>
  <c r="H4443" i="8"/>
  <c r="C3663" i="8"/>
  <c r="C3924" i="8"/>
  <c r="B57" i="8"/>
  <c r="B185" i="8"/>
  <c r="B121" i="8"/>
  <c r="C937" i="8"/>
  <c r="B3228" i="8"/>
  <c r="B4446" i="8"/>
  <c r="C4533" i="8"/>
  <c r="C4011" i="8"/>
  <c r="B313" i="8"/>
  <c r="C4272" i="8"/>
  <c r="B505" i="8"/>
  <c r="C4620" i="8"/>
  <c r="B3663" i="8"/>
  <c r="B4359" i="8"/>
  <c r="B249" i="8"/>
  <c r="C3315" i="8"/>
  <c r="B4794" i="8"/>
  <c r="C314" i="8"/>
  <c r="C3489" i="8"/>
  <c r="B4272" i="8"/>
  <c r="C3054" i="8"/>
  <c r="C3141" i="8"/>
  <c r="B3576" i="8"/>
  <c r="B3315" i="8"/>
  <c r="B4620" i="8"/>
  <c r="B3489" i="8"/>
  <c r="C667" i="8"/>
  <c r="C577" i="8"/>
  <c r="C3750" i="8"/>
  <c r="C1297" i="8"/>
  <c r="B641" i="8"/>
  <c r="B577" i="8"/>
  <c r="C3402" i="8"/>
  <c r="C3576" i="8"/>
  <c r="C3228" i="8"/>
  <c r="B4011" i="8"/>
  <c r="C847" i="8"/>
  <c r="C4359" i="8"/>
  <c r="B4533" i="8"/>
  <c r="C186" i="8"/>
  <c r="C122" i="8"/>
  <c r="C1117" i="8"/>
  <c r="B3837" i="8"/>
  <c r="C757" i="8"/>
  <c r="C506" i="8"/>
  <c r="C1747" i="8"/>
  <c r="B4707" i="8"/>
  <c r="C4098" i="8"/>
  <c r="C1477" i="8"/>
  <c r="C1567" i="8"/>
  <c r="B3141" i="8"/>
  <c r="B3054" i="8"/>
  <c r="B4098" i="8"/>
  <c r="B441" i="8"/>
  <c r="C378" i="8"/>
  <c r="C1927" i="8"/>
  <c r="C4794" i="8"/>
  <c r="B377" i="8"/>
  <c r="C4446" i="8"/>
  <c r="C1657" i="8"/>
  <c r="C2377" i="8"/>
  <c r="C3837" i="8"/>
  <c r="C1387" i="8"/>
  <c r="C1027" i="8"/>
  <c r="B3750" i="8"/>
  <c r="B3402" i="8"/>
  <c r="C250" i="8"/>
  <c r="C2197" i="8"/>
  <c r="C2107" i="8"/>
  <c r="C1837" i="8"/>
  <c r="C2017" i="8"/>
  <c r="B3924" i="8"/>
  <c r="C2287" i="8"/>
  <c r="B4185" i="8"/>
  <c r="C57" i="8"/>
  <c r="C4185" i="8"/>
  <c r="B2397" i="8"/>
  <c r="C4707" i="8"/>
  <c r="C442" i="8"/>
  <c r="C1207" i="8"/>
  <c r="F3575" i="8"/>
  <c r="H4183" i="8" a="1"/>
  <c r="F3749" i="8"/>
  <c r="H120" i="8" a="1"/>
  <c r="G377" i="8"/>
  <c r="F576" i="8"/>
  <c r="H4531" i="8" a="1"/>
  <c r="F3836" i="8"/>
  <c r="H505" i="8" a="1"/>
  <c r="G2106" i="8"/>
  <c r="F4532" i="8"/>
  <c r="F3662" i="8"/>
  <c r="H575" i="8" a="1"/>
  <c r="G3053" i="8"/>
  <c r="G1566" i="8"/>
  <c r="F312" i="8"/>
  <c r="G56" i="8"/>
  <c r="G1476" i="8"/>
  <c r="F248" i="8"/>
  <c r="H184" i="8" a="1"/>
  <c r="F4445" i="8"/>
  <c r="H4618" i="8" a="1"/>
  <c r="G3140" i="8"/>
  <c r="F640" i="8"/>
  <c r="G4532" i="8"/>
  <c r="G576" i="8"/>
  <c r="H55" i="8" a="1"/>
  <c r="G1746" i="8"/>
  <c r="H312" i="8" a="1"/>
  <c r="H440" i="8" a="1"/>
  <c r="G4358" i="8"/>
  <c r="G846" i="8"/>
  <c r="G1836" i="8"/>
  <c r="F4271" i="8"/>
  <c r="H3661" i="8" a="1"/>
  <c r="G4794" i="8"/>
  <c r="H2376" i="8" a="1"/>
  <c r="G1656" i="8"/>
  <c r="G185" i="8"/>
  <c r="F3314" i="8"/>
  <c r="H3574" i="8" a="1"/>
  <c r="F4184" i="8"/>
  <c r="G2286" i="8"/>
  <c r="F4706" i="8"/>
  <c r="H3748" i="8" a="1"/>
  <c r="F4619" i="8"/>
  <c r="F4358" i="8"/>
  <c r="F505" i="8"/>
  <c r="G506" i="8"/>
  <c r="G756" i="8"/>
  <c r="H4444" i="8" a="1"/>
  <c r="G4706" i="8"/>
  <c r="F3488" i="8"/>
  <c r="H4793" i="8" a="1"/>
  <c r="H4270" i="8" a="1"/>
  <c r="F4010" i="8"/>
  <c r="H640" i="8" a="1"/>
  <c r="F3053" i="8"/>
  <c r="F56" i="8"/>
  <c r="G4445" i="8"/>
  <c r="H3835" i="8" a="1"/>
  <c r="H504" i="8" a="1"/>
  <c r="G1116" i="8"/>
  <c r="G3662" i="8"/>
  <c r="H4705" i="8" a="1"/>
  <c r="G3401" i="8"/>
  <c r="G3314" i="8"/>
  <c r="G1206" i="8"/>
  <c r="H3226" i="8" a="1"/>
  <c r="H4009" i="8" a="1"/>
  <c r="F4794" i="8"/>
  <c r="G936" i="8"/>
  <c r="H4357" i="8" a="1"/>
  <c r="G4271" i="8"/>
  <c r="H3052" i="8" a="1"/>
  <c r="F4097" i="8"/>
  <c r="G3227" i="8"/>
  <c r="G2377" i="8"/>
  <c r="G3575" i="8"/>
  <c r="G2196" i="8"/>
  <c r="F120" i="8"/>
  <c r="F2396" i="8"/>
  <c r="F3401" i="8"/>
  <c r="G4097" i="8"/>
  <c r="F3923" i="8"/>
  <c r="F184" i="8"/>
  <c r="H3922" i="8" a="1"/>
  <c r="G441" i="8"/>
  <c r="H248" i="8" a="1"/>
  <c r="G666" i="8"/>
  <c r="F3140" i="8"/>
  <c r="G1386" i="8"/>
  <c r="G4619" i="8"/>
  <c r="G1926" i="8"/>
  <c r="F3227" i="8"/>
  <c r="G249" i="8"/>
  <c r="G3488" i="8"/>
  <c r="H3400" i="8" a="1"/>
  <c r="H3313" i="8" a="1"/>
  <c r="G1296" i="8"/>
  <c r="G3923" i="8"/>
  <c r="G3749" i="8"/>
  <c r="F376" i="8"/>
  <c r="G313" i="8"/>
  <c r="G3836" i="8"/>
  <c r="G4184" i="8"/>
  <c r="G4010" i="8"/>
  <c r="G1026" i="8"/>
  <c r="H3139" i="8" a="1"/>
  <c r="H4096" i="8" a="1"/>
  <c r="F440" i="8"/>
  <c r="G121" i="8"/>
  <c r="G2016" i="8"/>
  <c r="H376" i="8" a="1"/>
  <c r="H3487" i="8" a="1"/>
  <c r="H575" i="8" l="1"/>
  <c r="H4705" i="8"/>
  <c r="H3400" i="8"/>
  <c r="H3574" i="8"/>
  <c r="H4618" i="8"/>
  <c r="H3661" i="8"/>
  <c r="H376" i="8"/>
  <c r="H4444" i="8"/>
  <c r="H505" i="8"/>
  <c r="H312" i="8"/>
  <c r="H4009" i="8"/>
  <c r="H2376" i="8"/>
  <c r="H248" i="8"/>
  <c r="H120" i="8"/>
  <c r="H3487" i="8"/>
  <c r="H4096" i="8"/>
  <c r="H504" i="8"/>
  <c r="H640" i="8"/>
  <c r="H3052" i="8"/>
  <c r="H4531" i="8"/>
  <c r="H55" i="8"/>
  <c r="H3226" i="8"/>
  <c r="H3748" i="8"/>
  <c r="H3922" i="8"/>
  <c r="H4183" i="8"/>
  <c r="H4793" i="8"/>
  <c r="H184" i="8"/>
  <c r="H3835" i="8"/>
  <c r="H3313" i="8"/>
  <c r="H440" i="8"/>
  <c r="H4270" i="8"/>
  <c r="H3139" i="8"/>
  <c r="H4357" i="8"/>
  <c r="C2198" i="8"/>
  <c r="B3229" i="8"/>
  <c r="B4795" i="8"/>
  <c r="B3925" i="8"/>
  <c r="C187" i="8"/>
  <c r="C123" i="8"/>
  <c r="C507" i="8"/>
  <c r="B2398" i="8"/>
  <c r="C58" i="8"/>
  <c r="C2108" i="8"/>
  <c r="C315" i="8"/>
  <c r="B3838" i="8"/>
  <c r="C1478" i="8"/>
  <c r="C4534" i="8"/>
  <c r="C443" i="8"/>
  <c r="B4186" i="8"/>
  <c r="C848" i="8"/>
  <c r="C1208" i="8"/>
  <c r="C251" i="8"/>
  <c r="C4447" i="8"/>
  <c r="B4099" i="8"/>
  <c r="C3664" i="8"/>
  <c r="B642" i="8"/>
  <c r="B578" i="8"/>
  <c r="C3838" i="8"/>
  <c r="C578" i="8"/>
  <c r="C668" i="8"/>
  <c r="C3142" i="8"/>
  <c r="C3055" i="8"/>
  <c r="C3577" i="8"/>
  <c r="B314" i="8"/>
  <c r="B3751" i="8"/>
  <c r="B378" i="8"/>
  <c r="C4621" i="8"/>
  <c r="B186" i="8"/>
  <c r="B122" i="8"/>
  <c r="B4012" i="8"/>
  <c r="B4621" i="8"/>
  <c r="B706" i="8"/>
  <c r="C758" i="8"/>
  <c r="B4708" i="8"/>
  <c r="B3664" i="8"/>
  <c r="C4099" i="8"/>
  <c r="C1028" i="8"/>
  <c r="B250" i="8"/>
  <c r="B58" i="8"/>
  <c r="C3751" i="8"/>
  <c r="B4273" i="8"/>
  <c r="C1928" i="8"/>
  <c r="C1748" i="8"/>
  <c r="C1658" i="8"/>
  <c r="C4186" i="8"/>
  <c r="C1838" i="8"/>
  <c r="C1298" i="8"/>
  <c r="C4795" i="8"/>
  <c r="C4273" i="8"/>
  <c r="C2288" i="8"/>
  <c r="B3490" i="8"/>
  <c r="C1118" i="8"/>
  <c r="C3925" i="8"/>
  <c r="B442" i="8"/>
  <c r="C2018" i="8"/>
  <c r="B506" i="8"/>
  <c r="B3142" i="8"/>
  <c r="B3055" i="8"/>
  <c r="C1568" i="8"/>
  <c r="C938" i="8"/>
  <c r="C3316" i="8"/>
  <c r="C3490" i="8"/>
  <c r="C1388" i="8"/>
  <c r="C3229" i="8"/>
  <c r="B4360" i="8"/>
  <c r="C379" i="8"/>
  <c r="C3403" i="8"/>
  <c r="B4447" i="8"/>
  <c r="C4708" i="8"/>
  <c r="C4360" i="8"/>
  <c r="B4534" i="8"/>
  <c r="C2378" i="8"/>
  <c r="B3577" i="8"/>
  <c r="B3403" i="8"/>
  <c r="B3316" i="8"/>
  <c r="C4012" i="8"/>
  <c r="H377" i="8" a="1"/>
  <c r="F249" i="8"/>
  <c r="H441" i="8" a="1"/>
  <c r="G1297" i="8"/>
  <c r="G1387" i="8"/>
  <c r="G1567" i="8"/>
  <c r="H4706" i="8" a="1"/>
  <c r="F313" i="8"/>
  <c r="H4445" i="8" a="1"/>
  <c r="F4272" i="8"/>
  <c r="G3750" i="8"/>
  <c r="H4010" i="8" a="1"/>
  <c r="G1747" i="8"/>
  <c r="G250" i="8"/>
  <c r="F4707" i="8"/>
  <c r="H313" i="8" a="1"/>
  <c r="F4533" i="8"/>
  <c r="H121" i="8" a="1"/>
  <c r="F4185" i="8"/>
  <c r="F4011" i="8"/>
  <c r="G3054" i="8"/>
  <c r="H4184" i="8" a="1"/>
  <c r="G3228" i="8"/>
  <c r="G507" i="8"/>
  <c r="G3141" i="8"/>
  <c r="F641" i="8"/>
  <c r="F377" i="8"/>
  <c r="G757" i="8"/>
  <c r="G4272" i="8"/>
  <c r="F2397" i="8"/>
  <c r="F3663" i="8"/>
  <c r="G2197" i="8"/>
  <c r="G1027" i="8"/>
  <c r="H4271" i="8" a="1"/>
  <c r="H3575" i="8" a="1"/>
  <c r="F3402" i="8"/>
  <c r="H3923" i="8" a="1"/>
  <c r="G667" i="8"/>
  <c r="H3401" i="8" a="1"/>
  <c r="G1657" i="8"/>
  <c r="G2287" i="8"/>
  <c r="F3228" i="8"/>
  <c r="H4532" i="8" a="1"/>
  <c r="G4011" i="8"/>
  <c r="F3750" i="8"/>
  <c r="F4446" i="8"/>
  <c r="G937" i="8"/>
  <c r="F3315" i="8"/>
  <c r="H3749" i="8" a="1"/>
  <c r="F185" i="8"/>
  <c r="F4098" i="8"/>
  <c r="F3489" i="8"/>
  <c r="F3924" i="8"/>
  <c r="H3836" i="8" a="1"/>
  <c r="F506" i="8"/>
  <c r="F3054" i="8"/>
  <c r="G577" i="8"/>
  <c r="H3662" i="8" a="1"/>
  <c r="G1477" i="8"/>
  <c r="F3837" i="8"/>
  <c r="G1927" i="8"/>
  <c r="H3314" i="8" a="1"/>
  <c r="F4620" i="8"/>
  <c r="G4620" i="8"/>
  <c r="H3227" i="8" a="1"/>
  <c r="G4533" i="8"/>
  <c r="G1837" i="8"/>
  <c r="G3837" i="8"/>
  <c r="G3924" i="8"/>
  <c r="G1117" i="8"/>
  <c r="H576" i="8" a="1"/>
  <c r="H185" i="8" a="1"/>
  <c r="H3053" i="8" a="1"/>
  <c r="F441" i="8"/>
  <c r="G3576" i="8"/>
  <c r="H4619" i="8" a="1"/>
  <c r="H3488" i="8" a="1"/>
  <c r="G4795" i="8"/>
  <c r="G2107" i="8"/>
  <c r="H56" i="8" a="1"/>
  <c r="F121" i="8"/>
  <c r="H249" i="8" a="1"/>
  <c r="F57" i="8"/>
  <c r="G57" i="8"/>
  <c r="F4359" i="8"/>
  <c r="H2377" i="8" a="1"/>
  <c r="H641" i="8" a="1"/>
  <c r="G122" i="8"/>
  <c r="G3315" i="8"/>
  <c r="G3489" i="8"/>
  <c r="H3140" i="8" a="1"/>
  <c r="H4358" i="8" a="1"/>
  <c r="G4707" i="8"/>
  <c r="G4359" i="8"/>
  <c r="G2378" i="8"/>
  <c r="F3576" i="8"/>
  <c r="F4795" i="8"/>
  <c r="G3402" i="8"/>
  <c r="G4185" i="8"/>
  <c r="G314" i="8"/>
  <c r="G4446" i="8"/>
  <c r="H4794" i="8" a="1"/>
  <c r="G1207" i="8"/>
  <c r="G442" i="8"/>
  <c r="F577" i="8"/>
  <c r="F3141" i="8"/>
  <c r="G186" i="8"/>
  <c r="G3663" i="8"/>
  <c r="G847" i="8"/>
  <c r="G2017" i="8"/>
  <c r="G4098" i="8"/>
  <c r="G378" i="8"/>
  <c r="H4097" i="8" a="1"/>
  <c r="H576" i="8" l="1"/>
  <c r="H3836" i="8"/>
  <c r="H4097" i="8"/>
  <c r="H3227" i="8"/>
  <c r="H3140" i="8"/>
  <c r="H4010" i="8"/>
  <c r="H3488" i="8"/>
  <c r="H4271" i="8"/>
  <c r="H185" i="8"/>
  <c r="H121" i="8"/>
  <c r="H249" i="8"/>
  <c r="H4619" i="8"/>
  <c r="H4445" i="8"/>
  <c r="H441" i="8"/>
  <c r="H4184" i="8"/>
  <c r="H3662" i="8"/>
  <c r="H3575" i="8"/>
  <c r="H4794" i="8"/>
  <c r="H3401" i="8"/>
  <c r="H313" i="8"/>
  <c r="H56" i="8"/>
  <c r="H641" i="8"/>
  <c r="H3053" i="8"/>
  <c r="H4358" i="8"/>
  <c r="H3923" i="8"/>
  <c r="H3749" i="8"/>
  <c r="H4532" i="8"/>
  <c r="H3314" i="8"/>
  <c r="H2377" i="8"/>
  <c r="H4706" i="8"/>
  <c r="H377" i="8"/>
  <c r="B3665" i="8"/>
  <c r="B4622" i="8"/>
  <c r="C3491" i="8"/>
  <c r="B4448" i="8"/>
  <c r="C1479" i="8"/>
  <c r="C3404" i="8"/>
  <c r="C1659" i="8"/>
  <c r="C1209" i="8"/>
  <c r="C2379" i="8"/>
  <c r="C3317" i="8"/>
  <c r="C1029" i="8"/>
  <c r="B507" i="8"/>
  <c r="C2019" i="8"/>
  <c r="C3839" i="8"/>
  <c r="B315" i="8"/>
  <c r="C4187" i="8"/>
  <c r="B4796" i="8"/>
  <c r="B4100" i="8"/>
  <c r="B251" i="8"/>
  <c r="B443" i="8"/>
  <c r="B379" i="8"/>
  <c r="C3143" i="8"/>
  <c r="C3056" i="8"/>
  <c r="C669" i="8"/>
  <c r="C579" i="8"/>
  <c r="B579" i="8"/>
  <c r="B643" i="8"/>
  <c r="C1569" i="8"/>
  <c r="C252" i="8"/>
  <c r="C2289" i="8"/>
  <c r="C4100" i="8"/>
  <c r="B3491" i="8"/>
  <c r="C3578" i="8"/>
  <c r="C1389" i="8"/>
  <c r="C4274" i="8"/>
  <c r="C3230" i="8"/>
  <c r="B707" i="8"/>
  <c r="B4187" i="8"/>
  <c r="C316" i="8"/>
  <c r="C939" i="8"/>
  <c r="C508" i="8"/>
  <c r="C380" i="8"/>
  <c r="C59" i="8"/>
  <c r="C4448" i="8"/>
  <c r="B4535" i="8"/>
  <c r="C444" i="8"/>
  <c r="B3143" i="8"/>
  <c r="B3056" i="8"/>
  <c r="C4013" i="8"/>
  <c r="B3404" i="8"/>
  <c r="B3230" i="8"/>
  <c r="C2109" i="8"/>
  <c r="B3578" i="8"/>
  <c r="C4361" i="8"/>
  <c r="C1839" i="8"/>
  <c r="B4361" i="8"/>
  <c r="B59" i="8"/>
  <c r="C1119" i="8"/>
  <c r="B3752" i="8"/>
  <c r="C849" i="8"/>
  <c r="C4709" i="8"/>
  <c r="B3839" i="8"/>
  <c r="C3665" i="8"/>
  <c r="C759" i="8"/>
  <c r="C3926" i="8"/>
  <c r="C4622" i="8"/>
  <c r="C2199" i="8"/>
  <c r="B4013" i="8"/>
  <c r="B3317" i="8"/>
  <c r="C4796" i="8"/>
  <c r="C1929" i="8"/>
  <c r="C1749" i="8"/>
  <c r="B4709" i="8"/>
  <c r="B187" i="8"/>
  <c r="B123" i="8"/>
  <c r="C3752" i="8"/>
  <c r="C4535" i="8"/>
  <c r="C1299" i="8"/>
  <c r="B4274" i="8"/>
  <c r="B3926" i="8"/>
  <c r="B2399" i="8"/>
  <c r="C188" i="8"/>
  <c r="C124" i="8"/>
  <c r="F442" i="8"/>
  <c r="H3924" i="8" a="1"/>
  <c r="F642" i="8"/>
  <c r="F2398" i="8"/>
  <c r="H642" i="8" a="1"/>
  <c r="G187" i="8"/>
  <c r="G578" i="8"/>
  <c r="H122" i="8" a="1"/>
  <c r="G1748" i="8"/>
  <c r="H3576" i="8" a="1"/>
  <c r="G758" i="8"/>
  <c r="G1658" i="8"/>
  <c r="G4099" i="8"/>
  <c r="H378" i="8" a="1"/>
  <c r="G3925" i="8"/>
  <c r="H4185" i="8" a="1"/>
  <c r="G443" i="8"/>
  <c r="G1118" i="8"/>
  <c r="G4534" i="8"/>
  <c r="G4273" i="8"/>
  <c r="G3316" i="8"/>
  <c r="G123" i="8"/>
  <c r="H706" i="8" a="1"/>
  <c r="F4186" i="8"/>
  <c r="F578" i="8"/>
  <c r="H4707" i="8" a="1"/>
  <c r="G1028" i="8"/>
  <c r="H4272" i="8" a="1"/>
  <c r="G3142" i="8"/>
  <c r="G58" i="8"/>
  <c r="F3925" i="8"/>
  <c r="G668" i="8"/>
  <c r="G1838" i="8"/>
  <c r="G3751" i="8"/>
  <c r="H250" i="8" a="1"/>
  <c r="F4534" i="8"/>
  <c r="F314" i="8"/>
  <c r="F4273" i="8"/>
  <c r="G315" i="8"/>
  <c r="F3229" i="8"/>
  <c r="F3316" i="8"/>
  <c r="F378" i="8"/>
  <c r="H4098" i="8" a="1"/>
  <c r="F3490" i="8"/>
  <c r="H4620" i="8" a="1"/>
  <c r="H3315" i="8" a="1"/>
  <c r="H3141" i="8" a="1"/>
  <c r="F4099" i="8"/>
  <c r="G2288" i="8"/>
  <c r="G3577" i="8"/>
  <c r="G2379" i="8"/>
  <c r="H186" i="8" a="1"/>
  <c r="H314" i="8" a="1"/>
  <c r="F3403" i="8"/>
  <c r="H4011" i="8" a="1"/>
  <c r="F58" i="8"/>
  <c r="G3403" i="8"/>
  <c r="H506" i="8" a="1"/>
  <c r="G4012" i="8"/>
  <c r="G3664" i="8"/>
  <c r="G4708" i="8"/>
  <c r="F4012" i="8"/>
  <c r="H3228" i="8" a="1"/>
  <c r="F3142" i="8"/>
  <c r="H4533" i="8" a="1"/>
  <c r="G3229" i="8"/>
  <c r="H3054" i="8" a="1"/>
  <c r="G4360" i="8"/>
  <c r="F3751" i="8"/>
  <c r="G508" i="8"/>
  <c r="F4360" i="8"/>
  <c r="G2198" i="8"/>
  <c r="H4359" i="8" a="1"/>
  <c r="H2378" i="8" a="1"/>
  <c r="H3489" i="8" a="1"/>
  <c r="F3838" i="8"/>
  <c r="H442" i="8" a="1"/>
  <c r="F706" i="8"/>
  <c r="F3577" i="8"/>
  <c r="G4621" i="8"/>
  <c r="G1568" i="8"/>
  <c r="F507" i="8"/>
  <c r="H577" i="8" a="1"/>
  <c r="G379" i="8"/>
  <c r="G1478" i="8"/>
  <c r="F122" i="8"/>
  <c r="F186" i="8"/>
  <c r="H3837" i="8" a="1"/>
  <c r="H3750" i="8" a="1"/>
  <c r="G848" i="8"/>
  <c r="G938" i="8"/>
  <c r="G3838" i="8"/>
  <c r="G1928" i="8"/>
  <c r="H57" i="8" a="1"/>
  <c r="F3055" i="8"/>
  <c r="G4186" i="8"/>
  <c r="H4795" i="8" a="1"/>
  <c r="G1298" i="8"/>
  <c r="H4446" i="8" a="1"/>
  <c r="F3664" i="8"/>
  <c r="G1388" i="8"/>
  <c r="F4621" i="8"/>
  <c r="G3490" i="8"/>
  <c r="G1208" i="8"/>
  <c r="G2018" i="8"/>
  <c r="H3663" i="8" a="1"/>
  <c r="G3055" i="8"/>
  <c r="F4708" i="8"/>
  <c r="H3402" i="8" a="1"/>
  <c r="G251" i="8"/>
  <c r="G2108" i="8"/>
  <c r="G4447" i="8"/>
  <c r="G4796" i="8"/>
  <c r="F4796" i="8"/>
  <c r="F250" i="8"/>
  <c r="F4447" i="8"/>
  <c r="H3054" i="8" l="1"/>
  <c r="H4707" i="8"/>
  <c r="H4359" i="8"/>
  <c r="H3837" i="8"/>
  <c r="H3315" i="8"/>
  <c r="H3489" i="8"/>
  <c r="H57" i="8"/>
  <c r="H186" i="8"/>
  <c r="H4272" i="8"/>
  <c r="H506" i="8"/>
  <c r="H642" i="8"/>
  <c r="H3576" i="8"/>
  <c r="H4620" i="8"/>
  <c r="H4533" i="8"/>
  <c r="H4185" i="8"/>
  <c r="H250" i="8"/>
  <c r="H706" i="8"/>
  <c r="H4446" i="8"/>
  <c r="H4011" i="8"/>
  <c r="H122" i="8"/>
  <c r="H4098" i="8"/>
  <c r="H3228" i="8"/>
  <c r="H378" i="8"/>
  <c r="H3402" i="8"/>
  <c r="H3924" i="8"/>
  <c r="H577" i="8"/>
  <c r="H3663" i="8"/>
  <c r="H2378" i="8"/>
  <c r="H3750" i="8"/>
  <c r="H3141" i="8"/>
  <c r="H442" i="8"/>
  <c r="H4795" i="8"/>
  <c r="H314" i="8"/>
  <c r="B2400" i="8"/>
  <c r="B4362" i="8"/>
  <c r="B188" i="8"/>
  <c r="B124" i="8"/>
  <c r="B3405" i="8"/>
  <c r="B60" i="8"/>
  <c r="C189" i="8"/>
  <c r="C125" i="8"/>
  <c r="B252" i="8"/>
  <c r="C940" i="8"/>
  <c r="C509" i="8"/>
  <c r="C4536" i="8"/>
  <c r="C445" i="8"/>
  <c r="C1030" i="8"/>
  <c r="B4275" i="8"/>
  <c r="B708" i="8"/>
  <c r="C670" i="8"/>
  <c r="C580" i="8"/>
  <c r="C3231" i="8"/>
  <c r="B508" i="8"/>
  <c r="B4188" i="8"/>
  <c r="C4275" i="8"/>
  <c r="C3927" i="8"/>
  <c r="C3492" i="8"/>
  <c r="B4710" i="8"/>
  <c r="C253" i="8"/>
  <c r="B4014" i="8"/>
  <c r="C1390" i="8"/>
  <c r="C3840" i="8"/>
  <c r="C2020" i="8"/>
  <c r="B4101" i="8"/>
  <c r="C4710" i="8"/>
  <c r="C850" i="8"/>
  <c r="B3927" i="8"/>
  <c r="C1210" i="8"/>
  <c r="B4449" i="8"/>
  <c r="C4449" i="8"/>
  <c r="C2200" i="8"/>
  <c r="B3492" i="8"/>
  <c r="B3057" i="8"/>
  <c r="B3144" i="8"/>
  <c r="C3318" i="8"/>
  <c r="C4362" i="8"/>
  <c r="C3666" i="8"/>
  <c r="C4188" i="8"/>
  <c r="C317" i="8"/>
  <c r="C760" i="8"/>
  <c r="C1120" i="8"/>
  <c r="B3753" i="8"/>
  <c r="B4797" i="8"/>
  <c r="C2290" i="8"/>
  <c r="B3231" i="8"/>
  <c r="B4623" i="8"/>
  <c r="C60" i="8"/>
  <c r="C381" i="8"/>
  <c r="C1480" i="8"/>
  <c r="B3579" i="8"/>
  <c r="B644" i="8"/>
  <c r="B580" i="8"/>
  <c r="B444" i="8"/>
  <c r="B316" i="8"/>
  <c r="B380" i="8"/>
  <c r="C2110" i="8"/>
  <c r="C1750" i="8"/>
  <c r="C1570" i="8"/>
  <c r="C3579" i="8"/>
  <c r="C4623" i="8"/>
  <c r="C1840" i="8"/>
  <c r="C4014" i="8"/>
  <c r="C3753" i="8"/>
  <c r="C4797" i="8"/>
  <c r="B3840" i="8"/>
  <c r="C1930" i="8"/>
  <c r="B3666" i="8"/>
  <c r="B3318" i="8"/>
  <c r="C4101" i="8"/>
  <c r="C2380" i="8"/>
  <c r="C1660" i="8"/>
  <c r="C3144" i="8"/>
  <c r="C3057" i="8"/>
  <c r="C3405" i="8"/>
  <c r="C1300" i="8"/>
  <c r="B4536" i="8"/>
  <c r="H4708" i="8" a="1"/>
  <c r="F643" i="8"/>
  <c r="H3577" i="8" a="1"/>
  <c r="G4535" i="8"/>
  <c r="H3316" i="8" a="1"/>
  <c r="G1029" i="8"/>
  <c r="H4796" i="8" a="1"/>
  <c r="G579" i="8"/>
  <c r="H3055" i="8" a="1"/>
  <c r="G3926" i="8"/>
  <c r="F4274" i="8"/>
  <c r="G316" i="8"/>
  <c r="F4797" i="8"/>
  <c r="F707" i="8"/>
  <c r="H3838" i="8" a="1"/>
  <c r="G4622" i="8"/>
  <c r="F3926" i="8"/>
  <c r="F4535" i="8"/>
  <c r="G3143" i="8"/>
  <c r="H4360" i="8" a="1"/>
  <c r="H3925" i="8" a="1"/>
  <c r="F4361" i="8"/>
  <c r="G759" i="8"/>
  <c r="G1659" i="8"/>
  <c r="F4100" i="8"/>
  <c r="H578" i="8" a="1"/>
  <c r="G3839" i="8"/>
  <c r="G669" i="8"/>
  <c r="G3404" i="8"/>
  <c r="G2199" i="8"/>
  <c r="G1389" i="8"/>
  <c r="H58" i="8" a="1"/>
  <c r="G188" i="8"/>
  <c r="G509" i="8"/>
  <c r="H707" i="8" a="1"/>
  <c r="G380" i="8"/>
  <c r="F3752" i="8"/>
  <c r="H3403" i="8" a="1"/>
  <c r="G1929" i="8"/>
  <c r="H643" i="8" a="1"/>
  <c r="G1569" i="8"/>
  <c r="F4187" i="8"/>
  <c r="H3229" i="8" a="1"/>
  <c r="G3491" i="8"/>
  <c r="G3230" i="8"/>
  <c r="H4099" i="8" a="1"/>
  <c r="G1839" i="8"/>
  <c r="G4100" i="8"/>
  <c r="H3142" i="8" a="1"/>
  <c r="G3752" i="8"/>
  <c r="F508" i="8"/>
  <c r="F2399" i="8"/>
  <c r="G3056" i="8"/>
  <c r="F4013" i="8"/>
  <c r="F3839" i="8"/>
  <c r="F3317" i="8"/>
  <c r="H123" i="8" a="1"/>
  <c r="F3665" i="8"/>
  <c r="G1119" i="8"/>
  <c r="G3317" i="8"/>
  <c r="G4361" i="8"/>
  <c r="G4797" i="8"/>
  <c r="H315" i="8" a="1"/>
  <c r="F3143" i="8"/>
  <c r="G4274" i="8"/>
  <c r="H3664" i="8" a="1"/>
  <c r="F4622" i="8"/>
  <c r="G939" i="8"/>
  <c r="F3578" i="8"/>
  <c r="G1209" i="8"/>
  <c r="G849" i="8"/>
  <c r="H443" i="8" a="1"/>
  <c r="G2019" i="8"/>
  <c r="H4621" i="8" a="1"/>
  <c r="G3578" i="8"/>
  <c r="G1749" i="8"/>
  <c r="G4448" i="8"/>
  <c r="H2379" i="8" a="1"/>
  <c r="G1479" i="8"/>
  <c r="H379" i="8" a="1"/>
  <c r="G252" i="8"/>
  <c r="F59" i="8"/>
  <c r="H4534" i="8" a="1"/>
  <c r="F579" i="8"/>
  <c r="H251" i="8" a="1"/>
  <c r="H4186" i="8" a="1"/>
  <c r="F4709" i="8"/>
  <c r="G124" i="8"/>
  <c r="H4012" i="8" a="1"/>
  <c r="F251" i="8"/>
  <c r="H4447" i="8" a="1"/>
  <c r="F3404" i="8"/>
  <c r="G2109" i="8"/>
  <c r="F3056" i="8"/>
  <c r="H4273" i="8" a="1"/>
  <c r="F443" i="8"/>
  <c r="H3751" i="8" a="1"/>
  <c r="G4709" i="8"/>
  <c r="F187" i="8"/>
  <c r="F3491" i="8"/>
  <c r="H3490" i="8" a="1"/>
  <c r="G4187" i="8"/>
  <c r="F123" i="8"/>
  <c r="F3230" i="8"/>
  <c r="G444" i="8"/>
  <c r="G2380" i="8"/>
  <c r="F379" i="8"/>
  <c r="F4448" i="8"/>
  <c r="G1299" i="8"/>
  <c r="G4013" i="8"/>
  <c r="G3665" i="8"/>
  <c r="F315" i="8"/>
  <c r="H187" i="8" a="1"/>
  <c r="G2289" i="8"/>
  <c r="H507" i="8" a="1"/>
  <c r="G59" i="8"/>
  <c r="H578" i="8" l="1"/>
  <c r="H4360" i="8"/>
  <c r="H3229" i="8"/>
  <c r="H4186" i="8"/>
  <c r="H507" i="8"/>
  <c r="H3316" i="8"/>
  <c r="H379" i="8"/>
  <c r="H4621" i="8"/>
  <c r="H4447" i="8"/>
  <c r="H251" i="8"/>
  <c r="H187" i="8"/>
  <c r="H3142" i="8"/>
  <c r="H3664" i="8"/>
  <c r="H707" i="8"/>
  <c r="H643" i="8"/>
  <c r="H3751" i="8"/>
  <c r="H3055" i="8"/>
  <c r="H3577" i="8"/>
  <c r="H2379" i="8"/>
  <c r="H443" i="8"/>
  <c r="H4012" i="8"/>
  <c r="H4534" i="8"/>
  <c r="H4099" i="8"/>
  <c r="H315" i="8"/>
  <c r="H123" i="8"/>
  <c r="H3925" i="8"/>
  <c r="H3838" i="8"/>
  <c r="H3403" i="8"/>
  <c r="H58" i="8"/>
  <c r="H3490" i="8"/>
  <c r="H4273" i="8"/>
  <c r="H4796" i="8"/>
  <c r="H4708" i="8"/>
  <c r="B3406" i="8"/>
  <c r="C4102" i="8"/>
  <c r="C1661" i="8"/>
  <c r="B381" i="8"/>
  <c r="C61" i="8"/>
  <c r="C1391" i="8"/>
  <c r="C3058" i="8"/>
  <c r="C3145" i="8"/>
  <c r="C1841" i="8"/>
  <c r="B709" i="8"/>
  <c r="C1571" i="8"/>
  <c r="B3319" i="8"/>
  <c r="C3754" i="8"/>
  <c r="B3145" i="8"/>
  <c r="B3058" i="8"/>
  <c r="B4537" i="8"/>
  <c r="B4015" i="8"/>
  <c r="C4798" i="8"/>
  <c r="C2111" i="8"/>
  <c r="C318" i="8"/>
  <c r="C4363" i="8"/>
  <c r="C671" i="8"/>
  <c r="C581" i="8"/>
  <c r="C4624" i="8"/>
  <c r="C1031" i="8"/>
  <c r="C190" i="8"/>
  <c r="C126" i="8"/>
  <c r="B253" i="8"/>
  <c r="B2401" i="8"/>
  <c r="C4189" i="8"/>
  <c r="B3928" i="8"/>
  <c r="C3841" i="8"/>
  <c r="C1931" i="8"/>
  <c r="C3667" i="8"/>
  <c r="C1211" i="8"/>
  <c r="C382" i="8"/>
  <c r="C3406" i="8"/>
  <c r="C1301" i="8"/>
  <c r="C941" i="8"/>
  <c r="B4102" i="8"/>
  <c r="C761" i="8"/>
  <c r="C254" i="8"/>
  <c r="B3493" i="8"/>
  <c r="C3232" i="8"/>
  <c r="B3754" i="8"/>
  <c r="B445" i="8"/>
  <c r="B509" i="8"/>
  <c r="B4624" i="8"/>
  <c r="C3493" i="8"/>
  <c r="C2021" i="8"/>
  <c r="B3667" i="8"/>
  <c r="C446" i="8"/>
  <c r="B4711" i="8"/>
  <c r="C2381" i="8"/>
  <c r="B3841" i="8"/>
  <c r="B3232" i="8"/>
  <c r="B3580" i="8"/>
  <c r="C4537" i="8"/>
  <c r="B4189" i="8"/>
  <c r="C3928" i="8"/>
  <c r="B4798" i="8"/>
  <c r="C4015" i="8"/>
  <c r="B4276" i="8"/>
  <c r="C3319" i="8"/>
  <c r="B4363" i="8"/>
  <c r="C510" i="8"/>
  <c r="B317" i="8"/>
  <c r="B61" i="8"/>
  <c r="B4450" i="8"/>
  <c r="C1751" i="8"/>
  <c r="C4711" i="8"/>
  <c r="C2201" i="8"/>
  <c r="B645" i="8"/>
  <c r="B581" i="8"/>
  <c r="C851" i="8"/>
  <c r="C4276" i="8"/>
  <c r="C4450" i="8"/>
  <c r="C2291" i="8"/>
  <c r="C1481" i="8"/>
  <c r="C3580" i="8"/>
  <c r="C1121" i="8"/>
  <c r="B189" i="8"/>
  <c r="B125" i="8"/>
  <c r="H4013" i="8" a="1"/>
  <c r="G2381" i="8"/>
  <c r="F188" i="8"/>
  <c r="G3231" i="8"/>
  <c r="G2020" i="8"/>
  <c r="F3666" i="8"/>
  <c r="H3926" i="8" a="1"/>
  <c r="H4797" i="8" a="1"/>
  <c r="F4014" i="8"/>
  <c r="G3492" i="8"/>
  <c r="G580" i="8"/>
  <c r="H4187" i="8" a="1"/>
  <c r="F444" i="8"/>
  <c r="H124" i="8" a="1"/>
  <c r="H4622" i="8" a="1"/>
  <c r="H3665" i="8" a="1"/>
  <c r="G189" i="8"/>
  <c r="F124" i="8"/>
  <c r="G4536" i="8"/>
  <c r="F3057" i="8"/>
  <c r="F4449" i="8"/>
  <c r="H4100" i="8" a="1"/>
  <c r="F4101" i="8"/>
  <c r="F4710" i="8"/>
  <c r="F4623" i="8"/>
  <c r="H3143" i="8" a="1"/>
  <c r="G2200" i="8"/>
  <c r="G317" i="8"/>
  <c r="G4188" i="8"/>
  <c r="F4798" i="8"/>
  <c r="F4188" i="8"/>
  <c r="G3057" i="8"/>
  <c r="H380" i="8" a="1"/>
  <c r="F4536" i="8"/>
  <c r="H3752" i="8" a="1"/>
  <c r="G670" i="8"/>
  <c r="G3666" i="8"/>
  <c r="F3753" i="8"/>
  <c r="G125" i="8"/>
  <c r="G1480" i="8"/>
  <c r="H4535" i="8" a="1"/>
  <c r="G1930" i="8"/>
  <c r="H444" i="8" a="1"/>
  <c r="F509" i="8"/>
  <c r="G3318" i="8"/>
  <c r="G1210" i="8"/>
  <c r="G253" i="8"/>
  <c r="G3927" i="8"/>
  <c r="F316" i="8"/>
  <c r="G1390" i="8"/>
  <c r="F2400" i="8"/>
  <c r="F4362" i="8"/>
  <c r="H3491" i="8" a="1"/>
  <c r="G760" i="8"/>
  <c r="G60" i="8"/>
  <c r="F3318" i="8"/>
  <c r="H4361" i="8" a="1"/>
  <c r="F380" i="8"/>
  <c r="H3404" i="8" a="1"/>
  <c r="H4709" i="8" a="1"/>
  <c r="F252" i="8"/>
  <c r="H708" i="8" a="1"/>
  <c r="F644" i="8"/>
  <c r="G4449" i="8"/>
  <c r="H188" i="8" a="1"/>
  <c r="G1660" i="8"/>
  <c r="F708" i="8"/>
  <c r="F4275" i="8"/>
  <c r="F3492" i="8"/>
  <c r="G940" i="8"/>
  <c r="G4710" i="8"/>
  <c r="G3840" i="8"/>
  <c r="G4014" i="8"/>
  <c r="G2110" i="8"/>
  <c r="H3578" i="8" a="1"/>
  <c r="H508" i="8" a="1"/>
  <c r="G3579" i="8"/>
  <c r="F580" i="8"/>
  <c r="F3231" i="8"/>
  <c r="H3317" i="8" a="1"/>
  <c r="G1030" i="8"/>
  <c r="G4798" i="8"/>
  <c r="H4448" i="8" a="1"/>
  <c r="G2290" i="8"/>
  <c r="H3056" i="8" a="1"/>
  <c r="G4275" i="8"/>
  <c r="H59" i="8" a="1"/>
  <c r="F3144" i="8"/>
  <c r="G4101" i="8"/>
  <c r="G445" i="8"/>
  <c r="G1750" i="8"/>
  <c r="H3230" i="8" a="1"/>
  <c r="G1120" i="8"/>
  <c r="G4362" i="8"/>
  <c r="H2380" i="8" a="1"/>
  <c r="G510" i="8"/>
  <c r="G3753" i="8"/>
  <c r="F60" i="8"/>
  <c r="H644" i="8" a="1"/>
  <c r="H3839" i="8" a="1"/>
  <c r="H579" i="8" a="1"/>
  <c r="H316" i="8" a="1"/>
  <c r="G3144" i="8"/>
  <c r="H252" i="8" a="1"/>
  <c r="F3840" i="8"/>
  <c r="G1570" i="8"/>
  <c r="F3579" i="8"/>
  <c r="G1300" i="8"/>
  <c r="G1840" i="8"/>
  <c r="G4623" i="8"/>
  <c r="G381" i="8"/>
  <c r="H4274" i="8" a="1"/>
  <c r="F3927" i="8"/>
  <c r="G850" i="8"/>
  <c r="F3405" i="8"/>
  <c r="G3405" i="8"/>
  <c r="H124" i="8" l="1"/>
  <c r="H4187" i="8"/>
  <c r="H4709" i="8"/>
  <c r="H3317" i="8"/>
  <c r="H3839" i="8"/>
  <c r="H3230" i="8"/>
  <c r="H3491" i="8"/>
  <c r="H644" i="8"/>
  <c r="H188" i="8"/>
  <c r="H3056" i="8"/>
  <c r="H4274" i="8"/>
  <c r="H444" i="8"/>
  <c r="H3752" i="8"/>
  <c r="H3404" i="8"/>
  <c r="H252" i="8"/>
  <c r="H4448" i="8"/>
  <c r="H4100" i="8"/>
  <c r="H4535" i="8"/>
  <c r="H380" i="8"/>
  <c r="H4361" i="8"/>
  <c r="H316" i="8"/>
  <c r="H3665" i="8"/>
  <c r="H4797" i="8"/>
  <c r="H508" i="8"/>
  <c r="H708" i="8"/>
  <c r="H579" i="8"/>
  <c r="H4622" i="8"/>
  <c r="H3926" i="8"/>
  <c r="H3143" i="8"/>
  <c r="H3578" i="8"/>
  <c r="H2380" i="8"/>
  <c r="H59" i="8"/>
  <c r="H4013" i="8"/>
  <c r="B190" i="8"/>
  <c r="B126" i="8"/>
  <c r="C2382" i="8"/>
  <c r="B254" i="8"/>
  <c r="C3668" i="8"/>
  <c r="C1212" i="8"/>
  <c r="C1572" i="8"/>
  <c r="B710" i="8"/>
  <c r="C4799" i="8"/>
  <c r="B4277" i="8"/>
  <c r="C852" i="8"/>
  <c r="C1032" i="8"/>
  <c r="B4016" i="8"/>
  <c r="C1122" i="8"/>
  <c r="C2202" i="8"/>
  <c r="C1662" i="8"/>
  <c r="C1932" i="8"/>
  <c r="C3146" i="8"/>
  <c r="C3059" i="8"/>
  <c r="B3494" i="8"/>
  <c r="C4538" i="8"/>
  <c r="C942" i="8"/>
  <c r="B4538" i="8"/>
  <c r="B382" i="8"/>
  <c r="B4451" i="8"/>
  <c r="B4364" i="8"/>
  <c r="B3668" i="8"/>
  <c r="B3929" i="8"/>
  <c r="B4799" i="8"/>
  <c r="B3755" i="8"/>
  <c r="C3581" i="8"/>
  <c r="B3842" i="8"/>
  <c r="B3581" i="8"/>
  <c r="C3494" i="8"/>
  <c r="C1302" i="8"/>
  <c r="C2022" i="8"/>
  <c r="B2402" i="8"/>
  <c r="C191" i="8"/>
  <c r="C127" i="8"/>
  <c r="C4451" i="8"/>
  <c r="B4103" i="8"/>
  <c r="B3146" i="8"/>
  <c r="B3059" i="8"/>
  <c r="C2292" i="8"/>
  <c r="C1842" i="8"/>
  <c r="B3320" i="8"/>
  <c r="C1392" i="8"/>
  <c r="C255" i="8"/>
  <c r="C4712" i="8"/>
  <c r="C672" i="8"/>
  <c r="C582" i="8"/>
  <c r="B4625" i="8"/>
  <c r="B3233" i="8"/>
  <c r="B3407" i="8"/>
  <c r="C3233" i="8"/>
  <c r="C1482" i="8"/>
  <c r="B446" i="8"/>
  <c r="C4190" i="8"/>
  <c r="C4364" i="8"/>
  <c r="B646" i="8"/>
  <c r="B582" i="8"/>
  <c r="B62" i="8"/>
  <c r="C3407" i="8"/>
  <c r="C4103" i="8"/>
  <c r="C4016" i="8"/>
  <c r="C4625" i="8"/>
  <c r="C511" i="8"/>
  <c r="C2112" i="8"/>
  <c r="B4712" i="8"/>
  <c r="B510" i="8"/>
  <c r="C3320" i="8"/>
  <c r="C319" i="8"/>
  <c r="B4190" i="8"/>
  <c r="C447" i="8"/>
  <c r="C3755" i="8"/>
  <c r="C3929" i="8"/>
  <c r="C4277" i="8"/>
  <c r="B318" i="8"/>
  <c r="C762" i="8"/>
  <c r="C383" i="8"/>
  <c r="C3842" i="8"/>
  <c r="C62" i="8"/>
  <c r="C1752" i="8"/>
  <c r="H3405" i="8" a="1"/>
  <c r="G3145" i="8"/>
  <c r="H709" i="8" a="1"/>
  <c r="F317" i="8"/>
  <c r="H189" i="8" a="1"/>
  <c r="F4711" i="8"/>
  <c r="H4710" i="8" a="1"/>
  <c r="F4624" i="8"/>
  <c r="H445" i="8" a="1"/>
  <c r="G3406" i="8"/>
  <c r="F4189" i="8"/>
  <c r="H60" i="8" a="1"/>
  <c r="G3493" i="8"/>
  <c r="G4537" i="8"/>
  <c r="H2381" i="8" a="1"/>
  <c r="G3232" i="8"/>
  <c r="H4449" i="8" a="1"/>
  <c r="G1931" i="8"/>
  <c r="G941" i="8"/>
  <c r="G1481" i="8"/>
  <c r="H4798" i="8" a="1"/>
  <c r="F4102" i="8"/>
  <c r="H3144" i="8" a="1"/>
  <c r="F3058" i="8"/>
  <c r="G4450" i="8"/>
  <c r="H3492" i="8" a="1"/>
  <c r="H645" i="8" a="1"/>
  <c r="F3319" i="8"/>
  <c r="G2201" i="8"/>
  <c r="F510" i="8"/>
  <c r="H3579" i="8" a="1"/>
  <c r="G446" i="8"/>
  <c r="H4536" i="8" a="1"/>
  <c r="F3754" i="8"/>
  <c r="F4799" i="8"/>
  <c r="G1391" i="8"/>
  <c r="G761" i="8"/>
  <c r="G4189" i="8"/>
  <c r="F125" i="8"/>
  <c r="F3145" i="8"/>
  <c r="G1211" i="8"/>
  <c r="H381" i="8" a="1"/>
  <c r="F3232" i="8"/>
  <c r="H317" i="8" a="1"/>
  <c r="F3928" i="8"/>
  <c r="G671" i="8"/>
  <c r="F189" i="8"/>
  <c r="G4276" i="8"/>
  <c r="G126" i="8"/>
  <c r="F4363" i="8"/>
  <c r="G2111" i="8"/>
  <c r="G61" i="8"/>
  <c r="G1121" i="8"/>
  <c r="G1661" i="8"/>
  <c r="H253" i="8" a="1"/>
  <c r="G581" i="8"/>
  <c r="G4711" i="8"/>
  <c r="G3667" i="8"/>
  <c r="H3753" i="8" a="1"/>
  <c r="G1751" i="8"/>
  <c r="H509" i="8" a="1"/>
  <c r="F4537" i="8"/>
  <c r="G851" i="8"/>
  <c r="G2021" i="8"/>
  <c r="G1031" i="8"/>
  <c r="H3666" i="8" a="1"/>
  <c r="G1301" i="8"/>
  <c r="G3580" i="8"/>
  <c r="G511" i="8"/>
  <c r="F3493" i="8"/>
  <c r="G4363" i="8"/>
  <c r="F709" i="8"/>
  <c r="G1571" i="8"/>
  <c r="H580" i="8" a="1"/>
  <c r="G4624" i="8"/>
  <c r="G254" i="8"/>
  <c r="G190" i="8"/>
  <c r="G382" i="8"/>
  <c r="F3406" i="8"/>
  <c r="H3231" i="8" a="1"/>
  <c r="G4102" i="8"/>
  <c r="F253" i="8"/>
  <c r="G1841" i="8"/>
  <c r="F381" i="8"/>
  <c r="F645" i="8"/>
  <c r="H4362" i="8" a="1"/>
  <c r="H3927" i="8" a="1"/>
  <c r="H125" i="8" a="1"/>
  <c r="F581" i="8"/>
  <c r="H4623" i="8" a="1"/>
  <c r="F4276" i="8"/>
  <c r="H4101" i="8" a="1"/>
  <c r="G4015" i="8"/>
  <c r="F4450" i="8"/>
  <c r="G3841" i="8"/>
  <c r="H4188" i="8" a="1"/>
  <c r="G3319" i="8"/>
  <c r="H3318" i="8" a="1"/>
  <c r="F3841" i="8"/>
  <c r="H3057" i="8" a="1"/>
  <c r="H4014" i="8" a="1"/>
  <c r="H3840" i="8" a="1"/>
  <c r="G3928" i="8"/>
  <c r="H4275" i="8" a="1"/>
  <c r="F3667" i="8"/>
  <c r="G2382" i="8"/>
  <c r="F445" i="8"/>
  <c r="F3580" i="8"/>
  <c r="G318" i="8"/>
  <c r="G2291" i="8"/>
  <c r="G3754" i="8"/>
  <c r="F2401" i="8"/>
  <c r="G3058" i="8"/>
  <c r="F4015" i="8"/>
  <c r="F61" i="8"/>
  <c r="G4799" i="8"/>
  <c r="H253" i="8" l="1"/>
  <c r="H317" i="8"/>
  <c r="H381" i="8"/>
  <c r="H3927" i="8"/>
  <c r="H3492" i="8"/>
  <c r="H4014" i="8"/>
  <c r="H60" i="8"/>
  <c r="H509" i="8"/>
  <c r="H645" i="8"/>
  <c r="H3057" i="8"/>
  <c r="H4101" i="8"/>
  <c r="H189" i="8"/>
  <c r="H3231" i="8"/>
  <c r="H580" i="8"/>
  <c r="H3666" i="8"/>
  <c r="H4362" i="8"/>
  <c r="H3753" i="8"/>
  <c r="H3144" i="8"/>
  <c r="H4449" i="8"/>
  <c r="H445" i="8"/>
  <c r="H4536" i="8"/>
  <c r="H4275" i="8"/>
  <c r="H3318" i="8"/>
  <c r="H4623" i="8"/>
  <c r="H709" i="8"/>
  <c r="H4798" i="8"/>
  <c r="H2381" i="8"/>
  <c r="H4710" i="8"/>
  <c r="H3579" i="8"/>
  <c r="H3840" i="8"/>
  <c r="H4188" i="8"/>
  <c r="H125" i="8"/>
  <c r="H3405" i="8"/>
  <c r="C4713" i="8"/>
  <c r="C4191" i="8"/>
  <c r="B63" i="8"/>
  <c r="C63" i="8"/>
  <c r="C3930" i="8"/>
  <c r="C853" i="8"/>
  <c r="C4365" i="8"/>
  <c r="C3843" i="8"/>
  <c r="B4278" i="8"/>
  <c r="C3408" i="8"/>
  <c r="B4800" i="8"/>
  <c r="C4104" i="8"/>
  <c r="C3495" i="8"/>
  <c r="B647" i="8"/>
  <c r="B583" i="8"/>
  <c r="C4278" i="8"/>
  <c r="C763" i="8"/>
  <c r="C320" i="8"/>
  <c r="B3234" i="8"/>
  <c r="C4539" i="8"/>
  <c r="C1393" i="8"/>
  <c r="C4626" i="8"/>
  <c r="C2023" i="8"/>
  <c r="C2293" i="8"/>
  <c r="B4104" i="8"/>
  <c r="C943" i="8"/>
  <c r="B255" i="8"/>
  <c r="C4017" i="8"/>
  <c r="C2203" i="8"/>
  <c r="B711" i="8"/>
  <c r="C1573" i="8"/>
  <c r="B3495" i="8"/>
  <c r="B4713" i="8"/>
  <c r="C1933" i="8"/>
  <c r="B2403" i="8"/>
  <c r="B3669" i="8"/>
  <c r="C3669" i="8"/>
  <c r="B3756" i="8"/>
  <c r="B4539" i="8"/>
  <c r="B4626" i="8"/>
  <c r="C3147" i="8"/>
  <c r="C3060" i="8"/>
  <c r="C1753" i="8"/>
  <c r="C1213" i="8"/>
  <c r="C1663" i="8"/>
  <c r="C3756" i="8"/>
  <c r="C1843" i="8"/>
  <c r="B383" i="8"/>
  <c r="C384" i="8"/>
  <c r="C4800" i="8"/>
  <c r="C1483" i="8"/>
  <c r="B4191" i="8"/>
  <c r="C192" i="8"/>
  <c r="C128" i="8"/>
  <c r="C1033" i="8"/>
  <c r="C3234" i="8"/>
  <c r="C1123" i="8"/>
  <c r="B4365" i="8"/>
  <c r="C448" i="8"/>
  <c r="C512" i="8"/>
  <c r="C3321" i="8"/>
  <c r="C4452" i="8"/>
  <c r="B511" i="8"/>
  <c r="B3321" i="8"/>
  <c r="C673" i="8"/>
  <c r="C583" i="8"/>
  <c r="B3408" i="8"/>
  <c r="C2383" i="8"/>
  <c r="B3147" i="8"/>
  <c r="B3060" i="8"/>
  <c r="C256" i="8"/>
  <c r="C2113" i="8"/>
  <c r="C3582" i="8"/>
  <c r="B3930" i="8"/>
  <c r="B3843" i="8"/>
  <c r="B4017" i="8"/>
  <c r="B4452" i="8"/>
  <c r="B447" i="8"/>
  <c r="B3582" i="8"/>
  <c r="C1303" i="8"/>
  <c r="B319" i="8"/>
  <c r="B191" i="8"/>
  <c r="B127" i="8"/>
  <c r="H318" i="8" a="1"/>
  <c r="H510" i="8" a="1"/>
  <c r="H4450" i="8" a="1"/>
  <c r="F2402" i="8"/>
  <c r="G3320" i="8"/>
  <c r="H61" i="8" a="1"/>
  <c r="F254" i="8"/>
  <c r="F4190" i="8"/>
  <c r="H254" i="8" a="1"/>
  <c r="G3929" i="8"/>
  <c r="G4103" i="8"/>
  <c r="G3233" i="8"/>
  <c r="F190" i="8"/>
  <c r="H710" i="8" a="1"/>
  <c r="H3406" i="8" a="1"/>
  <c r="G582" i="8"/>
  <c r="G762" i="8"/>
  <c r="F3755" i="8"/>
  <c r="F3581" i="8"/>
  <c r="H3145" i="8" a="1"/>
  <c r="H3580" i="8" a="1"/>
  <c r="G319" i="8"/>
  <c r="H4189" i="8" a="1"/>
  <c r="G1122" i="8"/>
  <c r="F646" i="8"/>
  <c r="G1392" i="8"/>
  <c r="G1032" i="8"/>
  <c r="F4800" i="8"/>
  <c r="F382" i="8"/>
  <c r="F3929" i="8"/>
  <c r="H4624" i="8" a="1"/>
  <c r="G512" i="8"/>
  <c r="H3928" i="8" a="1"/>
  <c r="G4800" i="8"/>
  <c r="F3407" i="8"/>
  <c r="F4016" i="8"/>
  <c r="H3754" i="8" a="1"/>
  <c r="G1572" i="8"/>
  <c r="H4276" i="8" a="1"/>
  <c r="G3581" i="8"/>
  <c r="G4016" i="8"/>
  <c r="H581" i="8" a="1"/>
  <c r="F4538" i="8"/>
  <c r="G191" i="8"/>
  <c r="F62" i="8"/>
  <c r="G447" i="8"/>
  <c r="G4538" i="8"/>
  <c r="H3667" i="8" a="1"/>
  <c r="G4712" i="8"/>
  <c r="F3146" i="8"/>
  <c r="H446" i="8" a="1"/>
  <c r="G2383" i="8"/>
  <c r="G4190" i="8"/>
  <c r="G3059" i="8"/>
  <c r="F126" i="8"/>
  <c r="H190" i="8" a="1"/>
  <c r="F4364" i="8"/>
  <c r="G255" i="8"/>
  <c r="H4799" i="8" a="1"/>
  <c r="G3668" i="8"/>
  <c r="F3059" i="8"/>
  <c r="H2382" i="8" a="1"/>
  <c r="F3233" i="8"/>
  <c r="H4363" i="8" a="1"/>
  <c r="F4277" i="8"/>
  <c r="G1842" i="8"/>
  <c r="H3232" i="8" a="1"/>
  <c r="G383" i="8"/>
  <c r="G1662" i="8"/>
  <c r="F4712" i="8"/>
  <c r="H3058" i="8" a="1"/>
  <c r="G1482" i="8"/>
  <c r="G62" i="8"/>
  <c r="F511" i="8"/>
  <c r="G2112" i="8"/>
  <c r="G3842" i="8"/>
  <c r="G3494" i="8"/>
  <c r="G2202" i="8"/>
  <c r="H3319" i="8" a="1"/>
  <c r="F4103" i="8"/>
  <c r="F582" i="8"/>
  <c r="G4277" i="8"/>
  <c r="G1212" i="8"/>
  <c r="G852" i="8"/>
  <c r="H4711" i="8" a="1"/>
  <c r="G942" i="8"/>
  <c r="G4364" i="8"/>
  <c r="G4625" i="8"/>
  <c r="G127" i="8"/>
  <c r="G4451" i="8"/>
  <c r="H4015" i="8" a="1"/>
  <c r="F318" i="8"/>
  <c r="G672" i="8"/>
  <c r="G2022" i="8"/>
  <c r="H3493" i="8" a="1"/>
  <c r="G1752" i="8"/>
  <c r="H382" i="8" a="1"/>
  <c r="F4451" i="8"/>
  <c r="G1302" i="8"/>
  <c r="H4102" i="8" a="1"/>
  <c r="F3842" i="8"/>
  <c r="G3407" i="8"/>
  <c r="H4537" i="8" a="1"/>
  <c r="F4625" i="8"/>
  <c r="G3755" i="8"/>
  <c r="F3320" i="8"/>
  <c r="H646" i="8" a="1"/>
  <c r="G3146" i="8"/>
  <c r="F3668" i="8"/>
  <c r="F3494" i="8"/>
  <c r="H126" i="8" a="1"/>
  <c r="F710" i="8"/>
  <c r="H3841" i="8" a="1"/>
  <c r="G2292" i="8"/>
  <c r="G1932" i="8"/>
  <c r="F446" i="8"/>
  <c r="H710" i="8" l="1"/>
  <c r="H646" i="8"/>
  <c r="H3145" i="8"/>
  <c r="H3232" i="8"/>
  <c r="H61" i="8"/>
  <c r="H126" i="8"/>
  <c r="H4102" i="8"/>
  <c r="H581" i="8"/>
  <c r="H4711" i="8"/>
  <c r="H3319" i="8"/>
  <c r="H3667" i="8"/>
  <c r="H4015" i="8"/>
  <c r="H4799" i="8"/>
  <c r="H3841" i="8"/>
  <c r="H4363" i="8"/>
  <c r="H3928" i="8"/>
  <c r="H4189" i="8"/>
  <c r="H382" i="8"/>
  <c r="H4276" i="8"/>
  <c r="H4450" i="8"/>
  <c r="H4537" i="8"/>
  <c r="H3058" i="8"/>
  <c r="H254" i="8"/>
  <c r="H510" i="8"/>
  <c r="H190" i="8"/>
  <c r="H446" i="8"/>
  <c r="H3406" i="8"/>
  <c r="H2382" i="8"/>
  <c r="H4624" i="8"/>
  <c r="H3580" i="8"/>
  <c r="H3493" i="8"/>
  <c r="H3754" i="8"/>
  <c r="H318" i="8"/>
  <c r="B4540" i="8"/>
  <c r="B3409" i="8"/>
  <c r="B4279" i="8"/>
  <c r="C3844" i="8"/>
  <c r="C674" i="8"/>
  <c r="C584" i="8"/>
  <c r="C3409" i="8"/>
  <c r="C1124" i="8"/>
  <c r="C257" i="8"/>
  <c r="C449" i="8"/>
  <c r="C1934" i="8"/>
  <c r="C1754" i="8"/>
  <c r="B3757" i="8"/>
  <c r="C2024" i="8"/>
  <c r="B3583" i="8"/>
  <c r="C1484" i="8"/>
  <c r="C3583" i="8"/>
  <c r="B4366" i="8"/>
  <c r="C4453" i="8"/>
  <c r="C4018" i="8"/>
  <c r="B64" i="8"/>
  <c r="C4801" i="8"/>
  <c r="B512" i="8"/>
  <c r="B4105" i="8"/>
  <c r="B4018" i="8"/>
  <c r="C2204" i="8"/>
  <c r="B3061" i="8"/>
  <c r="B3148" i="8"/>
  <c r="C764" i="8"/>
  <c r="C513" i="8"/>
  <c r="C1214" i="8"/>
  <c r="C1304" i="8"/>
  <c r="B4714" i="8"/>
  <c r="B3844" i="8"/>
  <c r="C4105" i="8"/>
  <c r="B320" i="8"/>
  <c r="B4192" i="8"/>
  <c r="C2114" i="8"/>
  <c r="B3322" i="8"/>
  <c r="C854" i="8"/>
  <c r="B648" i="8"/>
  <c r="B584" i="8"/>
  <c r="C944" i="8"/>
  <c r="B192" i="8"/>
  <c r="B128" i="8"/>
  <c r="B3496" i="8"/>
  <c r="C3148" i="8"/>
  <c r="C3061" i="8"/>
  <c r="B712" i="8"/>
  <c r="C4192" i="8"/>
  <c r="C3496" i="8"/>
  <c r="C3931" i="8"/>
  <c r="C64" i="8"/>
  <c r="C4279" i="8"/>
  <c r="B384" i="8"/>
  <c r="B3235" i="8"/>
  <c r="B448" i="8"/>
  <c r="B256" i="8"/>
  <c r="C1394" i="8"/>
  <c r="B3670" i="8"/>
  <c r="B3931" i="8"/>
  <c r="C3670" i="8"/>
  <c r="C321" i="8"/>
  <c r="C4540" i="8"/>
  <c r="B4453" i="8"/>
  <c r="C3322" i="8"/>
  <c r="C193" i="8"/>
  <c r="C129" i="8"/>
  <c r="C1574" i="8"/>
  <c r="C1844" i="8"/>
  <c r="C3235" i="8"/>
  <c r="B4627" i="8"/>
  <c r="C3757" i="8"/>
  <c r="B2404" i="8"/>
  <c r="B4801" i="8"/>
  <c r="C1664" i="8"/>
  <c r="C2294" i="8"/>
  <c r="C1034" i="8"/>
  <c r="C2384" i="8"/>
  <c r="C4714" i="8"/>
  <c r="C4627" i="8"/>
  <c r="C385" i="8"/>
  <c r="C4366" i="8"/>
  <c r="H191" i="8" a="1"/>
  <c r="F3756" i="8"/>
  <c r="G3408" i="8"/>
  <c r="H447" i="8" a="1"/>
  <c r="F3582" i="8"/>
  <c r="F3669" i="8"/>
  <c r="H4016" i="8" a="1"/>
  <c r="G2113" i="8"/>
  <c r="G1573" i="8"/>
  <c r="H4364" i="8" a="1"/>
  <c r="G3060" i="8"/>
  <c r="H4451" i="8" a="1"/>
  <c r="F711" i="8"/>
  <c r="G192" i="8"/>
  <c r="H3059" i="8" a="1"/>
  <c r="G2023" i="8"/>
  <c r="F191" i="8"/>
  <c r="G583" i="8"/>
  <c r="F3495" i="8"/>
  <c r="G3756" i="8"/>
  <c r="G3495" i="8"/>
  <c r="G1213" i="8"/>
  <c r="G320" i="8"/>
  <c r="H4538" i="8" a="1"/>
  <c r="H511" i="8" a="1"/>
  <c r="H319" i="8" a="1"/>
  <c r="F447" i="8"/>
  <c r="G4452" i="8"/>
  <c r="G1843" i="8"/>
  <c r="F4713" i="8"/>
  <c r="H3407" i="8" a="1"/>
  <c r="H3581" i="8" a="1"/>
  <c r="G4104" i="8"/>
  <c r="F4801" i="8"/>
  <c r="G384" i="8"/>
  <c r="F583" i="8"/>
  <c r="F3408" i="8"/>
  <c r="H3233" i="8" a="1"/>
  <c r="F255" i="8"/>
  <c r="F3147" i="8"/>
  <c r="H4625" i="8" a="1"/>
  <c r="G2384" i="8"/>
  <c r="F3321" i="8"/>
  <c r="G1483" i="8"/>
  <c r="H711" i="8" a="1"/>
  <c r="H3494" i="8" a="1"/>
  <c r="G4191" i="8"/>
  <c r="H4277" i="8" a="1"/>
  <c r="G1393" i="8"/>
  <c r="F4365" i="8"/>
  <c r="F512" i="8"/>
  <c r="H3320" i="8" a="1"/>
  <c r="G1033" i="8"/>
  <c r="G3669" i="8"/>
  <c r="G4539" i="8"/>
  <c r="H3842" i="8" a="1"/>
  <c r="G3234" i="8"/>
  <c r="G4365" i="8"/>
  <c r="G3930" i="8"/>
  <c r="H383" i="8" a="1"/>
  <c r="G4278" i="8"/>
  <c r="H4190" i="8" a="1"/>
  <c r="G3843" i="8"/>
  <c r="H2383" i="8" a="1"/>
  <c r="G1933" i="8"/>
  <c r="F383" i="8"/>
  <c r="F63" i="8"/>
  <c r="G2203" i="8"/>
  <c r="H647" i="8" a="1"/>
  <c r="F4191" i="8"/>
  <c r="G1753" i="8"/>
  <c r="G513" i="8"/>
  <c r="F4017" i="8"/>
  <c r="H62" i="8" a="1"/>
  <c r="F4104" i="8"/>
  <c r="H582" i="8" a="1"/>
  <c r="G3582" i="8"/>
  <c r="G3321" i="8"/>
  <c r="F4278" i="8"/>
  <c r="G673" i="8"/>
  <c r="G4801" i="8"/>
  <c r="F2403" i="8"/>
  <c r="F3843" i="8"/>
  <c r="G853" i="8"/>
  <c r="H3929" i="8" a="1"/>
  <c r="G763" i="8"/>
  <c r="F4452" i="8"/>
  <c r="G128" i="8"/>
  <c r="F3930" i="8"/>
  <c r="G4713" i="8"/>
  <c r="H4712" i="8" a="1"/>
  <c r="G4017" i="8"/>
  <c r="H3668" i="8" a="1"/>
  <c r="G256" i="8"/>
  <c r="G448" i="8"/>
  <c r="G4626" i="8"/>
  <c r="H3755" i="8" a="1"/>
  <c r="F647" i="8"/>
  <c r="H127" i="8" a="1"/>
  <c r="G3147" i="8"/>
  <c r="G1663" i="8"/>
  <c r="F4539" i="8"/>
  <c r="F319" i="8"/>
  <c r="G1123" i="8"/>
  <c r="H4800" i="8" a="1"/>
  <c r="F3234" i="8"/>
  <c r="H4103" i="8" a="1"/>
  <c r="F4626" i="8"/>
  <c r="G2293" i="8"/>
  <c r="G63" i="8"/>
  <c r="G1303" i="8"/>
  <c r="F127" i="8"/>
  <c r="F3060" i="8"/>
  <c r="G943" i="8"/>
  <c r="H3146" i="8" a="1"/>
  <c r="H255" i="8" a="1"/>
  <c r="H711" i="8" l="1"/>
  <c r="H255" i="8"/>
  <c r="H4103" i="8"/>
  <c r="H4016" i="8"/>
  <c r="H3668" i="8"/>
  <c r="H647" i="8"/>
  <c r="H3407" i="8"/>
  <c r="H319" i="8"/>
  <c r="H127" i="8"/>
  <c r="H4451" i="8"/>
  <c r="H3929" i="8"/>
  <c r="H4800" i="8"/>
  <c r="H62" i="8"/>
  <c r="H4712" i="8"/>
  <c r="H383" i="8"/>
  <c r="H3146" i="8"/>
  <c r="H511" i="8"/>
  <c r="H4625" i="8"/>
  <c r="H447" i="8"/>
  <c r="H4538" i="8"/>
  <c r="H3755" i="8"/>
  <c r="H4364" i="8"/>
  <c r="H4277" i="8"/>
  <c r="H2383" i="8"/>
  <c r="H3842" i="8"/>
  <c r="H582" i="8"/>
  <c r="H3494" i="8"/>
  <c r="H4190" i="8"/>
  <c r="H3581" i="8"/>
  <c r="H3320" i="8"/>
  <c r="H3059" i="8"/>
  <c r="H3233" i="8"/>
  <c r="H191" i="8"/>
  <c r="B2405" i="8"/>
  <c r="C1935" i="8"/>
  <c r="C1485" i="8"/>
  <c r="B385" i="8"/>
  <c r="B3932" i="8"/>
  <c r="C1395" i="8"/>
  <c r="C765" i="8"/>
  <c r="B4628" i="8"/>
  <c r="C258" i="8"/>
  <c r="B4541" i="8"/>
  <c r="C386" i="8"/>
  <c r="B4019" i="8"/>
  <c r="B513" i="8"/>
  <c r="B449" i="8"/>
  <c r="C3584" i="8"/>
  <c r="B257" i="8"/>
  <c r="B649" i="8"/>
  <c r="B585" i="8"/>
  <c r="C1305" i="8"/>
  <c r="B3149" i="8"/>
  <c r="B3062" i="8"/>
  <c r="B4106" i="8"/>
  <c r="C4541" i="8"/>
  <c r="C3671" i="8"/>
  <c r="B3671" i="8"/>
  <c r="C322" i="8"/>
  <c r="C3497" i="8"/>
  <c r="C2205" i="8"/>
  <c r="B65" i="8"/>
  <c r="B3845" i="8"/>
  <c r="C2025" i="8"/>
  <c r="B4367" i="8"/>
  <c r="C2385" i="8"/>
  <c r="C3845" i="8"/>
  <c r="C3410" i="8"/>
  <c r="C65" i="8"/>
  <c r="B3584" i="8"/>
  <c r="B713" i="8"/>
  <c r="B3410" i="8"/>
  <c r="B4280" i="8"/>
  <c r="C4193" i="8"/>
  <c r="B4802" i="8"/>
  <c r="C855" i="8"/>
  <c r="C2295" i="8"/>
  <c r="C1845" i="8"/>
  <c r="C3932" i="8"/>
  <c r="B3497" i="8"/>
  <c r="C450" i="8"/>
  <c r="C4802" i="8"/>
  <c r="C1755" i="8"/>
  <c r="B4715" i="8"/>
  <c r="C194" i="8"/>
  <c r="C130" i="8"/>
  <c r="C4367" i="8"/>
  <c r="C4019" i="8"/>
  <c r="C4280" i="8"/>
  <c r="C3236" i="8"/>
  <c r="B193" i="8"/>
  <c r="B129" i="8"/>
  <c r="C4454" i="8"/>
  <c r="C4715" i="8"/>
  <c r="C3323" i="8"/>
  <c r="C1665" i="8"/>
  <c r="C3758" i="8"/>
  <c r="C1125" i="8"/>
  <c r="C4628" i="8"/>
  <c r="B3758" i="8"/>
  <c r="B321" i="8"/>
  <c r="B3323" i="8"/>
  <c r="C3062" i="8"/>
  <c r="C3149" i="8"/>
  <c r="C1035" i="8"/>
  <c r="C945" i="8"/>
  <c r="B3236" i="8"/>
  <c r="B4193" i="8"/>
  <c r="C4106" i="8"/>
  <c r="B4454" i="8"/>
  <c r="C1575" i="8"/>
  <c r="C2115" i="8"/>
  <c r="C514" i="8"/>
  <c r="C1215" i="8"/>
  <c r="C675" i="8"/>
  <c r="C585" i="8"/>
  <c r="H3495" i="8" a="1"/>
  <c r="G257" i="8"/>
  <c r="F584" i="8"/>
  <c r="G3931" i="8"/>
  <c r="F4540" i="8"/>
  <c r="G4802" i="8"/>
  <c r="H4452" i="8" a="1"/>
  <c r="G4714" i="8"/>
  <c r="G3844" i="8"/>
  <c r="H4278" i="8" a="1"/>
  <c r="F3061" i="8"/>
  <c r="H3147" i="8" a="1"/>
  <c r="G129" i="8"/>
  <c r="G1664" i="8"/>
  <c r="H3060" i="8" a="1"/>
  <c r="F4279" i="8"/>
  <c r="H648" i="8" a="1"/>
  <c r="F3235" i="8"/>
  <c r="F384" i="8"/>
  <c r="H3756" i="8" a="1"/>
  <c r="H4801" i="8" a="1"/>
  <c r="F256" i="8"/>
  <c r="G4192" i="8"/>
  <c r="H63" i="8" a="1"/>
  <c r="F3583" i="8"/>
  <c r="G3670" i="8"/>
  <c r="F3322" i="8"/>
  <c r="G2294" i="8"/>
  <c r="G3322" i="8"/>
  <c r="F4627" i="8"/>
  <c r="H4365" i="8" a="1"/>
  <c r="G2204" i="8"/>
  <c r="F4714" i="8"/>
  <c r="G2024" i="8"/>
  <c r="G3409" i="8"/>
  <c r="G3757" i="8"/>
  <c r="G1394" i="8"/>
  <c r="H256" i="8" a="1"/>
  <c r="G1034" i="8"/>
  <c r="H320" i="8" a="1"/>
  <c r="F64" i="8"/>
  <c r="H4626" i="8" a="1"/>
  <c r="F4366" i="8"/>
  <c r="H3234" i="8" a="1"/>
  <c r="H3582" i="8" a="1"/>
  <c r="G3235" i="8"/>
  <c r="G4279" i="8"/>
  <c r="H3669" i="8" a="1"/>
  <c r="G4453" i="8"/>
  <c r="F513" i="8"/>
  <c r="G321" i="8"/>
  <c r="H583" i="8" a="1"/>
  <c r="G4018" i="8"/>
  <c r="H4104" i="8" a="1"/>
  <c r="G4366" i="8"/>
  <c r="F2404" i="8"/>
  <c r="F3148" i="8"/>
  <c r="G1574" i="8"/>
  <c r="H2384" i="8" a="1"/>
  <c r="F3670" i="8"/>
  <c r="G3148" i="8"/>
  <c r="G3496" i="8"/>
  <c r="H3408" i="8" a="1"/>
  <c r="G449" i="8"/>
  <c r="G1844" i="8"/>
  <c r="G1754" i="8"/>
  <c r="G674" i="8"/>
  <c r="F4802" i="8"/>
  <c r="G764" i="8"/>
  <c r="G193" i="8"/>
  <c r="H192" i="8" a="1"/>
  <c r="G944" i="8"/>
  <c r="H128" i="8" a="1"/>
  <c r="G1934" i="8"/>
  <c r="G1124" i="8"/>
  <c r="G3583" i="8"/>
  <c r="F4453" i="8"/>
  <c r="G385" i="8"/>
  <c r="G1304" i="8"/>
  <c r="F128" i="8"/>
  <c r="G64" i="8"/>
  <c r="H4539" i="8" a="1"/>
  <c r="F448" i="8"/>
  <c r="H3321" i="8" a="1"/>
  <c r="G1484" i="8"/>
  <c r="H448" i="8" a="1"/>
  <c r="H384" i="8" a="1"/>
  <c r="H4017" i="8" a="1"/>
  <c r="F3757" i="8"/>
  <c r="G2385" i="8"/>
  <c r="G4627" i="8"/>
  <c r="F3931" i="8"/>
  <c r="G3061" i="8"/>
  <c r="G4105" i="8"/>
  <c r="G4540" i="8"/>
  <c r="H512" i="8" a="1"/>
  <c r="F4018" i="8"/>
  <c r="H4191" i="8" a="1"/>
  <c r="F3496" i="8"/>
  <c r="F320" i="8"/>
  <c r="F4105" i="8"/>
  <c r="H3930" i="8" a="1"/>
  <c r="F648" i="8"/>
  <c r="F4192" i="8"/>
  <c r="G854" i="8"/>
  <c r="F192" i="8"/>
  <c r="G584" i="8"/>
  <c r="F3409" i="8"/>
  <c r="G514" i="8"/>
  <c r="F3844" i="8"/>
  <c r="H712" i="8" a="1"/>
  <c r="H4713" i="8" a="1"/>
  <c r="G1214" i="8"/>
  <c r="H3843" i="8" a="1"/>
  <c r="G2114" i="8"/>
  <c r="F712" i="8"/>
  <c r="H712" i="8" l="1"/>
  <c r="H512" i="8"/>
  <c r="H4104" i="8"/>
  <c r="H3234" i="8"/>
  <c r="H4626" i="8"/>
  <c r="H384" i="8"/>
  <c r="H4713" i="8"/>
  <c r="H3756" i="8"/>
  <c r="H3147" i="8"/>
  <c r="H4539" i="8"/>
  <c r="H448" i="8"/>
  <c r="H3843" i="8"/>
  <c r="H128" i="8"/>
  <c r="H320" i="8"/>
  <c r="H2384" i="8"/>
  <c r="H63" i="8"/>
  <c r="H3669" i="8"/>
  <c r="H4278" i="8"/>
  <c r="H648" i="8"/>
  <c r="H4191" i="8"/>
  <c r="H3408" i="8"/>
  <c r="H3321" i="8"/>
  <c r="H583" i="8"/>
  <c r="H192" i="8"/>
  <c r="H256" i="8"/>
  <c r="H4801" i="8"/>
  <c r="H3582" i="8"/>
  <c r="H4452" i="8"/>
  <c r="H4365" i="8"/>
  <c r="H3930" i="8"/>
  <c r="H3060" i="8"/>
  <c r="H4017" i="8"/>
  <c r="H3495" i="8"/>
  <c r="C1306" i="8"/>
  <c r="C1666" i="8"/>
  <c r="C4194" i="8"/>
  <c r="C3846" i="8"/>
  <c r="C4368" i="8"/>
  <c r="C4020" i="8"/>
  <c r="B4368" i="8"/>
  <c r="C66" i="8"/>
  <c r="C2206" i="8"/>
  <c r="B4281" i="8"/>
  <c r="C1036" i="8"/>
  <c r="C3237" i="8"/>
  <c r="B386" i="8"/>
  <c r="C4716" i="8"/>
  <c r="C3411" i="8"/>
  <c r="C4542" i="8"/>
  <c r="C4107" i="8"/>
  <c r="B4803" i="8"/>
  <c r="C1936" i="8"/>
  <c r="C3933" i="8"/>
  <c r="B4455" i="8"/>
  <c r="B3933" i="8"/>
  <c r="C2296" i="8"/>
  <c r="C387" i="8"/>
  <c r="C3759" i="8"/>
  <c r="B4194" i="8"/>
  <c r="C1396" i="8"/>
  <c r="B714" i="8"/>
  <c r="C3672" i="8"/>
  <c r="C451" i="8"/>
  <c r="C323" i="8"/>
  <c r="C1576" i="8"/>
  <c r="B2406" i="8"/>
  <c r="C1216" i="8"/>
  <c r="C1756" i="8"/>
  <c r="C3324" i="8"/>
  <c r="C946" i="8"/>
  <c r="C4281" i="8"/>
  <c r="B3498" i="8"/>
  <c r="B4629" i="8"/>
  <c r="B4542" i="8"/>
  <c r="C195" i="8"/>
  <c r="C131" i="8"/>
  <c r="B3585" i="8"/>
  <c r="C586" i="8"/>
  <c r="C676" i="8"/>
  <c r="B3324" i="8"/>
  <c r="C3150" i="8"/>
  <c r="C3063" i="8"/>
  <c r="B3411" i="8"/>
  <c r="B3846" i="8"/>
  <c r="C4803" i="8"/>
  <c r="B194" i="8"/>
  <c r="B130" i="8"/>
  <c r="C259" i="8"/>
  <c r="C1846" i="8"/>
  <c r="C515" i="8"/>
  <c r="C2386" i="8"/>
  <c r="B3672" i="8"/>
  <c r="C3498" i="8"/>
  <c r="C2116" i="8"/>
  <c r="B66" i="8"/>
  <c r="C3585" i="8"/>
  <c r="B3759" i="8"/>
  <c r="C4629" i="8"/>
  <c r="B3150" i="8"/>
  <c r="B3063" i="8"/>
  <c r="B322" i="8"/>
  <c r="B514" i="8"/>
  <c r="B4107" i="8"/>
  <c r="B4716" i="8"/>
  <c r="C1486" i="8"/>
  <c r="B450" i="8"/>
  <c r="C2026" i="8"/>
  <c r="C766" i="8"/>
  <c r="C1126" i="8"/>
  <c r="B258" i="8"/>
  <c r="C4455" i="8"/>
  <c r="B3237" i="8"/>
  <c r="B650" i="8"/>
  <c r="B586" i="8"/>
  <c r="C856" i="8"/>
  <c r="B4020" i="8"/>
  <c r="H3670" i="8" a="1"/>
  <c r="G322" i="8"/>
  <c r="H257" i="8" a="1"/>
  <c r="G2386" i="8"/>
  <c r="G4628" i="8"/>
  <c r="G855" i="8"/>
  <c r="H584" i="8" a="1"/>
  <c r="F4106" i="8"/>
  <c r="H193" i="8" a="1"/>
  <c r="F257" i="8"/>
  <c r="F4715" i="8"/>
  <c r="H4366" i="8" a="1"/>
  <c r="G130" i="8"/>
  <c r="G1035" i="8"/>
  <c r="H3322" i="8" a="1"/>
  <c r="F649" i="8"/>
  <c r="G1575" i="8"/>
  <c r="F4019" i="8"/>
  <c r="H713" i="8" a="1"/>
  <c r="G1215" i="8"/>
  <c r="G4280" i="8"/>
  <c r="G194" i="8"/>
  <c r="G2205" i="8"/>
  <c r="H129" i="8" a="1"/>
  <c r="G3236" i="8"/>
  <c r="H2385" i="8" a="1"/>
  <c r="G3671" i="8"/>
  <c r="H3583" i="8" a="1"/>
  <c r="G2295" i="8"/>
  <c r="F2405" i="8"/>
  <c r="H385" i="8" a="1"/>
  <c r="G1665" i="8"/>
  <c r="G4454" i="8"/>
  <c r="G4367" i="8"/>
  <c r="G4193" i="8"/>
  <c r="F193" i="8"/>
  <c r="H4279" i="8" a="1"/>
  <c r="F3410" i="8"/>
  <c r="F4803" i="8"/>
  <c r="F3932" i="8"/>
  <c r="G1305" i="8"/>
  <c r="H4018" i="8" a="1"/>
  <c r="G515" i="8"/>
  <c r="F65" i="8"/>
  <c r="H321" i="8" a="1"/>
  <c r="F4454" i="8"/>
  <c r="F713" i="8"/>
  <c r="H4540" i="8" a="1"/>
  <c r="G1125" i="8"/>
  <c r="G258" i="8"/>
  <c r="F321" i="8"/>
  <c r="H3148" i="8" a="1"/>
  <c r="F3497" i="8"/>
  <c r="G675" i="8"/>
  <c r="F3671" i="8"/>
  <c r="F4280" i="8"/>
  <c r="G3497" i="8"/>
  <c r="H649" i="8" a="1"/>
  <c r="H64" i="8" a="1"/>
  <c r="F514" i="8"/>
  <c r="G585" i="8"/>
  <c r="G2115" i="8"/>
  <c r="G765" i="8"/>
  <c r="G386" i="8"/>
  <c r="H4627" i="8" a="1"/>
  <c r="F4541" i="8"/>
  <c r="H3496" i="8" a="1"/>
  <c r="F4628" i="8"/>
  <c r="H4192" i="8" a="1"/>
  <c r="G945" i="8"/>
  <c r="H3757" i="8" a="1"/>
  <c r="G1485" i="8"/>
  <c r="H3235" i="8" a="1"/>
  <c r="G4803" i="8"/>
  <c r="G450" i="8"/>
  <c r="F3845" i="8"/>
  <c r="H3844" i="8" a="1"/>
  <c r="G1755" i="8"/>
  <c r="F4193" i="8"/>
  <c r="H3931" i="8" a="1"/>
  <c r="G3323" i="8"/>
  <c r="H4105" i="8" a="1"/>
  <c r="F3236" i="8"/>
  <c r="G3758" i="8"/>
  <c r="H4714" i="8" a="1"/>
  <c r="G1935" i="8"/>
  <c r="G4019" i="8"/>
  <c r="H3061" i="8" a="1"/>
  <c r="G3062" i="8"/>
  <c r="G3932" i="8"/>
  <c r="G3410" i="8"/>
  <c r="G3584" i="8"/>
  <c r="F3149" i="8"/>
  <c r="F385" i="8"/>
  <c r="G1845" i="8"/>
  <c r="H449" i="8" a="1"/>
  <c r="F3758" i="8"/>
  <c r="G65" i="8"/>
  <c r="H4802" i="8" a="1"/>
  <c r="H4453" i="8" a="1"/>
  <c r="H513" i="8" a="1"/>
  <c r="G3149" i="8"/>
  <c r="G1395" i="8"/>
  <c r="F4367" i="8"/>
  <c r="H3409" i="8" a="1"/>
  <c r="F3323" i="8"/>
  <c r="F585" i="8"/>
  <c r="G3845" i="8"/>
  <c r="G2025" i="8"/>
  <c r="F3062" i="8"/>
  <c r="G4715" i="8"/>
  <c r="F129" i="8"/>
  <c r="G4106" i="8"/>
  <c r="F449" i="8"/>
  <c r="F3584" i="8"/>
  <c r="G4541" i="8"/>
  <c r="H3496" i="8" l="1"/>
  <c r="H4714" i="8"/>
  <c r="H2385" i="8"/>
  <c r="H4192" i="8"/>
  <c r="H4018" i="8"/>
  <c r="H3931" i="8"/>
  <c r="H3409" i="8"/>
  <c r="H4802" i="8"/>
  <c r="H4366" i="8"/>
  <c r="H713" i="8"/>
  <c r="H3583" i="8"/>
  <c r="H3235" i="8"/>
  <c r="H4627" i="8"/>
  <c r="H64" i="8"/>
  <c r="H129" i="8"/>
  <c r="H4540" i="8"/>
  <c r="H649" i="8"/>
  <c r="H193" i="8"/>
  <c r="H257" i="8"/>
  <c r="H3844" i="8"/>
  <c r="H449" i="8"/>
  <c r="H3061" i="8"/>
  <c r="H4105" i="8"/>
  <c r="H3148" i="8"/>
  <c r="H3757" i="8"/>
  <c r="H513" i="8"/>
  <c r="H321" i="8"/>
  <c r="H4279" i="8"/>
  <c r="H385" i="8"/>
  <c r="H4453" i="8"/>
  <c r="H3322" i="8"/>
  <c r="H584" i="8"/>
  <c r="H3670" i="8"/>
  <c r="C857" i="8"/>
  <c r="B587" i="8"/>
  <c r="B651" i="8"/>
  <c r="C1577" i="8"/>
  <c r="B259" i="8"/>
  <c r="B3934" i="8"/>
  <c r="C767" i="8"/>
  <c r="B3673" i="8"/>
  <c r="C947" i="8"/>
  <c r="C4717" i="8"/>
  <c r="C3673" i="8"/>
  <c r="B3760" i="8"/>
  <c r="C324" i="8"/>
  <c r="C3238" i="8"/>
  <c r="B4630" i="8"/>
  <c r="B3586" i="8"/>
  <c r="C1847" i="8"/>
  <c r="B4282" i="8"/>
  <c r="C452" i="8"/>
  <c r="B4021" i="8"/>
  <c r="C2027" i="8"/>
  <c r="C4195" i="8"/>
  <c r="C3499" i="8"/>
  <c r="B451" i="8"/>
  <c r="C1127" i="8"/>
  <c r="C2297" i="8"/>
  <c r="B4456" i="8"/>
  <c r="C4456" i="8"/>
  <c r="B4108" i="8"/>
  <c r="B3325" i="8"/>
  <c r="B515" i="8"/>
  <c r="B4804" i="8"/>
  <c r="B3151" i="8"/>
  <c r="B3064" i="8"/>
  <c r="C1937" i="8"/>
  <c r="B3499" i="8"/>
  <c r="B3412" i="8"/>
  <c r="C677" i="8"/>
  <c r="C587" i="8"/>
  <c r="C196" i="8"/>
  <c r="C132" i="8"/>
  <c r="B2407" i="8"/>
  <c r="C388" i="8"/>
  <c r="C3760" i="8"/>
  <c r="C2387" i="8"/>
  <c r="C4630" i="8"/>
  <c r="C3325" i="8"/>
  <c r="C1757" i="8"/>
  <c r="C1217" i="8"/>
  <c r="B3238" i="8"/>
  <c r="B3847" i="8"/>
  <c r="B67" i="8"/>
  <c r="C3586" i="8"/>
  <c r="B195" i="8"/>
  <c r="B131" i="8"/>
  <c r="C260" i="8"/>
  <c r="B4717" i="8"/>
  <c r="C4369" i="8"/>
  <c r="C3412" i="8"/>
  <c r="C1307" i="8"/>
  <c r="C1487" i="8"/>
  <c r="C3847" i="8"/>
  <c r="B4543" i="8"/>
  <c r="C4804" i="8"/>
  <c r="B4369" i="8"/>
  <c r="C67" i="8"/>
  <c r="C4108" i="8"/>
  <c r="C3934" i="8"/>
  <c r="B323" i="8"/>
  <c r="B715" i="8"/>
  <c r="C4543" i="8"/>
  <c r="C2117" i="8"/>
  <c r="B4195" i="8"/>
  <c r="B387" i="8"/>
  <c r="C2207" i="8"/>
  <c r="C3151" i="8"/>
  <c r="C3064" i="8"/>
  <c r="C1037" i="8"/>
  <c r="C1667" i="8"/>
  <c r="C516" i="8"/>
  <c r="C4021" i="8"/>
  <c r="C4282" i="8"/>
  <c r="C1397" i="8"/>
  <c r="H585" i="8" a="1"/>
  <c r="F3150" i="8"/>
  <c r="F3846" i="8"/>
  <c r="F130" i="8"/>
  <c r="F586" i="8"/>
  <c r="G676" i="8"/>
  <c r="G4281" i="8"/>
  <c r="F2406" i="8"/>
  <c r="H3497" i="8" a="1"/>
  <c r="G2296" i="8"/>
  <c r="H386" i="8" a="1"/>
  <c r="H514" i="8" a="1"/>
  <c r="G1756" i="8"/>
  <c r="G4716" i="8"/>
  <c r="H4193" i="8" a="1"/>
  <c r="H650" i="8" a="1"/>
  <c r="F3672" i="8"/>
  <c r="G3324" i="8"/>
  <c r="F3063" i="8"/>
  <c r="H4803" i="8" a="1"/>
  <c r="G4194" i="8"/>
  <c r="G4542" i="8"/>
  <c r="G1126" i="8"/>
  <c r="H450" i="8" a="1"/>
  <c r="F4542" i="8"/>
  <c r="G3759" i="8"/>
  <c r="H3932" i="8" a="1"/>
  <c r="F322" i="8"/>
  <c r="F3498" i="8"/>
  <c r="F4455" i="8"/>
  <c r="G323" i="8"/>
  <c r="G4107" i="8"/>
  <c r="H3584" i="8" a="1"/>
  <c r="F66" i="8"/>
  <c r="G4629" i="8"/>
  <c r="F4629" i="8"/>
  <c r="F4804" i="8"/>
  <c r="H258" i="8" a="1"/>
  <c r="F386" i="8"/>
  <c r="G451" i="8"/>
  <c r="H3062" i="8" a="1"/>
  <c r="G1576" i="8"/>
  <c r="G387" i="8"/>
  <c r="G4020" i="8"/>
  <c r="F3759" i="8"/>
  <c r="G766" i="8"/>
  <c r="H3671" i="8" a="1"/>
  <c r="G2026" i="8"/>
  <c r="G3150" i="8"/>
  <c r="G1396" i="8"/>
  <c r="G131" i="8"/>
  <c r="H65" i="8" a="1"/>
  <c r="G4368" i="8"/>
  <c r="G2116" i="8"/>
  <c r="F3237" i="8"/>
  <c r="G3498" i="8"/>
  <c r="G586" i="8"/>
  <c r="F3585" i="8"/>
  <c r="H3845" i="8" a="1"/>
  <c r="G3411" i="8"/>
  <c r="G3063" i="8"/>
  <c r="G4804" i="8"/>
  <c r="G1666" i="8"/>
  <c r="H4367" i="8" a="1"/>
  <c r="G1306" i="8"/>
  <c r="H714" i="8" a="1"/>
  <c r="F4281" i="8"/>
  <c r="G2387" i="8"/>
  <c r="H4280" i="8" a="1"/>
  <c r="F4716" i="8"/>
  <c r="F4194" i="8"/>
  <c r="F4368" i="8"/>
  <c r="H3236" i="8" a="1"/>
  <c r="F4020" i="8"/>
  <c r="H4106" i="8" a="1"/>
  <c r="F4107" i="8"/>
  <c r="G3585" i="8"/>
  <c r="H3323" i="8" a="1"/>
  <c r="H130" i="8" a="1"/>
  <c r="G1936" i="8"/>
  <c r="F258" i="8"/>
  <c r="F194" i="8"/>
  <c r="G516" i="8"/>
  <c r="F3324" i="8"/>
  <c r="H4454" i="8" a="1"/>
  <c r="F3411" i="8"/>
  <c r="H2386" i="8" a="1"/>
  <c r="H4715" i="8" a="1"/>
  <c r="F650" i="8"/>
  <c r="F714" i="8"/>
  <c r="H3410" i="8" a="1"/>
  <c r="G1036" i="8"/>
  <c r="H4541" i="8" a="1"/>
  <c r="G4455" i="8"/>
  <c r="G856" i="8"/>
  <c r="G195" i="8"/>
  <c r="G1846" i="8"/>
  <c r="G3672" i="8"/>
  <c r="H322" i="8" a="1"/>
  <c r="G3237" i="8"/>
  <c r="H3149" i="8" a="1"/>
  <c r="G3933" i="8"/>
  <c r="G2206" i="8"/>
  <c r="F515" i="8"/>
  <c r="H3758" i="8" a="1"/>
  <c r="F450" i="8"/>
  <c r="H4628" i="8" a="1"/>
  <c r="G946" i="8"/>
  <c r="G259" i="8"/>
  <c r="G1216" i="8"/>
  <c r="H4019" i="8" a="1"/>
  <c r="H515" i="8" a="1"/>
  <c r="G1486" i="8"/>
  <c r="H194" i="8" a="1"/>
  <c r="F3933" i="8"/>
  <c r="G3846" i="8"/>
  <c r="G66" i="8"/>
  <c r="H515" i="8" l="1"/>
  <c r="H4280" i="8"/>
  <c r="H4019" i="8"/>
  <c r="H65" i="8"/>
  <c r="H4803" i="8"/>
  <c r="H258" i="8"/>
  <c r="H4715" i="8"/>
  <c r="H450" i="8"/>
  <c r="H514" i="8"/>
  <c r="H194" i="8"/>
  <c r="H3149" i="8"/>
  <c r="H386" i="8"/>
  <c r="H2386" i="8"/>
  <c r="H4628" i="8"/>
  <c r="H4106" i="8"/>
  <c r="H4541" i="8"/>
  <c r="H714" i="8"/>
  <c r="H322" i="8"/>
  <c r="H3497" i="8"/>
  <c r="H4454" i="8"/>
  <c r="H3758" i="8"/>
  <c r="H3236" i="8"/>
  <c r="H3410" i="8"/>
  <c r="H3845" i="8"/>
  <c r="H130" i="8"/>
  <c r="H650" i="8"/>
  <c r="H3323" i="8"/>
  <c r="H3062" i="8"/>
  <c r="H4367" i="8"/>
  <c r="H3932" i="8"/>
  <c r="H3671" i="8"/>
  <c r="H4193" i="8"/>
  <c r="H3584" i="8"/>
  <c r="H585" i="8"/>
  <c r="C1128" i="8"/>
  <c r="C3239" i="8"/>
  <c r="B452" i="8"/>
  <c r="C2208" i="8"/>
  <c r="B260" i="8"/>
  <c r="B68" i="8"/>
  <c r="B3326" i="8"/>
  <c r="C4718" i="8"/>
  <c r="C3848" i="8"/>
  <c r="B2408" i="8"/>
  <c r="B3500" i="8"/>
  <c r="B716" i="8"/>
  <c r="C4370" i="8"/>
  <c r="C2298" i="8"/>
  <c r="C4022" i="8"/>
  <c r="C68" i="8"/>
  <c r="C3935" i="8"/>
  <c r="C1398" i="8"/>
  <c r="C4457" i="8"/>
  <c r="C325" i="8"/>
  <c r="C1308" i="8"/>
  <c r="C3413" i="8"/>
  <c r="C678" i="8"/>
  <c r="C588" i="8"/>
  <c r="B3587" i="8"/>
  <c r="B3413" i="8"/>
  <c r="C4544" i="8"/>
  <c r="C2388" i="8"/>
  <c r="B516" i="8"/>
  <c r="C4283" i="8"/>
  <c r="B4109" i="8"/>
  <c r="B4370" i="8"/>
  <c r="C1938" i="8"/>
  <c r="B4718" i="8"/>
  <c r="C389" i="8"/>
  <c r="C3761" i="8"/>
  <c r="C1038" i="8"/>
  <c r="C858" i="8"/>
  <c r="B324" i="8"/>
  <c r="C1488" i="8"/>
  <c r="B4283" i="8"/>
  <c r="C4631" i="8"/>
  <c r="C3674" i="8"/>
  <c r="B3935" i="8"/>
  <c r="C453" i="8"/>
  <c r="C197" i="8"/>
  <c r="C133" i="8"/>
  <c r="C768" i="8"/>
  <c r="B3065" i="8"/>
  <c r="B3152" i="8"/>
  <c r="B4544" i="8"/>
  <c r="B3761" i="8"/>
  <c r="B652" i="8"/>
  <c r="B588" i="8"/>
  <c r="C4109" i="8"/>
  <c r="C1758" i="8"/>
  <c r="C3152" i="8"/>
  <c r="C3065" i="8"/>
  <c r="B388" i="8"/>
  <c r="C4196" i="8"/>
  <c r="B4457" i="8"/>
  <c r="B4631" i="8"/>
  <c r="C1578" i="8"/>
  <c r="C3500" i="8"/>
  <c r="B4805" i="8"/>
  <c r="B196" i="8"/>
  <c r="B132" i="8"/>
  <c r="C1848" i="8"/>
  <c r="C261" i="8"/>
  <c r="C2028" i="8"/>
  <c r="B3239" i="8"/>
  <c r="B4196" i="8"/>
  <c r="C1218" i="8"/>
  <c r="C3587" i="8"/>
  <c r="C2118" i="8"/>
  <c r="C517" i="8"/>
  <c r="B3674" i="8"/>
  <c r="C3326" i="8"/>
  <c r="B3848" i="8"/>
  <c r="C4805" i="8"/>
  <c r="B4022" i="8"/>
  <c r="C1668" i="8"/>
  <c r="C948" i="8"/>
  <c r="G4021" i="8"/>
  <c r="G3325" i="8"/>
  <c r="G1307" i="8"/>
  <c r="H195" i="8" a="1"/>
  <c r="H3150" i="8" a="1"/>
  <c r="G196" i="8"/>
  <c r="G2207" i="8"/>
  <c r="G1577" i="8"/>
  <c r="F387" i="8"/>
  <c r="G260" i="8"/>
  <c r="G947" i="8"/>
  <c r="F2407" i="8"/>
  <c r="G4805" i="8"/>
  <c r="F451" i="8"/>
  <c r="G767" i="8"/>
  <c r="F68" i="8"/>
  <c r="F715" i="8"/>
  <c r="H4194" i="8" a="1"/>
  <c r="H3759" i="8" a="1"/>
  <c r="F4195" i="8"/>
  <c r="G3847" i="8"/>
  <c r="F3847" i="8"/>
  <c r="F3238" i="8"/>
  <c r="F3064" i="8"/>
  <c r="F3151" i="8"/>
  <c r="G4369" i="8"/>
  <c r="G4543" i="8"/>
  <c r="G4630" i="8"/>
  <c r="G1487" i="8"/>
  <c r="G677" i="8"/>
  <c r="H4716" i="8" a="1"/>
  <c r="G324" i="8"/>
  <c r="H3411" i="8" a="1"/>
  <c r="H3498" i="8" a="1"/>
  <c r="F4108" i="8"/>
  <c r="H66" i="8" a="1"/>
  <c r="G4195" i="8"/>
  <c r="H4455" i="8" a="1"/>
  <c r="F3499" i="8"/>
  <c r="G3673" i="8"/>
  <c r="G2388" i="8"/>
  <c r="F4543" i="8"/>
  <c r="F3412" i="8"/>
  <c r="F3760" i="8"/>
  <c r="H451" i="8" a="1"/>
  <c r="G4456" i="8"/>
  <c r="G4108" i="8"/>
  <c r="H586" i="8" a="1"/>
  <c r="G1757" i="8"/>
  <c r="F4805" i="8"/>
  <c r="F3325" i="8"/>
  <c r="H259" i="8" a="1"/>
  <c r="H3063" i="8" a="1"/>
  <c r="G4282" i="8"/>
  <c r="F4021" i="8"/>
  <c r="G3586" i="8"/>
  <c r="F587" i="8"/>
  <c r="H651" i="8" a="1"/>
  <c r="G4717" i="8"/>
  <c r="G1037" i="8"/>
  <c r="F3934" i="8"/>
  <c r="G67" i="8"/>
  <c r="F323" i="8"/>
  <c r="H3846" i="8" a="1"/>
  <c r="G3412" i="8"/>
  <c r="G132" i="8"/>
  <c r="G587" i="8"/>
  <c r="H4368" i="8" a="1"/>
  <c r="H131" i="8" a="1"/>
  <c r="F259" i="8"/>
  <c r="F516" i="8"/>
  <c r="H3237" i="8" a="1"/>
  <c r="G452" i="8"/>
  <c r="H2387" i="8" a="1"/>
  <c r="G1397" i="8"/>
  <c r="H3324" i="8" a="1"/>
  <c r="G3151" i="8"/>
  <c r="H4107" i="8" a="1"/>
  <c r="G1937" i="8"/>
  <c r="F3586" i="8"/>
  <c r="G2297" i="8"/>
  <c r="G388" i="8"/>
  <c r="G1217" i="8"/>
  <c r="G3064" i="8"/>
  <c r="G3760" i="8"/>
  <c r="F131" i="8"/>
  <c r="G857" i="8"/>
  <c r="F4456" i="8"/>
  <c r="H4020" i="8" a="1"/>
  <c r="G3499" i="8"/>
  <c r="H4281" i="8" a="1"/>
  <c r="F4282" i="8"/>
  <c r="H323" i="8" a="1"/>
  <c r="H3672" i="8" a="1"/>
  <c r="F4369" i="8"/>
  <c r="G2027" i="8"/>
  <c r="G3934" i="8"/>
  <c r="F4630" i="8"/>
  <c r="F195" i="8"/>
  <c r="G1847" i="8"/>
  <c r="F3673" i="8"/>
  <c r="F651" i="8"/>
  <c r="H4629" i="8" a="1"/>
  <c r="G3238" i="8"/>
  <c r="H387" i="8" a="1"/>
  <c r="G1667" i="8"/>
  <c r="H4542" i="8" a="1"/>
  <c r="F67" i="8"/>
  <c r="F4717" i="8"/>
  <c r="H4804" i="8" a="1"/>
  <c r="H715" i="8" a="1"/>
  <c r="G1127" i="8"/>
  <c r="G68" i="8"/>
  <c r="H3585" i="8" a="1"/>
  <c r="G2117" i="8"/>
  <c r="H3933" i="8" a="1"/>
  <c r="G517" i="8"/>
  <c r="H715" i="8" l="1"/>
  <c r="H3672" i="8"/>
  <c r="H3150" i="8"/>
  <c r="H3411" i="8"/>
  <c r="H3063" i="8"/>
  <c r="H131" i="8"/>
  <c r="H4804" i="8"/>
  <c r="H3585" i="8"/>
  <c r="H3759" i="8"/>
  <c r="H451" i="8"/>
  <c r="H4542" i="8"/>
  <c r="H3324" i="8"/>
  <c r="H323" i="8"/>
  <c r="H4455" i="8"/>
  <c r="H3933" i="8"/>
  <c r="H259" i="8"/>
  <c r="H4368" i="8"/>
  <c r="H195" i="8"/>
  <c r="H4716" i="8"/>
  <c r="H4194" i="8"/>
  <c r="H387" i="8"/>
  <c r="H2387" i="8"/>
  <c r="H4281" i="8"/>
  <c r="H66" i="8"/>
  <c r="H651" i="8"/>
  <c r="H4629" i="8"/>
  <c r="H3237" i="8"/>
  <c r="H4020" i="8"/>
  <c r="H3498" i="8"/>
  <c r="H4107" i="8"/>
  <c r="H586" i="8"/>
  <c r="H3846" i="8"/>
  <c r="C1309" i="8"/>
  <c r="C1669" i="8"/>
  <c r="B3675" i="8"/>
  <c r="B2409" i="8"/>
  <c r="C326" i="8"/>
  <c r="B197" i="8"/>
  <c r="B133" i="8"/>
  <c r="B3153" i="8"/>
  <c r="B3066" i="8"/>
  <c r="C1759" i="8"/>
  <c r="C3414" i="8"/>
  <c r="C3675" i="8"/>
  <c r="B4284" i="8"/>
  <c r="C2119" i="8"/>
  <c r="C1939" i="8"/>
  <c r="C3240" i="8"/>
  <c r="C4197" i="8"/>
  <c r="B3849" i="8"/>
  <c r="B3240" i="8"/>
  <c r="C859" i="8"/>
  <c r="C3762" i="8"/>
  <c r="C1129" i="8"/>
  <c r="C2029" i="8"/>
  <c r="C769" i="8"/>
  <c r="C1399" i="8"/>
  <c r="C4023" i="8"/>
  <c r="C4110" i="8"/>
  <c r="C2389" i="8"/>
  <c r="C2299" i="8"/>
  <c r="B4110" i="8"/>
  <c r="B4197" i="8"/>
  <c r="C4632" i="8"/>
  <c r="C1489" i="8"/>
  <c r="C4806" i="8"/>
  <c r="B3762" i="8"/>
  <c r="B3327" i="8"/>
  <c r="C3588" i="8"/>
  <c r="C198" i="8"/>
  <c r="C949" i="8"/>
  <c r="C3501" i="8"/>
  <c r="C390" i="8"/>
  <c r="C4458" i="8"/>
  <c r="B4545" i="8"/>
  <c r="B453" i="8"/>
  <c r="C1849" i="8"/>
  <c r="C518" i="8"/>
  <c r="B4371" i="8"/>
  <c r="B389" i="8"/>
  <c r="C454" i="8"/>
  <c r="C3327" i="8"/>
  <c r="C1039" i="8"/>
  <c r="B3936" i="8"/>
  <c r="C2209" i="8"/>
  <c r="B653" i="8"/>
  <c r="B589" i="8"/>
  <c r="B261" i="8"/>
  <c r="B4719" i="8"/>
  <c r="C4284" i="8"/>
  <c r="C3066" i="8"/>
  <c r="C3153" i="8"/>
  <c r="B717" i="8"/>
  <c r="B4632" i="8"/>
  <c r="C262" i="8"/>
  <c r="B4023" i="8"/>
  <c r="C4719" i="8"/>
  <c r="C1579" i="8"/>
  <c r="C3849" i="8"/>
  <c r="B4806" i="8"/>
  <c r="B4458" i="8"/>
  <c r="C4371" i="8"/>
  <c r="B3501" i="8"/>
  <c r="C679" i="8"/>
  <c r="C589" i="8"/>
  <c r="C4545" i="8"/>
  <c r="B3588" i="8"/>
  <c r="C3936" i="8"/>
  <c r="B3414" i="8"/>
  <c r="B325" i="8"/>
  <c r="B517" i="8"/>
  <c r="C1219" i="8"/>
  <c r="H3673" i="8" a="1"/>
  <c r="G1308" i="8"/>
  <c r="H3238" i="8" a="1"/>
  <c r="G1488" i="8"/>
  <c r="G1668" i="8"/>
  <c r="G1218" i="8"/>
  <c r="H388" i="8" a="1"/>
  <c r="G4022" i="8"/>
  <c r="H3934" i="8" a="1"/>
  <c r="F4718" i="8"/>
  <c r="G3587" i="8"/>
  <c r="G3239" i="8"/>
  <c r="F588" i="8"/>
  <c r="F652" i="8"/>
  <c r="H4630" i="8" a="1"/>
  <c r="G3500" i="8"/>
  <c r="G1578" i="8"/>
  <c r="G4283" i="8"/>
  <c r="G3152" i="8"/>
  <c r="F3500" i="8"/>
  <c r="H4195" i="8" a="1"/>
  <c r="G325" i="8"/>
  <c r="F716" i="8"/>
  <c r="F517" i="8"/>
  <c r="F3761" i="8"/>
  <c r="H4543" i="8" a="1"/>
  <c r="H517" i="8" a="1"/>
  <c r="F3326" i="8"/>
  <c r="F4022" i="8"/>
  <c r="G3413" i="8"/>
  <c r="G133" i="8"/>
  <c r="G4631" i="8"/>
  <c r="H68" i="8" a="1"/>
  <c r="G389" i="8"/>
  <c r="F132" i="8"/>
  <c r="H516" i="8" a="1"/>
  <c r="G768" i="8"/>
  <c r="G1758" i="8"/>
  <c r="H3325" i="8" a="1"/>
  <c r="F4806" i="8"/>
  <c r="G2028" i="8"/>
  <c r="G588" i="8"/>
  <c r="G3935" i="8"/>
  <c r="H132" i="8" a="1"/>
  <c r="G197" i="8"/>
  <c r="G3674" i="8"/>
  <c r="H4717" i="8" a="1"/>
  <c r="F260" i="8"/>
  <c r="G1038" i="8"/>
  <c r="H3586" i="8" a="1"/>
  <c r="G2298" i="8"/>
  <c r="H3499" i="8" a="1"/>
  <c r="H3847" i="8" a="1"/>
  <c r="H4108" i="8" a="1"/>
  <c r="G3761" i="8"/>
  <c r="F4283" i="8"/>
  <c r="F3587" i="8"/>
  <c r="H196" i="8" a="1"/>
  <c r="G2389" i="8"/>
  <c r="H4456" i="8" a="1"/>
  <c r="G4544" i="8"/>
  <c r="F4370" i="8"/>
  <c r="F2408" i="8"/>
  <c r="H4805" i="8" a="1"/>
  <c r="G4806" i="8"/>
  <c r="H587" i="8" a="1"/>
  <c r="G4718" i="8"/>
  <c r="F3152" i="8"/>
  <c r="F3413" i="8"/>
  <c r="G858" i="8"/>
  <c r="F3065" i="8"/>
  <c r="H324" i="8" a="1"/>
  <c r="G518" i="8"/>
  <c r="H3064" i="8" a="1"/>
  <c r="F3239" i="8"/>
  <c r="F4631" i="8"/>
  <c r="G3326" i="8"/>
  <c r="H3151" i="8" a="1"/>
  <c r="F3848" i="8"/>
  <c r="H452" i="8" a="1"/>
  <c r="H4369" i="8" a="1"/>
  <c r="F4196" i="8"/>
  <c r="H67" i="8" a="1"/>
  <c r="F196" i="8"/>
  <c r="H3412" i="8" a="1"/>
  <c r="F324" i="8"/>
  <c r="G1128" i="8"/>
  <c r="G1848" i="8"/>
  <c r="H260" i="8" a="1"/>
  <c r="G4196" i="8"/>
  <c r="H2388" i="8" a="1"/>
  <c r="G4370" i="8"/>
  <c r="G1398" i="8"/>
  <c r="G2118" i="8"/>
  <c r="G4457" i="8"/>
  <c r="G4109" i="8"/>
  <c r="H3760" i="8" a="1"/>
  <c r="F4544" i="8"/>
  <c r="H716" i="8" a="1"/>
  <c r="F388" i="8"/>
  <c r="F3674" i="8"/>
  <c r="G1938" i="8"/>
  <c r="H4282" i="8" a="1"/>
  <c r="F3935" i="8"/>
  <c r="G261" i="8"/>
  <c r="G453" i="8"/>
  <c r="F4457" i="8"/>
  <c r="G3848" i="8"/>
  <c r="F4109" i="8"/>
  <c r="F452" i="8"/>
  <c r="G3065" i="8"/>
  <c r="H652" i="8" a="1"/>
  <c r="G678" i="8"/>
  <c r="H4021" i="8" a="1"/>
  <c r="G948" i="8"/>
  <c r="G2208" i="8"/>
  <c r="H517" i="8" l="1"/>
  <c r="H652" i="8"/>
  <c r="H4021" i="8"/>
  <c r="H3499" i="8"/>
  <c r="H132" i="8"/>
  <c r="H4369" i="8"/>
  <c r="H4543" i="8"/>
  <c r="H716" i="8"/>
  <c r="H2388" i="8"/>
  <c r="H3412" i="8"/>
  <c r="H452" i="8"/>
  <c r="H3064" i="8"/>
  <c r="H587" i="8"/>
  <c r="H4456" i="8"/>
  <c r="H4108" i="8"/>
  <c r="H3586" i="8"/>
  <c r="H516" i="8"/>
  <c r="H3934" i="8"/>
  <c r="H3238" i="8"/>
  <c r="H4282" i="8"/>
  <c r="H3760" i="8"/>
  <c r="H260" i="8"/>
  <c r="H67" i="8"/>
  <c r="H3151" i="8"/>
  <c r="H324" i="8"/>
  <c r="H4805" i="8"/>
  <c r="H196" i="8"/>
  <c r="H3847" i="8"/>
  <c r="H4717" i="8"/>
  <c r="H3325" i="8"/>
  <c r="H68" i="8"/>
  <c r="H4195" i="8"/>
  <c r="H4630" i="8"/>
  <c r="H388" i="8"/>
  <c r="H3673" i="8"/>
  <c r="B4024" i="8"/>
  <c r="C770" i="8"/>
  <c r="C4459" i="8"/>
  <c r="B4111" i="8"/>
  <c r="C1940" i="8"/>
  <c r="B4633" i="8"/>
  <c r="C1310" i="8"/>
  <c r="B390" i="8"/>
  <c r="C4024" i="8"/>
  <c r="C4633" i="8"/>
  <c r="C2300" i="8"/>
  <c r="C1130" i="8"/>
  <c r="C519" i="8"/>
  <c r="B4459" i="8"/>
  <c r="C455" i="8"/>
  <c r="C3676" i="8"/>
  <c r="B3850" i="8"/>
  <c r="C4198" i="8"/>
  <c r="C1490" i="8"/>
  <c r="C2120" i="8"/>
  <c r="C4285" i="8"/>
  <c r="C2030" i="8"/>
  <c r="B4372" i="8"/>
  <c r="C3502" i="8"/>
  <c r="B3154" i="8"/>
  <c r="B3067" i="8"/>
  <c r="B262" i="8"/>
  <c r="B2410" i="8"/>
  <c r="B3763" i="8"/>
  <c r="B3589" i="8"/>
  <c r="C3937" i="8"/>
  <c r="B4807" i="8"/>
  <c r="C860" i="8"/>
  <c r="C1220" i="8"/>
  <c r="C2210" i="8"/>
  <c r="B3241" i="8"/>
  <c r="C1760" i="8"/>
  <c r="B4546" i="8"/>
  <c r="C4807" i="8"/>
  <c r="C3154" i="8"/>
  <c r="C3067" i="8"/>
  <c r="B654" i="8"/>
  <c r="B590" i="8"/>
  <c r="B3502" i="8"/>
  <c r="B3676" i="8"/>
  <c r="C680" i="8"/>
  <c r="C590" i="8"/>
  <c r="B718" i="8"/>
  <c r="C3415" i="8"/>
  <c r="B454" i="8"/>
  <c r="B518" i="8"/>
  <c r="C4546" i="8"/>
  <c r="C3589" i="8"/>
  <c r="C263" i="8"/>
  <c r="B3415" i="8"/>
  <c r="C4720" i="8"/>
  <c r="B4198" i="8"/>
  <c r="C4111" i="8"/>
  <c r="C950" i="8"/>
  <c r="B3937" i="8"/>
  <c r="C3328" i="8"/>
  <c r="C3763" i="8"/>
  <c r="C1850" i="8"/>
  <c r="C391" i="8"/>
  <c r="C327" i="8"/>
  <c r="C1670" i="8"/>
  <c r="B4720" i="8"/>
  <c r="C3241" i="8"/>
  <c r="C4372" i="8"/>
  <c r="B326" i="8"/>
  <c r="C1040" i="8"/>
  <c r="C1580" i="8"/>
  <c r="B4285" i="8"/>
  <c r="C2390" i="8"/>
  <c r="C3850" i="8"/>
  <c r="B3328" i="8"/>
  <c r="B198" i="8"/>
  <c r="C1400" i="8"/>
  <c r="F3414" i="8"/>
  <c r="H3674" i="8" a="1"/>
  <c r="G1849" i="8"/>
  <c r="F4023" i="8"/>
  <c r="H4457" i="8" a="1"/>
  <c r="H2389" i="8" a="1"/>
  <c r="F4110" i="8"/>
  <c r="G3414" i="8"/>
  <c r="G1399" i="8"/>
  <c r="H3761" i="8" a="1"/>
  <c r="F589" i="8"/>
  <c r="H4631" i="8" a="1"/>
  <c r="G3675" i="8"/>
  <c r="F197" i="8"/>
  <c r="G949" i="8"/>
  <c r="H588" i="8" a="1"/>
  <c r="F653" i="8"/>
  <c r="H4022" i="8" a="1"/>
  <c r="G2299" i="8"/>
  <c r="G4719" i="8"/>
  <c r="G4371" i="8"/>
  <c r="F2409" i="8"/>
  <c r="H653" i="8" a="1"/>
  <c r="H261" i="8" a="1"/>
  <c r="H3152" i="8" a="1"/>
  <c r="F3327" i="8"/>
  <c r="G4545" i="8"/>
  <c r="F3762" i="8"/>
  <c r="H133" i="8" a="1"/>
  <c r="G1939" i="8"/>
  <c r="G519" i="8"/>
  <c r="G4284" i="8"/>
  <c r="H3587" i="8" a="1"/>
  <c r="G589" i="8"/>
  <c r="H3935" i="8" a="1"/>
  <c r="F389" i="8"/>
  <c r="G679" i="8"/>
  <c r="F4545" i="8"/>
  <c r="G1669" i="8"/>
  <c r="G3153" i="8"/>
  <c r="F3936" i="8"/>
  <c r="H4718" i="8" a="1"/>
  <c r="F3066" i="8"/>
  <c r="H4544" i="8" a="1"/>
  <c r="G3501" i="8"/>
  <c r="F325" i="8"/>
  <c r="G390" i="8"/>
  <c r="G859" i="8"/>
  <c r="F3153" i="8"/>
  <c r="G1309" i="8"/>
  <c r="H3848" i="8" a="1"/>
  <c r="F261" i="8"/>
  <c r="H4806" i="8" a="1"/>
  <c r="G2209" i="8"/>
  <c r="F4632" i="8"/>
  <c r="H3413" i="8" a="1"/>
  <c r="F4807" i="8"/>
  <c r="F4458" i="8"/>
  <c r="H453" i="8" a="1"/>
  <c r="G2119" i="8"/>
  <c r="F133" i="8"/>
  <c r="H4109" i="8" a="1"/>
  <c r="F3240" i="8"/>
  <c r="G2029" i="8"/>
  <c r="F3849" i="8"/>
  <c r="G3066" i="8"/>
  <c r="H4370" i="8" a="1"/>
  <c r="F453" i="8"/>
  <c r="H3326" i="8" a="1"/>
  <c r="G454" i="8"/>
  <c r="G3849" i="8"/>
  <c r="G1129" i="8"/>
  <c r="G1219" i="8"/>
  <c r="G262" i="8"/>
  <c r="F518" i="8"/>
  <c r="F4284" i="8"/>
  <c r="H3239" i="8" a="1"/>
  <c r="F717" i="8"/>
  <c r="G769" i="8"/>
  <c r="G3762" i="8"/>
  <c r="H3500" i="8" a="1"/>
  <c r="G1579" i="8"/>
  <c r="G4023" i="8"/>
  <c r="H197" i="8" a="1"/>
  <c r="G3327" i="8"/>
  <c r="H4283" i="8" a="1"/>
  <c r="G3936" i="8"/>
  <c r="G3588" i="8"/>
  <c r="F4719" i="8"/>
  <c r="G1489" i="8"/>
  <c r="F3588" i="8"/>
  <c r="H325" i="8" a="1"/>
  <c r="G3240" i="8"/>
  <c r="G4807" i="8"/>
  <c r="G4197" i="8"/>
  <c r="H3065" i="8" a="1"/>
  <c r="G198" i="8"/>
  <c r="F3675" i="8"/>
  <c r="F4197" i="8"/>
  <c r="H4196" i="8" a="1"/>
  <c r="G4458" i="8"/>
  <c r="G1039" i="8"/>
  <c r="G4632" i="8"/>
  <c r="F4371" i="8"/>
  <c r="F3501" i="8"/>
  <c r="H518" i="8" a="1"/>
  <c r="G2390" i="8"/>
  <c r="H389" i="8" a="1"/>
  <c r="G326" i="8"/>
  <c r="G1759" i="8"/>
  <c r="H717" i="8" a="1"/>
  <c r="G4110" i="8"/>
  <c r="H518" i="8" l="1"/>
  <c r="H717" i="8"/>
  <c r="H4806" i="8"/>
  <c r="H261" i="8"/>
  <c r="H453" i="8"/>
  <c r="H4631" i="8"/>
  <c r="H4457" i="8"/>
  <c r="H653" i="8"/>
  <c r="H4022" i="8"/>
  <c r="H3935" i="8"/>
  <c r="H133" i="8"/>
  <c r="H3239" i="8"/>
  <c r="H3065" i="8"/>
  <c r="H3761" i="8"/>
  <c r="H3848" i="8"/>
  <c r="H389" i="8"/>
  <c r="H4718" i="8"/>
  <c r="H4109" i="8"/>
  <c r="H3500" i="8"/>
  <c r="H4196" i="8"/>
  <c r="H588" i="8"/>
  <c r="H3587" i="8"/>
  <c r="H3413" i="8"/>
  <c r="H3326" i="8"/>
  <c r="H4283" i="8"/>
  <c r="H3674" i="8"/>
  <c r="H325" i="8"/>
  <c r="H2389" i="8"/>
  <c r="H3152" i="8"/>
  <c r="H4544" i="8"/>
  <c r="H4370" i="8"/>
  <c r="H197" i="8"/>
  <c r="C1851" i="8"/>
  <c r="C951" i="8"/>
  <c r="B3416" i="8"/>
  <c r="C3329" i="8"/>
  <c r="C1761" i="8"/>
  <c r="C4634" i="8"/>
  <c r="C3155" i="8"/>
  <c r="C3068" i="8"/>
  <c r="C3590" i="8"/>
  <c r="C2121" i="8"/>
  <c r="C3764" i="8"/>
  <c r="B4547" i="8"/>
  <c r="C4721" i="8"/>
  <c r="B455" i="8"/>
  <c r="B4721" i="8"/>
  <c r="B4199" i="8"/>
  <c r="C861" i="8"/>
  <c r="B4373" i="8"/>
  <c r="B4286" i="8"/>
  <c r="B3503" i="8"/>
  <c r="C3677" i="8"/>
  <c r="C3503" i="8"/>
  <c r="B3590" i="8"/>
  <c r="B3851" i="8"/>
  <c r="B327" i="8"/>
  <c r="C1221" i="8"/>
  <c r="B4025" i="8"/>
  <c r="C4808" i="8"/>
  <c r="B519" i="8"/>
  <c r="B3764" i="8"/>
  <c r="B655" i="8"/>
  <c r="B591" i="8"/>
  <c r="C3242" i="8"/>
  <c r="B4634" i="8"/>
  <c r="B3329" i="8"/>
  <c r="C1311" i="8"/>
  <c r="B3677" i="8"/>
  <c r="B2411" i="8"/>
  <c r="B3155" i="8"/>
  <c r="B3068" i="8"/>
  <c r="C2391" i="8"/>
  <c r="C1401" i="8"/>
  <c r="B263" i="8"/>
  <c r="C3938" i="8"/>
  <c r="C1131" i="8"/>
  <c r="C4460" i="8"/>
  <c r="B4808" i="8"/>
  <c r="C392" i="8"/>
  <c r="C3416" i="8"/>
  <c r="C771" i="8"/>
  <c r="C2301" i="8"/>
  <c r="C2211" i="8"/>
  <c r="C4286" i="8"/>
  <c r="C1491" i="8"/>
  <c r="C1671" i="8"/>
  <c r="B391" i="8"/>
  <c r="C456" i="8"/>
  <c r="C3851" i="8"/>
  <c r="C4199" i="8"/>
  <c r="C328" i="8"/>
  <c r="C1941" i="8"/>
  <c r="C1041" i="8"/>
  <c r="C681" i="8"/>
  <c r="C591" i="8"/>
  <c r="B719" i="8"/>
  <c r="C4025" i="8"/>
  <c r="B3242" i="8"/>
  <c r="B4460" i="8"/>
  <c r="C4373" i="8"/>
  <c r="C1581" i="8"/>
  <c r="B3938" i="8"/>
  <c r="C520" i="8"/>
  <c r="C4112" i="8"/>
  <c r="C2031" i="8"/>
  <c r="C4547" i="8"/>
  <c r="B4112" i="8"/>
  <c r="H4023" i="8" a="1"/>
  <c r="G327" i="8"/>
  <c r="G1130" i="8"/>
  <c r="G1940" i="8"/>
  <c r="F3676" i="8"/>
  <c r="G4024" i="8"/>
  <c r="F4198" i="8"/>
  <c r="H390" i="8" a="1"/>
  <c r="F718" i="8"/>
  <c r="H3327" i="8" a="1"/>
  <c r="G1040" i="8"/>
  <c r="G770" i="8"/>
  <c r="G4198" i="8"/>
  <c r="H4807" i="8" a="1"/>
  <c r="H654" i="8" a="1"/>
  <c r="F590" i="8"/>
  <c r="H198" i="8" a="1"/>
  <c r="F3763" i="8"/>
  <c r="F519" i="8"/>
  <c r="G3850" i="8"/>
  <c r="F3415" i="8"/>
  <c r="H718" i="8" a="1"/>
  <c r="F4111" i="8"/>
  <c r="G950" i="8"/>
  <c r="F4285" i="8"/>
  <c r="F4546" i="8"/>
  <c r="H3153" i="8" a="1"/>
  <c r="G2391" i="8"/>
  <c r="G4372" i="8"/>
  <c r="H3240" i="8" a="1"/>
  <c r="G4459" i="8"/>
  <c r="G1220" i="8"/>
  <c r="H589" i="8" a="1"/>
  <c r="G1580" i="8"/>
  <c r="F3154" i="8"/>
  <c r="F3937" i="8"/>
  <c r="G1760" i="8"/>
  <c r="G3328" i="8"/>
  <c r="F4459" i="8"/>
  <c r="F4372" i="8"/>
  <c r="G2120" i="8"/>
  <c r="F4720" i="8"/>
  <c r="G3502" i="8"/>
  <c r="H4632" i="8" a="1"/>
  <c r="G2300" i="8"/>
  <c r="H4545" i="8" a="1"/>
  <c r="F3589" i="8"/>
  <c r="H3762" i="8" a="1"/>
  <c r="F3850" i="8"/>
  <c r="G4720" i="8"/>
  <c r="F198" i="8"/>
  <c r="H3675" i="8" a="1"/>
  <c r="F4633" i="8"/>
  <c r="H4458" i="8" a="1"/>
  <c r="G1850" i="8"/>
  <c r="H4284" i="8" a="1"/>
  <c r="H262" i="8" a="1"/>
  <c r="H3849" i="8" a="1"/>
  <c r="G3763" i="8"/>
  <c r="G4808" i="8"/>
  <c r="H326" i="8" a="1"/>
  <c r="G3415" i="8"/>
  <c r="H4197" i="8" a="1"/>
  <c r="F3067" i="8"/>
  <c r="H3936" i="8" a="1"/>
  <c r="G3589" i="8"/>
  <c r="H4371" i="8" a="1"/>
  <c r="G590" i="8"/>
  <c r="G3241" i="8"/>
  <c r="F4024" i="8"/>
  <c r="G4633" i="8"/>
  <c r="H3588" i="8" a="1"/>
  <c r="F4808" i="8"/>
  <c r="H2390" i="8" a="1"/>
  <c r="G4546" i="8"/>
  <c r="F262" i="8"/>
  <c r="H3501" i="8" a="1"/>
  <c r="G520" i="8"/>
  <c r="G2030" i="8"/>
  <c r="F654" i="8"/>
  <c r="G1670" i="8"/>
  <c r="G455" i="8"/>
  <c r="F2410" i="8"/>
  <c r="H454" i="8" a="1"/>
  <c r="F3241" i="8"/>
  <c r="H4719" i="8" a="1"/>
  <c r="G263" i="8"/>
  <c r="G1400" i="8"/>
  <c r="F454" i="8"/>
  <c r="F3328" i="8"/>
  <c r="G391" i="8"/>
  <c r="F390" i="8"/>
  <c r="G860" i="8"/>
  <c r="F3502" i="8"/>
  <c r="H3414" i="8" a="1"/>
  <c r="G3937" i="8"/>
  <c r="G3067" i="8"/>
  <c r="G2210" i="8"/>
  <c r="G3154" i="8"/>
  <c r="G1490" i="8"/>
  <c r="G3676" i="8"/>
  <c r="G4111" i="8"/>
  <c r="H3066" i="8" a="1"/>
  <c r="G1310" i="8"/>
  <c r="H4110" i="8" a="1"/>
  <c r="G680" i="8"/>
  <c r="F326" i="8"/>
  <c r="G4285" i="8"/>
  <c r="H4719" i="8" l="1"/>
  <c r="H262" i="8"/>
  <c r="H3153" i="8"/>
  <c r="H3936" i="8"/>
  <c r="H4197" i="8"/>
  <c r="H3675" i="8"/>
  <c r="H3066" i="8"/>
  <c r="H3327" i="8"/>
  <c r="H4284" i="8"/>
  <c r="H2390" i="8"/>
  <c r="H4545" i="8"/>
  <c r="H454" i="8"/>
  <c r="H589" i="8"/>
  <c r="H4110" i="8"/>
  <c r="H198" i="8"/>
  <c r="H326" i="8"/>
  <c r="H718" i="8"/>
  <c r="H3501" i="8"/>
  <c r="H3414" i="8"/>
  <c r="H4371" i="8"/>
  <c r="H390" i="8"/>
  <c r="H4458" i="8"/>
  <c r="H3588" i="8"/>
  <c r="H4632" i="8"/>
  <c r="H654" i="8"/>
  <c r="H3240" i="8"/>
  <c r="H3762" i="8"/>
  <c r="H4807" i="8"/>
  <c r="H3849" i="8"/>
  <c r="H4023" i="8"/>
  <c r="C1582" i="8"/>
  <c r="C1402" i="8"/>
  <c r="B4722" i="8"/>
  <c r="B656" i="8"/>
  <c r="B592" i="8"/>
  <c r="C4635" i="8"/>
  <c r="C4200" i="8"/>
  <c r="B4026" i="8"/>
  <c r="C4461" i="8"/>
  <c r="B3330" i="8"/>
  <c r="C772" i="8"/>
  <c r="C393" i="8"/>
  <c r="C3939" i="8"/>
  <c r="B456" i="8"/>
  <c r="C862" i="8"/>
  <c r="C457" i="8"/>
  <c r="C4548" i="8"/>
  <c r="C4026" i="8"/>
  <c r="B3069" i="8"/>
  <c r="B3156" i="8"/>
  <c r="B3765" i="8"/>
  <c r="B3417" i="8"/>
  <c r="B720" i="8"/>
  <c r="B4113" i="8"/>
  <c r="B392" i="8"/>
  <c r="B3678" i="8"/>
  <c r="C3765" i="8"/>
  <c r="B4374" i="8"/>
  <c r="B4809" i="8"/>
  <c r="C4809" i="8"/>
  <c r="C3678" i="8"/>
  <c r="C3417" i="8"/>
  <c r="C4113" i="8"/>
  <c r="C2032" i="8"/>
  <c r="B3243" i="8"/>
  <c r="C3330" i="8"/>
  <c r="C1312" i="8"/>
  <c r="B3591" i="8"/>
  <c r="C4722" i="8"/>
  <c r="C1042" i="8"/>
  <c r="B4200" i="8"/>
  <c r="C2122" i="8"/>
  <c r="C1672" i="8"/>
  <c r="B4548" i="8"/>
  <c r="C4287" i="8"/>
  <c r="C521" i="8"/>
  <c r="C1762" i="8"/>
  <c r="C4374" i="8"/>
  <c r="C2392" i="8"/>
  <c r="C3504" i="8"/>
  <c r="C1222" i="8"/>
  <c r="B328" i="8"/>
  <c r="B3852" i="8"/>
  <c r="B3939" i="8"/>
  <c r="C3591" i="8"/>
  <c r="B4461" i="8"/>
  <c r="B4287" i="8"/>
  <c r="B520" i="8"/>
  <c r="B4635" i="8"/>
  <c r="C2212" i="8"/>
  <c r="C3156" i="8"/>
  <c r="C3069" i="8"/>
  <c r="C1852" i="8"/>
  <c r="C682" i="8"/>
  <c r="C592" i="8"/>
  <c r="C1132" i="8"/>
  <c r="C2302" i="8"/>
  <c r="C1492" i="8"/>
  <c r="B2412" i="8"/>
  <c r="C952" i="8"/>
  <c r="C3852" i="8"/>
  <c r="C3243" i="8"/>
  <c r="B3504" i="8"/>
  <c r="C1942" i="8"/>
  <c r="H4285" i="8" a="1"/>
  <c r="G4634" i="8"/>
  <c r="G4373" i="8"/>
  <c r="F3851" i="8"/>
  <c r="G2031" i="8"/>
  <c r="H3850" i="8" a="1"/>
  <c r="G1671" i="8"/>
  <c r="G2301" i="8"/>
  <c r="F3329" i="8"/>
  <c r="G1761" i="8"/>
  <c r="H719" i="8" a="1"/>
  <c r="H4633" i="8" a="1"/>
  <c r="F520" i="8"/>
  <c r="G4025" i="8"/>
  <c r="H3067" i="8" a="1"/>
  <c r="G4721" i="8"/>
  <c r="G3590" i="8"/>
  <c r="H327" i="8" a="1"/>
  <c r="F4199" i="8"/>
  <c r="F3155" i="8"/>
  <c r="G1941" i="8"/>
  <c r="G3329" i="8"/>
  <c r="F3503" i="8"/>
  <c r="F719" i="8"/>
  <c r="H391" i="8" a="1"/>
  <c r="G3503" i="8"/>
  <c r="F3068" i="8"/>
  <c r="H4198" i="8" a="1"/>
  <c r="F263" i="8"/>
  <c r="F3242" i="8"/>
  <c r="G1851" i="8"/>
  <c r="G4112" i="8"/>
  <c r="F2411" i="8"/>
  <c r="H3154" i="8" a="1"/>
  <c r="F4112" i="8"/>
  <c r="G681" i="8"/>
  <c r="F455" i="8"/>
  <c r="F4460" i="8"/>
  <c r="G1311" i="8"/>
  <c r="G2392" i="8"/>
  <c r="G1221" i="8"/>
  <c r="G4286" i="8"/>
  <c r="H4720" i="8" a="1"/>
  <c r="G4199" i="8"/>
  <c r="G3851" i="8"/>
  <c r="G2211" i="8"/>
  <c r="G456" i="8"/>
  <c r="G4547" i="8"/>
  <c r="G1131" i="8"/>
  <c r="G3155" i="8"/>
  <c r="H4546" i="8" a="1"/>
  <c r="G591" i="8"/>
  <c r="G4460" i="8"/>
  <c r="G771" i="8"/>
  <c r="H4111" i="8" a="1"/>
  <c r="F4721" i="8"/>
  <c r="H3502" i="8" a="1"/>
  <c r="F3416" i="8"/>
  <c r="G3938" i="8"/>
  <c r="G1041" i="8"/>
  <c r="G3677" i="8"/>
  <c r="F3938" i="8"/>
  <c r="H590" i="8" a="1"/>
  <c r="F4547" i="8"/>
  <c r="H655" i="8" a="1"/>
  <c r="H3676" i="8" a="1"/>
  <c r="F4373" i="8"/>
  <c r="G328" i="8"/>
  <c r="G1581" i="8"/>
  <c r="H3328" i="8" a="1"/>
  <c r="H4459" i="8" a="1"/>
  <c r="H4808" i="8" a="1"/>
  <c r="G1401" i="8"/>
  <c r="F327" i="8"/>
  <c r="H455" i="8" a="1"/>
  <c r="F391" i="8"/>
  <c r="H519" i="8" a="1"/>
  <c r="H3763" i="8" a="1"/>
  <c r="G3416" i="8"/>
  <c r="G4809" i="8"/>
  <c r="H2391" i="8" a="1"/>
  <c r="F4286" i="8"/>
  <c r="H3589" i="8" a="1"/>
  <c r="G3764" i="8"/>
  <c r="G392" i="8"/>
  <c r="F655" i="8"/>
  <c r="H263" i="8" a="1"/>
  <c r="G3242" i="8"/>
  <c r="G1491" i="8"/>
  <c r="H4024" i="8" a="1"/>
  <c r="F3677" i="8"/>
  <c r="G861" i="8"/>
  <c r="G521" i="8"/>
  <c r="F3590" i="8"/>
  <c r="F4809" i="8"/>
  <c r="H3415" i="8" a="1"/>
  <c r="G951" i="8"/>
  <c r="F4634" i="8"/>
  <c r="H4372" i="8" a="1"/>
  <c r="F4025" i="8"/>
  <c r="H520" i="8" a="1"/>
  <c r="G3068" i="8"/>
  <c r="F591" i="8"/>
  <c r="G2121" i="8"/>
  <c r="H3937" i="8" a="1"/>
  <c r="H3241" i="8" a="1"/>
  <c r="F3764" i="8"/>
  <c r="H520" i="8" l="1"/>
  <c r="H3850" i="8"/>
  <c r="H4459" i="8"/>
  <c r="H3937" i="8"/>
  <c r="H3067" i="8"/>
  <c r="H2391" i="8"/>
  <c r="H4546" i="8"/>
  <c r="H4372" i="8"/>
  <c r="H4024" i="8"/>
  <c r="H3502" i="8"/>
  <c r="H327" i="8"/>
  <c r="H455" i="8"/>
  <c r="H3676" i="8"/>
  <c r="H4198" i="8"/>
  <c r="H655" i="8"/>
  <c r="H4633" i="8"/>
  <c r="H3763" i="8"/>
  <c r="H3328" i="8"/>
  <c r="H3415" i="8"/>
  <c r="H263" i="8"/>
  <c r="H4111" i="8"/>
  <c r="H719" i="8"/>
  <c r="H519" i="8"/>
  <c r="H3589" i="8"/>
  <c r="H4808" i="8"/>
  <c r="H590" i="8"/>
  <c r="H391" i="8"/>
  <c r="H3241" i="8"/>
  <c r="H4720" i="8"/>
  <c r="H3154" i="8"/>
  <c r="H4285" i="8"/>
  <c r="C2033" i="8"/>
  <c r="C773" i="8"/>
  <c r="C3070" i="8"/>
  <c r="C3157" i="8"/>
  <c r="C1313" i="8"/>
  <c r="C3331" i="8"/>
  <c r="C1043" i="8"/>
  <c r="C1583" i="8"/>
  <c r="C1223" i="8"/>
  <c r="C3244" i="8"/>
  <c r="B4723" i="8"/>
  <c r="B4375" i="8"/>
  <c r="C3679" i="8"/>
  <c r="B3940" i="8"/>
  <c r="C4375" i="8"/>
  <c r="C1763" i="8"/>
  <c r="B4288" i="8"/>
  <c r="C4810" i="8"/>
  <c r="C1403" i="8"/>
  <c r="B3331" i="8"/>
  <c r="B721" i="8"/>
  <c r="C1943" i="8"/>
  <c r="C2303" i="8"/>
  <c r="C3592" i="8"/>
  <c r="C1133" i="8"/>
  <c r="C3418" i="8"/>
  <c r="C3505" i="8"/>
  <c r="B4462" i="8"/>
  <c r="B3766" i="8"/>
  <c r="B4201" i="8"/>
  <c r="B3244" i="8"/>
  <c r="C4114" i="8"/>
  <c r="C522" i="8"/>
  <c r="B521" i="8"/>
  <c r="C458" i="8"/>
  <c r="B3418" i="8"/>
  <c r="B4114" i="8"/>
  <c r="C4723" i="8"/>
  <c r="B3592" i="8"/>
  <c r="C3940" i="8"/>
  <c r="B2413" i="8"/>
  <c r="C2393" i="8"/>
  <c r="C683" i="8"/>
  <c r="C593" i="8"/>
  <c r="B4549" i="8"/>
  <c r="B4027" i="8"/>
  <c r="B393" i="8"/>
  <c r="C4462" i="8"/>
  <c r="B4636" i="8"/>
  <c r="C2213" i="8"/>
  <c r="B3679" i="8"/>
  <c r="C2123" i="8"/>
  <c r="C4201" i="8"/>
  <c r="C3766" i="8"/>
  <c r="B3505" i="8"/>
  <c r="C953" i="8"/>
  <c r="B4810" i="8"/>
  <c r="C1673" i="8"/>
  <c r="C1853" i="8"/>
  <c r="C3853" i="8"/>
  <c r="B457" i="8"/>
  <c r="B3853" i="8"/>
  <c r="B3157" i="8"/>
  <c r="B3070" i="8"/>
  <c r="C4636" i="8"/>
  <c r="C4027" i="8"/>
  <c r="C863" i="8"/>
  <c r="C4549" i="8"/>
  <c r="C4288" i="8"/>
  <c r="B657" i="8"/>
  <c r="B593" i="8"/>
  <c r="C1493" i="8"/>
  <c r="G1222" i="8"/>
  <c r="H4025" i="8" a="1"/>
  <c r="F3939" i="8"/>
  <c r="G1942" i="8"/>
  <c r="G4548" i="8"/>
  <c r="F656" i="8"/>
  <c r="G4200" i="8"/>
  <c r="F4026" i="8"/>
  <c r="G4810" i="8"/>
  <c r="G4461" i="8"/>
  <c r="F2412" i="8"/>
  <c r="F4200" i="8"/>
  <c r="H4721" i="8" a="1"/>
  <c r="F456" i="8"/>
  <c r="G3243" i="8"/>
  <c r="H3503" i="8" a="1"/>
  <c r="G4635" i="8"/>
  <c r="H656" i="8" a="1"/>
  <c r="H3416" i="8" a="1"/>
  <c r="G2122" i="8"/>
  <c r="F3852" i="8"/>
  <c r="H3938" i="8" a="1"/>
  <c r="G1042" i="8"/>
  <c r="H392" i="8" a="1"/>
  <c r="G592" i="8"/>
  <c r="G3330" i="8"/>
  <c r="F4548" i="8"/>
  <c r="F392" i="8"/>
  <c r="F3678" i="8"/>
  <c r="G952" i="8"/>
  <c r="G3765" i="8"/>
  <c r="G1852" i="8"/>
  <c r="H4460" i="8" a="1"/>
  <c r="G522" i="8"/>
  <c r="G2212" i="8"/>
  <c r="H4286" i="8" a="1"/>
  <c r="F4810" i="8"/>
  <c r="H3242" i="8" a="1"/>
  <c r="H3329" i="8" a="1"/>
  <c r="F521" i="8"/>
  <c r="H4373" i="8" a="1"/>
  <c r="G2302" i="8"/>
  <c r="G1672" i="8"/>
  <c r="G3591" i="8"/>
  <c r="H3590" i="8" a="1"/>
  <c r="G393" i="8"/>
  <c r="F4635" i="8"/>
  <c r="F592" i="8"/>
  <c r="G3417" i="8"/>
  <c r="F4722" i="8"/>
  <c r="F3504" i="8"/>
  <c r="G4287" i="8"/>
  <c r="G772" i="8"/>
  <c r="G4026" i="8"/>
  <c r="G682" i="8"/>
  <c r="G4113" i="8"/>
  <c r="F3417" i="8"/>
  <c r="G3678" i="8"/>
  <c r="G3156" i="8"/>
  <c r="F720" i="8"/>
  <c r="H3764" i="8" a="1"/>
  <c r="G4374" i="8"/>
  <c r="G3069" i="8"/>
  <c r="H2392" i="8" a="1"/>
  <c r="F328" i="8"/>
  <c r="H720" i="8" a="1"/>
  <c r="F3591" i="8"/>
  <c r="G2032" i="8"/>
  <c r="G1312" i="8"/>
  <c r="H4547" i="8" a="1"/>
  <c r="F3330" i="8"/>
  <c r="G1492" i="8"/>
  <c r="G862" i="8"/>
  <c r="H591" i="8" a="1"/>
  <c r="F3069" i="8"/>
  <c r="F4113" i="8"/>
  <c r="H4809" i="8" a="1"/>
  <c r="G3852" i="8"/>
  <c r="F4287" i="8"/>
  <c r="G3939" i="8"/>
  <c r="H521" i="8" a="1"/>
  <c r="G1762" i="8"/>
  <c r="F3156" i="8"/>
  <c r="G457" i="8"/>
  <c r="G1132" i="8"/>
  <c r="F3765" i="8"/>
  <c r="G3504" i="8"/>
  <c r="H4112" i="8" a="1"/>
  <c r="G1402" i="8"/>
  <c r="H4199" i="8" a="1"/>
  <c r="H3851" i="8" a="1"/>
  <c r="H328" i="8" a="1"/>
  <c r="G2393" i="8"/>
  <c r="H3155" i="8" a="1"/>
  <c r="F4461" i="8"/>
  <c r="G4722" i="8"/>
  <c r="G1582" i="8"/>
  <c r="H3677" i="8" a="1"/>
  <c r="H3068" i="8" a="1"/>
  <c r="F3243" i="8"/>
  <c r="H4634" i="8" a="1"/>
  <c r="H456" i="8" a="1"/>
  <c r="F4374" i="8"/>
  <c r="H521" i="8" l="1"/>
  <c r="H3590" i="8"/>
  <c r="H4634" i="8"/>
  <c r="H4112" i="8"/>
  <c r="H4460" i="8"/>
  <c r="H3068" i="8"/>
  <c r="H3938" i="8"/>
  <c r="H2392" i="8"/>
  <c r="H4199" i="8"/>
  <c r="H3155" i="8"/>
  <c r="H4373" i="8"/>
  <c r="H4809" i="8"/>
  <c r="H456" i="8"/>
  <c r="H4547" i="8"/>
  <c r="H4721" i="8"/>
  <c r="H720" i="8"/>
  <c r="H3677" i="8"/>
  <c r="H3416" i="8"/>
  <c r="H3764" i="8"/>
  <c r="H4025" i="8"/>
  <c r="H4286" i="8"/>
  <c r="H328" i="8"/>
  <c r="H3329" i="8"/>
  <c r="H656" i="8"/>
  <c r="H3503" i="8"/>
  <c r="H3851" i="8"/>
  <c r="H3242" i="8"/>
  <c r="H591" i="8"/>
  <c r="H392" i="8"/>
  <c r="C4115" i="8"/>
  <c r="B722" i="8"/>
  <c r="C4637" i="8"/>
  <c r="B3158" i="8"/>
  <c r="B3071" i="8"/>
  <c r="C1944" i="8"/>
  <c r="B4637" i="8"/>
  <c r="C774" i="8"/>
  <c r="B2414" i="8"/>
  <c r="B3680" i="8"/>
  <c r="B4202" i="8"/>
  <c r="C523" i="8"/>
  <c r="B3854" i="8"/>
  <c r="C3593" i="8"/>
  <c r="B4028" i="8"/>
  <c r="C3245" i="8"/>
  <c r="C1584" i="8"/>
  <c r="B3245" i="8"/>
  <c r="B522" i="8"/>
  <c r="B3593" i="8"/>
  <c r="C4289" i="8"/>
  <c r="B3767" i="8"/>
  <c r="B4724" i="8"/>
  <c r="B458" i="8"/>
  <c r="B4289" i="8"/>
  <c r="B3419" i="8"/>
  <c r="C1854" i="8"/>
  <c r="B4463" i="8"/>
  <c r="C3332" i="8"/>
  <c r="C1674" i="8"/>
  <c r="C3419" i="8"/>
  <c r="C4376" i="8"/>
  <c r="C954" i="8"/>
  <c r="C4724" i="8"/>
  <c r="C1764" i="8"/>
  <c r="C1044" i="8"/>
  <c r="C2214" i="8"/>
  <c r="C4028" i="8"/>
  <c r="C4811" i="8"/>
  <c r="B3506" i="8"/>
  <c r="C4202" i="8"/>
  <c r="B4550" i="8"/>
  <c r="C3506" i="8"/>
  <c r="C3680" i="8"/>
  <c r="C2034" i="8"/>
  <c r="C1404" i="8"/>
  <c r="C3158" i="8"/>
  <c r="C3071" i="8"/>
  <c r="C2124" i="8"/>
  <c r="B658" i="8"/>
  <c r="B594" i="8"/>
  <c r="B3941" i="8"/>
  <c r="C3941" i="8"/>
  <c r="C3854" i="8"/>
  <c r="C2304" i="8"/>
  <c r="C4550" i="8"/>
  <c r="B4115" i="8"/>
  <c r="C594" i="8"/>
  <c r="C684" i="8"/>
  <c r="B3332" i="8"/>
  <c r="C1224" i="8"/>
  <c r="C2394" i="8"/>
  <c r="C1494" i="8"/>
  <c r="B4376" i="8"/>
  <c r="C4463" i="8"/>
  <c r="C3767" i="8"/>
  <c r="B4811" i="8"/>
  <c r="C1314" i="8"/>
  <c r="C1134" i="8"/>
  <c r="C864" i="8"/>
  <c r="H3591" i="8" a="1"/>
  <c r="H3939" i="8" a="1"/>
  <c r="G1673" i="8"/>
  <c r="H3417" i="8" a="1"/>
  <c r="H592" i="8" a="1"/>
  <c r="F593" i="8"/>
  <c r="F3679" i="8"/>
  <c r="G1853" i="8"/>
  <c r="F3853" i="8"/>
  <c r="G3070" i="8"/>
  <c r="F2413" i="8"/>
  <c r="G1223" i="8"/>
  <c r="G4114" i="8"/>
  <c r="F3157" i="8"/>
  <c r="H4461" i="8" a="1"/>
  <c r="G4375" i="8"/>
  <c r="G4201" i="8"/>
  <c r="F3244" i="8"/>
  <c r="H2393" i="8" a="1"/>
  <c r="H4200" i="8" a="1"/>
  <c r="G3331" i="8"/>
  <c r="H4374" i="8" a="1"/>
  <c r="H3765" i="8" a="1"/>
  <c r="G4288" i="8"/>
  <c r="F4201" i="8"/>
  <c r="F4375" i="8"/>
  <c r="G523" i="8"/>
  <c r="G3418" i="8"/>
  <c r="F3070" i="8"/>
  <c r="F3418" i="8"/>
  <c r="G4636" i="8"/>
  <c r="G2123" i="8"/>
  <c r="G953" i="8"/>
  <c r="G3766" i="8"/>
  <c r="G1313" i="8"/>
  <c r="G4462" i="8"/>
  <c r="H4113" i="8" a="1"/>
  <c r="G2394" i="8"/>
  <c r="G3157" i="8"/>
  <c r="F657" i="8"/>
  <c r="G1943" i="8"/>
  <c r="G1583" i="8"/>
  <c r="F4549" i="8"/>
  <c r="F4027" i="8"/>
  <c r="G4811" i="8"/>
  <c r="G3505" i="8"/>
  <c r="G1043" i="8"/>
  <c r="G1403" i="8"/>
  <c r="F457" i="8"/>
  <c r="H3678" i="8" a="1"/>
  <c r="G773" i="8"/>
  <c r="G3244" i="8"/>
  <c r="H4635" i="8" a="1"/>
  <c r="H4810" i="8" a="1"/>
  <c r="H522" i="8" a="1"/>
  <c r="H457" i="8" a="1"/>
  <c r="F522" i="8"/>
  <c r="F4462" i="8"/>
  <c r="H393" i="8" a="1"/>
  <c r="H657" i="8" a="1"/>
  <c r="F721" i="8"/>
  <c r="F4114" i="8"/>
  <c r="F3505" i="8"/>
  <c r="F4723" i="8"/>
  <c r="F4636" i="8"/>
  <c r="G863" i="8"/>
  <c r="G458" i="8"/>
  <c r="F4811" i="8"/>
  <c r="G1133" i="8"/>
  <c r="G1493" i="8"/>
  <c r="H3069" i="8" a="1"/>
  <c r="F4288" i="8"/>
  <c r="H721" i="8" a="1"/>
  <c r="H3243" i="8" a="1"/>
  <c r="H4026" i="8" a="1"/>
  <c r="F3331" i="8"/>
  <c r="G4549" i="8"/>
  <c r="H3504" i="8" a="1"/>
  <c r="G4723" i="8"/>
  <c r="F3940" i="8"/>
  <c r="G4027" i="8"/>
  <c r="G3940" i="8"/>
  <c r="G3679" i="8"/>
  <c r="G1763" i="8"/>
  <c r="F3592" i="8"/>
  <c r="G593" i="8"/>
  <c r="G2213" i="8"/>
  <c r="F3766" i="8"/>
  <c r="G2033" i="8"/>
  <c r="G3592" i="8"/>
  <c r="H3330" i="8" a="1"/>
  <c r="G2303" i="8"/>
  <c r="F393" i="8"/>
  <c r="H4722" i="8" a="1"/>
  <c r="H4548" i="8" a="1"/>
  <c r="H3852" i="8" a="1"/>
  <c r="H4287" i="8" a="1"/>
  <c r="G683" i="8"/>
  <c r="G3853" i="8"/>
  <c r="H3156" i="8" a="1"/>
  <c r="H522" i="8" l="1"/>
  <c r="H4287" i="8"/>
  <c r="H592" i="8"/>
  <c r="H3765" i="8"/>
  <c r="H4810" i="8"/>
  <c r="H4026" i="8"/>
  <c r="H4548" i="8"/>
  <c r="H657" i="8"/>
  <c r="H3417" i="8"/>
  <c r="H4374" i="8"/>
  <c r="H4635" i="8"/>
  <c r="H3243" i="8"/>
  <c r="H4722" i="8"/>
  <c r="H4113" i="8"/>
  <c r="H4461" i="8"/>
  <c r="H721" i="8"/>
  <c r="H457" i="8"/>
  <c r="H3504" i="8"/>
  <c r="H3852" i="8"/>
  <c r="H3939" i="8"/>
  <c r="H4200" i="8"/>
  <c r="H393" i="8"/>
  <c r="H3591" i="8"/>
  <c r="H2393" i="8"/>
  <c r="H3678" i="8"/>
  <c r="H3069" i="8"/>
  <c r="H3330" i="8"/>
  <c r="H3156" i="8"/>
  <c r="C955" i="8"/>
  <c r="B4464" i="8"/>
  <c r="C2395" i="8"/>
  <c r="C4029" i="8"/>
  <c r="C1765" i="8"/>
  <c r="B4116" i="8"/>
  <c r="C4725" i="8"/>
  <c r="C1225" i="8"/>
  <c r="C775" i="8"/>
  <c r="B4203" i="8"/>
  <c r="B595" i="8"/>
  <c r="B659" i="8"/>
  <c r="C1495" i="8"/>
  <c r="C3768" i="8"/>
  <c r="B4638" i="8"/>
  <c r="B3594" i="8"/>
  <c r="C4116" i="8"/>
  <c r="C1135" i="8"/>
  <c r="C4812" i="8"/>
  <c r="C4464" i="8"/>
  <c r="B4551" i="8"/>
  <c r="B3507" i="8"/>
  <c r="B4377" i="8"/>
  <c r="B4812" i="8"/>
  <c r="C4377" i="8"/>
  <c r="C1675" i="8"/>
  <c r="B3942" i="8"/>
  <c r="B4290" i="8"/>
  <c r="B2415" i="8"/>
  <c r="B4725" i="8"/>
  <c r="B3159" i="8"/>
  <c r="B3072" i="8"/>
  <c r="C4203" i="8"/>
  <c r="C4551" i="8"/>
  <c r="C1585" i="8"/>
  <c r="C1315" i="8"/>
  <c r="C4638" i="8"/>
  <c r="B723" i="8"/>
  <c r="C3159" i="8"/>
  <c r="C3072" i="8"/>
  <c r="C4290" i="8"/>
  <c r="C1045" i="8"/>
  <c r="C1945" i="8"/>
  <c r="B3855" i="8"/>
  <c r="C3333" i="8"/>
  <c r="B3246" i="8"/>
  <c r="C1405" i="8"/>
  <c r="C3855" i="8"/>
  <c r="B3420" i="8"/>
  <c r="C685" i="8"/>
  <c r="C595" i="8"/>
  <c r="C3942" i="8"/>
  <c r="B4029" i="8"/>
  <c r="C2215" i="8"/>
  <c r="C3246" i="8"/>
  <c r="C2125" i="8"/>
  <c r="C3594" i="8"/>
  <c r="C2305" i="8"/>
  <c r="C1855" i="8"/>
  <c r="C3507" i="8"/>
  <c r="C3420" i="8"/>
  <c r="B523" i="8"/>
  <c r="B3681" i="8"/>
  <c r="B3333" i="8"/>
  <c r="C3681" i="8"/>
  <c r="B3768" i="8"/>
  <c r="C865" i="8"/>
  <c r="C2035" i="8"/>
  <c r="H4375" i="8" a="1"/>
  <c r="G2214" i="8"/>
  <c r="F3071" i="8"/>
  <c r="H3505" i="8" a="1"/>
  <c r="G1314" i="8"/>
  <c r="G1944" i="8"/>
  <c r="F4550" i="8"/>
  <c r="G864" i="8"/>
  <c r="G774" i="8"/>
  <c r="F4724" i="8"/>
  <c r="H458" i="8" a="1"/>
  <c r="G2304" i="8"/>
  <c r="H3070" i="8" a="1"/>
  <c r="F3158" i="8"/>
  <c r="F3506" i="8"/>
  <c r="H4201" i="8" a="1"/>
  <c r="F4289" i="8"/>
  <c r="H4723" i="8" a="1"/>
  <c r="F658" i="8"/>
  <c r="F3332" i="8"/>
  <c r="G3854" i="8"/>
  <c r="H3244" i="8" a="1"/>
  <c r="H4636" i="8" a="1"/>
  <c r="G3071" i="8"/>
  <c r="G1134" i="8"/>
  <c r="H2394" i="8" a="1"/>
  <c r="G2034" i="8"/>
  <c r="G4289" i="8"/>
  <c r="F594" i="8"/>
  <c r="H3679" i="8" a="1"/>
  <c r="H658" i="8" a="1"/>
  <c r="F4115" i="8"/>
  <c r="G4028" i="8"/>
  <c r="G2395" i="8"/>
  <c r="F722" i="8"/>
  <c r="G1584" i="8"/>
  <c r="H4811" i="8" a="1"/>
  <c r="G3419" i="8"/>
  <c r="G1674" i="8"/>
  <c r="H3766" i="8" a="1"/>
  <c r="G3767" i="8"/>
  <c r="G1044" i="8"/>
  <c r="H3418" i="8" a="1"/>
  <c r="F3854" i="8"/>
  <c r="F3245" i="8"/>
  <c r="G1404" i="8"/>
  <c r="H4462" i="8" a="1"/>
  <c r="F3593" i="8"/>
  <c r="G4376" i="8"/>
  <c r="F4028" i="8"/>
  <c r="H3853" i="8" a="1"/>
  <c r="F458" i="8"/>
  <c r="G4463" i="8"/>
  <c r="H4114" i="8" a="1"/>
  <c r="G594" i="8"/>
  <c r="F3941" i="8"/>
  <c r="F2414" i="8"/>
  <c r="F3419" i="8"/>
  <c r="H3592" i="8" a="1"/>
  <c r="G1854" i="8"/>
  <c r="G4812" i="8"/>
  <c r="G1764" i="8"/>
  <c r="G4724" i="8"/>
  <c r="G4637" i="8"/>
  <c r="G3158" i="8"/>
  <c r="F4202" i="8"/>
  <c r="G4550" i="8"/>
  <c r="F4463" i="8"/>
  <c r="G684" i="8"/>
  <c r="G3332" i="8"/>
  <c r="F4637" i="8"/>
  <c r="G2124" i="8"/>
  <c r="H4549" i="8" a="1"/>
  <c r="H4027" i="8" a="1"/>
  <c r="F3767" i="8"/>
  <c r="G3680" i="8"/>
  <c r="H3940" i="8" a="1"/>
  <c r="H593" i="8" a="1"/>
  <c r="F3680" i="8"/>
  <c r="G1224" i="8"/>
  <c r="H3157" i="8" a="1"/>
  <c r="G3506" i="8"/>
  <c r="G4202" i="8"/>
  <c r="F523" i="8"/>
  <c r="G954" i="8"/>
  <c r="F4812" i="8"/>
  <c r="H4288" i="8" a="1"/>
  <c r="G3245" i="8"/>
  <c r="G4115" i="8"/>
  <c r="H3331" i="8" a="1"/>
  <c r="H722" i="8" a="1"/>
  <c r="F4376" i="8"/>
  <c r="G3593" i="8"/>
  <c r="G1494" i="8"/>
  <c r="G3941" i="8"/>
  <c r="H4811" i="8" l="1"/>
  <c r="H458" i="8"/>
  <c r="H3331" i="8"/>
  <c r="H3418" i="8"/>
  <c r="H4201" i="8"/>
  <c r="H3940" i="8"/>
  <c r="H2394" i="8"/>
  <c r="H658" i="8"/>
  <c r="H3157" i="8"/>
  <c r="H4114" i="8"/>
  <c r="H3505" i="8"/>
  <c r="H4288" i="8"/>
  <c r="H3592" i="8"/>
  <c r="H3679" i="8"/>
  <c r="H4462" i="8"/>
  <c r="H3766" i="8"/>
  <c r="H3070" i="8"/>
  <c r="H4027" i="8"/>
  <c r="H4636" i="8"/>
  <c r="H722" i="8"/>
  <c r="H4549" i="8"/>
  <c r="H3244" i="8"/>
  <c r="H4723" i="8"/>
  <c r="H593" i="8"/>
  <c r="H3853" i="8"/>
  <c r="H4375" i="8"/>
  <c r="C956" i="8"/>
  <c r="C776" i="8"/>
  <c r="C3943" i="8"/>
  <c r="B3334" i="8"/>
  <c r="B3943" i="8"/>
  <c r="C3160" i="8"/>
  <c r="C3073" i="8"/>
  <c r="C1406" i="8"/>
  <c r="C4639" i="8"/>
  <c r="B3073" i="8"/>
  <c r="B3160" i="8"/>
  <c r="C2126" i="8"/>
  <c r="B3856" i="8"/>
  <c r="B3421" i="8"/>
  <c r="C3595" i="8"/>
  <c r="C2396" i="8"/>
  <c r="C2216" i="8"/>
  <c r="C4030" i="8"/>
  <c r="C1496" i="8"/>
  <c r="C3421" i="8"/>
  <c r="C2036" i="8"/>
  <c r="C3247" i="8"/>
  <c r="B3247" i="8"/>
  <c r="B2416" i="8"/>
  <c r="B4030" i="8"/>
  <c r="C4465" i="8"/>
  <c r="B4465" i="8"/>
  <c r="B4639" i="8"/>
  <c r="C4204" i="8"/>
  <c r="B4726" i="8"/>
  <c r="C1586" i="8"/>
  <c r="C1316" i="8"/>
  <c r="B4552" i="8"/>
  <c r="C4378" i="8"/>
  <c r="C4726" i="8"/>
  <c r="C1676" i="8"/>
  <c r="C4291" i="8"/>
  <c r="B3595" i="8"/>
  <c r="B724" i="8"/>
  <c r="B4291" i="8"/>
  <c r="B4204" i="8"/>
  <c r="C4117" i="8"/>
  <c r="B3508" i="8"/>
  <c r="C3769" i="8"/>
  <c r="C3508" i="8"/>
  <c r="C1946" i="8"/>
  <c r="C3682" i="8"/>
  <c r="C3334" i="8"/>
  <c r="B4117" i="8"/>
  <c r="C686" i="8"/>
  <c r="C596" i="8"/>
  <c r="C1136" i="8"/>
  <c r="B4813" i="8"/>
  <c r="B4378" i="8"/>
  <c r="C1766" i="8"/>
  <c r="C4552" i="8"/>
  <c r="C1226" i="8"/>
  <c r="B3682" i="8"/>
  <c r="C3856" i="8"/>
  <c r="C1856" i="8"/>
  <c r="B3769" i="8"/>
  <c r="C2306" i="8"/>
  <c r="B660" i="8"/>
  <c r="B596" i="8"/>
  <c r="C866" i="8"/>
  <c r="C4813" i="8"/>
  <c r="C1046" i="8"/>
  <c r="G1765" i="8"/>
  <c r="G1945" i="8"/>
  <c r="H4812" i="8" a="1"/>
  <c r="G3768" i="8"/>
  <c r="F4029" i="8"/>
  <c r="G4290" i="8"/>
  <c r="G865" i="8"/>
  <c r="G3246" i="8"/>
  <c r="G4638" i="8"/>
  <c r="F3246" i="8"/>
  <c r="H3506" i="8" a="1"/>
  <c r="H4115" i="8" a="1"/>
  <c r="F4377" i="8"/>
  <c r="H2395" i="8" a="1"/>
  <c r="H4550" i="8" a="1"/>
  <c r="F4551" i="8"/>
  <c r="H3767" i="8" a="1"/>
  <c r="H594" i="8" a="1"/>
  <c r="G4116" i="8"/>
  <c r="H4028" i="8" a="1"/>
  <c r="F4638" i="8"/>
  <c r="G2125" i="8"/>
  <c r="G4377" i="8"/>
  <c r="F3420" i="8"/>
  <c r="G2035" i="8"/>
  <c r="H4289" i="8" a="1"/>
  <c r="H3680" i="8" a="1"/>
  <c r="G1495" i="8"/>
  <c r="H723" i="8" a="1"/>
  <c r="H3593" i="8" a="1"/>
  <c r="G775" i="8"/>
  <c r="G1045" i="8"/>
  <c r="F3768" i="8"/>
  <c r="G4813" i="8"/>
  <c r="G3594" i="8"/>
  <c r="G2305" i="8"/>
  <c r="F3072" i="8"/>
  <c r="H3071" i="8" a="1"/>
  <c r="F4203" i="8"/>
  <c r="G2396" i="8"/>
  <c r="H4376" i="8" a="1"/>
  <c r="F4116" i="8"/>
  <c r="H4637" i="8" a="1"/>
  <c r="G2215" i="8"/>
  <c r="F3942" i="8"/>
  <c r="H4724" i="8" a="1"/>
  <c r="G3681" i="8"/>
  <c r="H523" i="8" a="1"/>
  <c r="G685" i="8"/>
  <c r="H3854" i="8" a="1"/>
  <c r="G955" i="8"/>
  <c r="F3159" i="8"/>
  <c r="H3158" i="8" a="1"/>
  <c r="F3681" i="8"/>
  <c r="F2415" i="8"/>
  <c r="G1585" i="8"/>
  <c r="G3855" i="8"/>
  <c r="F4813" i="8"/>
  <c r="G4203" i="8"/>
  <c r="G1315" i="8"/>
  <c r="G4725" i="8"/>
  <c r="F3507" i="8"/>
  <c r="F3855" i="8"/>
  <c r="G1675" i="8"/>
  <c r="G4464" i="8"/>
  <c r="G1855" i="8"/>
  <c r="F723" i="8"/>
  <c r="G1135" i="8"/>
  <c r="G3420" i="8"/>
  <c r="G3159" i="8"/>
  <c r="G3072" i="8"/>
  <c r="H3332" i="8" a="1"/>
  <c r="F4464" i="8"/>
  <c r="G4551" i="8"/>
  <c r="H3245" i="8" a="1"/>
  <c r="F595" i="8"/>
  <c r="F4290" i="8"/>
  <c r="G3507" i="8"/>
  <c r="H3419" i="8" a="1"/>
  <c r="G595" i="8"/>
  <c r="G3942" i="8"/>
  <c r="H659" i="8" a="1"/>
  <c r="F3594" i="8"/>
  <c r="G1405" i="8"/>
  <c r="H4202" i="8" a="1"/>
  <c r="F4725" i="8"/>
  <c r="G3333" i="8"/>
  <c r="F3333" i="8"/>
  <c r="H3941" i="8" a="1"/>
  <c r="G1225" i="8"/>
  <c r="G4029" i="8"/>
  <c r="H4463" i="8" a="1"/>
  <c r="F659" i="8"/>
  <c r="H659" i="8" l="1"/>
  <c r="H4463" i="8"/>
  <c r="H4376" i="8"/>
  <c r="H3245" i="8"/>
  <c r="H3593" i="8"/>
  <c r="H3941" i="8"/>
  <c r="H4550" i="8"/>
  <c r="H523" i="8"/>
  <c r="H723" i="8"/>
  <c r="H4028" i="8"/>
  <c r="H2395" i="8"/>
  <c r="H3158" i="8"/>
  <c r="H4812" i="8"/>
  <c r="H4202" i="8"/>
  <c r="H3419" i="8"/>
  <c r="H4724" i="8"/>
  <c r="H4637" i="8"/>
  <c r="H3071" i="8"/>
  <c r="H3332" i="8"/>
  <c r="H3680" i="8"/>
  <c r="H594" i="8"/>
  <c r="H4115" i="8"/>
  <c r="H4289" i="8"/>
  <c r="H3767" i="8"/>
  <c r="H3506" i="8"/>
  <c r="H3854" i="8"/>
  <c r="B661" i="8"/>
  <c r="B597" i="8"/>
  <c r="C2397" i="8"/>
  <c r="C1947" i="8"/>
  <c r="B3770" i="8"/>
  <c r="C4640" i="8"/>
  <c r="B4466" i="8"/>
  <c r="C1227" i="8"/>
  <c r="C3770" i="8"/>
  <c r="C3596" i="8"/>
  <c r="B3683" i="8"/>
  <c r="C1767" i="8"/>
  <c r="C4466" i="8"/>
  <c r="C4553" i="8"/>
  <c r="B3161" i="8"/>
  <c r="B3074" i="8"/>
  <c r="C3074" i="8"/>
  <c r="C3161" i="8"/>
  <c r="C1317" i="8"/>
  <c r="C1857" i="8"/>
  <c r="B4205" i="8"/>
  <c r="B3596" i="8"/>
  <c r="B4292" i="8"/>
  <c r="C1407" i="8"/>
  <c r="B4814" i="8"/>
  <c r="B4727" i="8"/>
  <c r="B2417" i="8"/>
  <c r="C3335" i="8"/>
  <c r="C3509" i="8"/>
  <c r="C4118" i="8"/>
  <c r="B3509" i="8"/>
  <c r="C2217" i="8"/>
  <c r="C3248" i="8"/>
  <c r="B3422" i="8"/>
  <c r="C867" i="8"/>
  <c r="C1137" i="8"/>
  <c r="C957" i="8"/>
  <c r="B725" i="8"/>
  <c r="B3857" i="8"/>
  <c r="C3944" i="8"/>
  <c r="C687" i="8"/>
  <c r="C597" i="8"/>
  <c r="C2037" i="8"/>
  <c r="C4379" i="8"/>
  <c r="C4814" i="8"/>
  <c r="B4118" i="8"/>
  <c r="C2307" i="8"/>
  <c r="B3248" i="8"/>
  <c r="C4727" i="8"/>
  <c r="C777" i="8"/>
  <c r="C3422" i="8"/>
  <c r="C3857" i="8"/>
  <c r="C4205" i="8"/>
  <c r="B4379" i="8"/>
  <c r="B4640" i="8"/>
  <c r="C1677" i="8"/>
  <c r="C4292" i="8"/>
  <c r="B4553" i="8"/>
  <c r="B3335" i="8"/>
  <c r="C2127" i="8"/>
  <c r="C1587" i="8"/>
  <c r="C3683" i="8"/>
  <c r="B3944" i="8"/>
  <c r="C1497" i="8"/>
  <c r="B4031" i="8"/>
  <c r="C4031" i="8"/>
  <c r="C1047" i="8"/>
  <c r="G2126" i="8"/>
  <c r="H4116" i="8" a="1"/>
  <c r="G686" i="8"/>
  <c r="G3769" i="8"/>
  <c r="H4813" i="8" a="1"/>
  <c r="G4726" i="8"/>
  <c r="H3594" i="8" a="1"/>
  <c r="H2396" i="8" a="1"/>
  <c r="G4465" i="8"/>
  <c r="H3333" i="8" a="1"/>
  <c r="G4291" i="8"/>
  <c r="G3247" i="8"/>
  <c r="G956" i="8"/>
  <c r="G3856" i="8"/>
  <c r="G1136" i="8"/>
  <c r="G2306" i="8"/>
  <c r="H4290" i="8" a="1"/>
  <c r="F4726" i="8"/>
  <c r="H3768" i="8" a="1"/>
  <c r="H4551" i="8" a="1"/>
  <c r="H724" i="8" a="1"/>
  <c r="G4814" i="8"/>
  <c r="F3769" i="8"/>
  <c r="H3855" i="8" a="1"/>
  <c r="F3595" i="8"/>
  <c r="F4552" i="8"/>
  <c r="G1226" i="8"/>
  <c r="F3856" i="8"/>
  <c r="G3421" i="8"/>
  <c r="F3682" i="8"/>
  <c r="H595" i="8" a="1"/>
  <c r="F660" i="8"/>
  <c r="G3073" i="8"/>
  <c r="F4465" i="8"/>
  <c r="F3421" i="8"/>
  <c r="F3508" i="8"/>
  <c r="F3247" i="8"/>
  <c r="F4814" i="8"/>
  <c r="H3159" i="8" a="1"/>
  <c r="G3160" i="8"/>
  <c r="F724" i="8"/>
  <c r="G776" i="8"/>
  <c r="G1406" i="8"/>
  <c r="F4378" i="8"/>
  <c r="G4117" i="8"/>
  <c r="F3073" i="8"/>
  <c r="G1856" i="8"/>
  <c r="G3682" i="8"/>
  <c r="F4639" i="8"/>
  <c r="F3943" i="8"/>
  <c r="H660" i="8" a="1"/>
  <c r="H4377" i="8" a="1"/>
  <c r="G1946" i="8"/>
  <c r="H3507" i="8" a="1"/>
  <c r="H3681" i="8" a="1"/>
  <c r="G4639" i="8"/>
  <c r="H4029" i="8" a="1"/>
  <c r="H3072" i="8" a="1"/>
  <c r="G3595" i="8"/>
  <c r="G4030" i="8"/>
  <c r="H4203" i="8" a="1"/>
  <c r="F3160" i="8"/>
  <c r="F4030" i="8"/>
  <c r="G1316" i="8"/>
  <c r="G1496" i="8"/>
  <c r="G866" i="8"/>
  <c r="F2416" i="8"/>
  <c r="H3942" i="8" a="1"/>
  <c r="F3334" i="8"/>
  <c r="G2397" i="8"/>
  <c r="G1586" i="8"/>
  <c r="G4552" i="8"/>
  <c r="F4291" i="8"/>
  <c r="F4204" i="8"/>
  <c r="G4378" i="8"/>
  <c r="G4204" i="8"/>
  <c r="F4117" i="8"/>
  <c r="H4464" i="8" a="1"/>
  <c r="H4638" i="8" a="1"/>
  <c r="G596" i="8"/>
  <c r="G1046" i="8"/>
  <c r="G2036" i="8"/>
  <c r="G3508" i="8"/>
  <c r="G3943" i="8"/>
  <c r="H3420" i="8" a="1"/>
  <c r="G2216" i="8"/>
  <c r="G3334" i="8"/>
  <c r="G1766" i="8"/>
  <c r="H3246" i="8" a="1"/>
  <c r="G1676" i="8"/>
  <c r="F596" i="8"/>
  <c r="H4725" i="8" a="1"/>
  <c r="H3855" i="8" l="1"/>
  <c r="H3246" i="8"/>
  <c r="H3768" i="8"/>
  <c r="H3333" i="8"/>
  <c r="H4725" i="8"/>
  <c r="H3507" i="8"/>
  <c r="H4377" i="8"/>
  <c r="H3420" i="8"/>
  <c r="H3159" i="8"/>
  <c r="H4464" i="8"/>
  <c r="H3072" i="8"/>
  <c r="H2396" i="8"/>
  <c r="H660" i="8"/>
  <c r="H4290" i="8"/>
  <c r="H4029" i="8"/>
  <c r="H3594" i="8"/>
  <c r="H4116" i="8"/>
  <c r="H4203" i="8"/>
  <c r="H724" i="8"/>
  <c r="H3681" i="8"/>
  <c r="H4813" i="8"/>
  <c r="H4551" i="8"/>
  <c r="H4638" i="8"/>
  <c r="H595" i="8"/>
  <c r="H3942" i="8"/>
  <c r="C1138" i="8"/>
  <c r="B3423" i="8"/>
  <c r="C688" i="8"/>
  <c r="C598" i="8"/>
  <c r="B3510" i="8"/>
  <c r="C4206" i="8"/>
  <c r="C3423" i="8"/>
  <c r="C1498" i="8"/>
  <c r="B3684" i="8"/>
  <c r="C1588" i="8"/>
  <c r="C2218" i="8"/>
  <c r="B4641" i="8"/>
  <c r="C1768" i="8"/>
  <c r="C868" i="8"/>
  <c r="B3336" i="8"/>
  <c r="C778" i="8"/>
  <c r="B3945" i="8"/>
  <c r="C1048" i="8"/>
  <c r="B4293" i="8"/>
  <c r="C1408" i="8"/>
  <c r="C3162" i="8"/>
  <c r="C3075" i="8"/>
  <c r="C4380" i="8"/>
  <c r="C4293" i="8"/>
  <c r="C4815" i="8"/>
  <c r="C4554" i="8"/>
  <c r="C3771" i="8"/>
  <c r="B4467" i="8"/>
  <c r="C3945" i="8"/>
  <c r="B4206" i="8"/>
  <c r="C4467" i="8"/>
  <c r="C2128" i="8"/>
  <c r="C958" i="8"/>
  <c r="C3336" i="8"/>
  <c r="B3597" i="8"/>
  <c r="C3597" i="8"/>
  <c r="B2418" i="8"/>
  <c r="B4380" i="8"/>
  <c r="C4641" i="8"/>
  <c r="C1858" i="8"/>
  <c r="C3684" i="8"/>
  <c r="C1318" i="8"/>
  <c r="C4728" i="8"/>
  <c r="C2038" i="8"/>
  <c r="B662" i="8"/>
  <c r="B598" i="8"/>
  <c r="B4119" i="8"/>
  <c r="C1678" i="8"/>
  <c r="B4728" i="8"/>
  <c r="C3510" i="8"/>
  <c r="C2308" i="8"/>
  <c r="B4815" i="8"/>
  <c r="B3249" i="8"/>
  <c r="B3771" i="8"/>
  <c r="B4554" i="8"/>
  <c r="C4119" i="8"/>
  <c r="B4032" i="8"/>
  <c r="C2398" i="8"/>
  <c r="C4032" i="8"/>
  <c r="C1228" i="8"/>
  <c r="C1948" i="8"/>
  <c r="C3249" i="8"/>
  <c r="B3162" i="8"/>
  <c r="B3075" i="8"/>
  <c r="C3858" i="8"/>
  <c r="B3858" i="8"/>
  <c r="B726" i="8"/>
  <c r="H3595" i="8" a="1"/>
  <c r="F4815" i="8"/>
  <c r="F3857" i="8"/>
  <c r="F725" i="8"/>
  <c r="F3161" i="8"/>
  <c r="H2397" i="8" a="1"/>
  <c r="F3248" i="8"/>
  <c r="H3160" i="8" a="1"/>
  <c r="G1227" i="8"/>
  <c r="G3074" i="8"/>
  <c r="G1047" i="8"/>
  <c r="F4466" i="8"/>
  <c r="F3509" i="8"/>
  <c r="G4205" i="8"/>
  <c r="H4726" i="8" a="1"/>
  <c r="H3682" i="8" a="1"/>
  <c r="G2037" i="8"/>
  <c r="F3335" i="8"/>
  <c r="H4639" i="8" a="1"/>
  <c r="H4291" i="8" a="1"/>
  <c r="H4030" i="8" a="1"/>
  <c r="H3769" i="8" a="1"/>
  <c r="G1767" i="8"/>
  <c r="G1947" i="8"/>
  <c r="H3508" i="8" a="1"/>
  <c r="G1317" i="8"/>
  <c r="G4379" i="8"/>
  <c r="H3247" i="8" a="1"/>
  <c r="F3683" i="8"/>
  <c r="G3248" i="8"/>
  <c r="G1497" i="8"/>
  <c r="H661" i="8" a="1"/>
  <c r="G4640" i="8"/>
  <c r="G3509" i="8"/>
  <c r="G4727" i="8"/>
  <c r="H3856" i="8" a="1"/>
  <c r="G3422" i="8"/>
  <c r="F4379" i="8"/>
  <c r="G4118" i="8"/>
  <c r="G3944" i="8"/>
  <c r="H4465" i="8" a="1"/>
  <c r="G3683" i="8"/>
  <c r="H4117" i="8" a="1"/>
  <c r="F4727" i="8"/>
  <c r="H4378" i="8" a="1"/>
  <c r="G4466" i="8"/>
  <c r="G2398" i="8"/>
  <c r="G3596" i="8"/>
  <c r="F3596" i="8"/>
  <c r="F661" i="8"/>
  <c r="G2217" i="8"/>
  <c r="G957" i="8"/>
  <c r="H4204" i="8" a="1"/>
  <c r="G597" i="8"/>
  <c r="H725" i="8" a="1"/>
  <c r="F2417" i="8"/>
  <c r="F3422" i="8"/>
  <c r="G2307" i="8"/>
  <c r="F4292" i="8"/>
  <c r="G777" i="8"/>
  <c r="F3074" i="8"/>
  <c r="G1407" i="8"/>
  <c r="G2127" i="8"/>
  <c r="F4553" i="8"/>
  <c r="G3770" i="8"/>
  <c r="G4553" i="8"/>
  <c r="G3335" i="8"/>
  <c r="G1137" i="8"/>
  <c r="G687" i="8"/>
  <c r="H596" i="8" a="1"/>
  <c r="H4814" i="8" a="1"/>
  <c r="G3161" i="8"/>
  <c r="F4205" i="8"/>
  <c r="H3334" i="8" a="1"/>
  <c r="H4552" i="8" a="1"/>
  <c r="G867" i="8"/>
  <c r="G4292" i="8"/>
  <c r="F597" i="8"/>
  <c r="F3944" i="8"/>
  <c r="G1587" i="8"/>
  <c r="G1677" i="8"/>
  <c r="H3421" i="8" a="1"/>
  <c r="H3943" i="8" a="1"/>
  <c r="G4815" i="8"/>
  <c r="H3073" i="8" a="1"/>
  <c r="G3857" i="8"/>
  <c r="G4031" i="8"/>
  <c r="F4031" i="8"/>
  <c r="F4640" i="8"/>
  <c r="F4118" i="8"/>
  <c r="G1857" i="8"/>
  <c r="F3770" i="8"/>
  <c r="H661" i="8" l="1"/>
  <c r="H725" i="8"/>
  <c r="H4378" i="8"/>
  <c r="H4639" i="8"/>
  <c r="H2397" i="8"/>
  <c r="H4552" i="8"/>
  <c r="H4465" i="8"/>
  <c r="H3943" i="8"/>
  <c r="H596" i="8"/>
  <c r="H3334" i="8"/>
  <c r="H3073" i="8"/>
  <c r="H3421" i="8"/>
  <c r="H4291" i="8"/>
  <c r="H3247" i="8"/>
  <c r="H4117" i="8"/>
  <c r="H3856" i="8"/>
  <c r="H3508" i="8"/>
  <c r="H3160" i="8"/>
  <c r="H3769" i="8"/>
  <c r="H3682" i="8"/>
  <c r="H4030" i="8"/>
  <c r="H4726" i="8"/>
  <c r="H4204" i="8"/>
  <c r="H4814" i="8"/>
  <c r="H3595" i="8"/>
  <c r="C4207" i="8"/>
  <c r="B3859" i="8"/>
  <c r="B3946" i="8"/>
  <c r="B3163" i="8"/>
  <c r="B3076" i="8"/>
  <c r="C2399" i="8"/>
  <c r="B727" i="8"/>
  <c r="C4816" i="8"/>
  <c r="C3772" i="8"/>
  <c r="C4729" i="8"/>
  <c r="B2419" i="8"/>
  <c r="B3685" i="8"/>
  <c r="C4555" i="8"/>
  <c r="C3859" i="8"/>
  <c r="C4468" i="8"/>
  <c r="C779" i="8"/>
  <c r="B3250" i="8"/>
  <c r="C2039" i="8"/>
  <c r="C4120" i="8"/>
  <c r="B4120" i="8"/>
  <c r="B4642" i="8"/>
  <c r="B3337" i="8"/>
  <c r="B4816" i="8"/>
  <c r="B4207" i="8"/>
  <c r="C1409" i="8"/>
  <c r="C1949" i="8"/>
  <c r="C2219" i="8"/>
  <c r="C4642" i="8"/>
  <c r="C1499" i="8"/>
  <c r="C1139" i="8"/>
  <c r="C869" i="8"/>
  <c r="C959" i="8"/>
  <c r="B4729" i="8"/>
  <c r="C1679" i="8"/>
  <c r="C1589" i="8"/>
  <c r="C4294" i="8"/>
  <c r="C3946" i="8"/>
  <c r="C3337" i="8"/>
  <c r="C1769" i="8"/>
  <c r="C2129" i="8"/>
  <c r="B4468" i="8"/>
  <c r="C3685" i="8"/>
  <c r="C3424" i="8"/>
  <c r="B4294" i="8"/>
  <c r="B4555" i="8"/>
  <c r="C4381" i="8"/>
  <c r="C3163" i="8"/>
  <c r="C3076" i="8"/>
  <c r="B3424" i="8"/>
  <c r="B3511" i="8"/>
  <c r="C1319" i="8"/>
  <c r="C3598" i="8"/>
  <c r="B663" i="8"/>
  <c r="B599" i="8"/>
  <c r="C1049" i="8"/>
  <c r="C4033" i="8"/>
  <c r="C3250" i="8"/>
  <c r="B4381" i="8"/>
  <c r="B4033" i="8"/>
  <c r="C1859" i="8"/>
  <c r="C2309" i="8"/>
  <c r="B3772" i="8"/>
  <c r="C3511" i="8"/>
  <c r="B3598" i="8"/>
  <c r="C689" i="8"/>
  <c r="C599" i="8"/>
  <c r="C1229" i="8"/>
  <c r="H2398" i="8" a="1"/>
  <c r="H4118" i="8" a="1"/>
  <c r="G1228" i="8"/>
  <c r="F4467" i="8"/>
  <c r="G4032" i="8"/>
  <c r="G1498" i="8"/>
  <c r="G4816" i="8"/>
  <c r="G1948" i="8"/>
  <c r="H4640" i="8" a="1"/>
  <c r="F2418" i="8"/>
  <c r="F4293" i="8"/>
  <c r="H4031" i="8" a="1"/>
  <c r="H3422" i="8" a="1"/>
  <c r="G598" i="8"/>
  <c r="G1768" i="8"/>
  <c r="G1408" i="8"/>
  <c r="H662" i="8" a="1"/>
  <c r="H3944" i="8" a="1"/>
  <c r="G2308" i="8"/>
  <c r="F3075" i="8"/>
  <c r="H3596" i="8" a="1"/>
  <c r="H597" i="8" a="1"/>
  <c r="F3771" i="8"/>
  <c r="H4815" i="8" a="1"/>
  <c r="F3423" i="8"/>
  <c r="G3423" i="8"/>
  <c r="G1678" i="8"/>
  <c r="G1048" i="8"/>
  <c r="F662" i="8"/>
  <c r="F4554" i="8"/>
  <c r="G3510" i="8"/>
  <c r="F3858" i="8"/>
  <c r="H4553" i="8" a="1"/>
  <c r="G4641" i="8"/>
  <c r="H3248" i="8" a="1"/>
  <c r="G4467" i="8"/>
  <c r="F4206" i="8"/>
  <c r="F3249" i="8"/>
  <c r="F4119" i="8"/>
  <c r="G4119" i="8"/>
  <c r="G4380" i="8"/>
  <c r="G1138" i="8"/>
  <c r="H726" i="8" a="1"/>
  <c r="F3945" i="8"/>
  <c r="F3162" i="8"/>
  <c r="G2399" i="8"/>
  <c r="G688" i="8"/>
  <c r="H4205" i="8" a="1"/>
  <c r="H3074" i="8" a="1"/>
  <c r="H3509" i="8" a="1"/>
  <c r="G3945" i="8"/>
  <c r="F598" i="8"/>
  <c r="G2128" i="8"/>
  <c r="G2038" i="8"/>
  <c r="F4728" i="8"/>
  <c r="G3249" i="8"/>
  <c r="F3597" i="8"/>
  <c r="F4032" i="8"/>
  <c r="H3683" i="8" a="1"/>
  <c r="G3597" i="8"/>
  <c r="H3857" i="8" a="1"/>
  <c r="F3336" i="8"/>
  <c r="G4206" i="8"/>
  <c r="F4641" i="8"/>
  <c r="G3162" i="8"/>
  <c r="G1858" i="8"/>
  <c r="G4554" i="8"/>
  <c r="F726" i="8"/>
  <c r="H4727" i="8" a="1"/>
  <c r="H3161" i="8" a="1"/>
  <c r="G4728" i="8"/>
  <c r="H3770" i="8" a="1"/>
  <c r="G3075" i="8"/>
  <c r="G2218" i="8"/>
  <c r="F3684" i="8"/>
  <c r="F4380" i="8"/>
  <c r="G3336" i="8"/>
  <c r="G1588" i="8"/>
  <c r="G3684" i="8"/>
  <c r="H3335" i="8" a="1"/>
  <c r="H4466" i="8" a="1"/>
  <c r="H4379" i="8" a="1"/>
  <c r="F3510" i="8"/>
  <c r="G778" i="8"/>
  <c r="G4293" i="8"/>
  <c r="G1318" i="8"/>
  <c r="G868" i="8"/>
  <c r="H4292" i="8" a="1"/>
  <c r="G3771" i="8"/>
  <c r="G958" i="8"/>
  <c r="G3858" i="8"/>
  <c r="F4816" i="8"/>
  <c r="H726" i="8" l="1"/>
  <c r="H3683" i="8"/>
  <c r="H4640" i="8"/>
  <c r="H4205" i="8"/>
  <c r="H3944" i="8"/>
  <c r="H3248" i="8"/>
  <c r="H3770" i="8"/>
  <c r="H4815" i="8"/>
  <c r="H4379" i="8"/>
  <c r="H4292" i="8"/>
  <c r="H4553" i="8"/>
  <c r="H3161" i="8"/>
  <c r="H597" i="8"/>
  <c r="H4466" i="8"/>
  <c r="H3422" i="8"/>
  <c r="H3509" i="8"/>
  <c r="H4118" i="8"/>
  <c r="H3857" i="8"/>
  <c r="H662" i="8"/>
  <c r="H4727" i="8"/>
  <c r="H3596" i="8"/>
  <c r="H3335" i="8"/>
  <c r="H4031" i="8"/>
  <c r="H3074" i="8"/>
  <c r="H2398" i="8"/>
  <c r="C4121" i="8"/>
  <c r="C3164" i="8"/>
  <c r="C3077" i="8"/>
  <c r="C690" i="8"/>
  <c r="C600" i="8"/>
  <c r="C1140" i="8"/>
  <c r="B728" i="8"/>
  <c r="C960" i="8"/>
  <c r="C2310" i="8"/>
  <c r="C1500" i="8"/>
  <c r="C3860" i="8"/>
  <c r="C1320" i="8"/>
  <c r="C780" i="8"/>
  <c r="C3599" i="8"/>
  <c r="C2400" i="8"/>
  <c r="B4121" i="8"/>
  <c r="C3338" i="8"/>
  <c r="B3599" i="8"/>
  <c r="C4469" i="8"/>
  <c r="B4382" i="8"/>
  <c r="C3773" i="8"/>
  <c r="C2220" i="8"/>
  <c r="C3425" i="8"/>
  <c r="C1680" i="8"/>
  <c r="B4817" i="8"/>
  <c r="B4730" i="8"/>
  <c r="C4208" i="8"/>
  <c r="B3338" i="8"/>
  <c r="C4556" i="8"/>
  <c r="C4643" i="8"/>
  <c r="B2420" i="8"/>
  <c r="B4034" i="8"/>
  <c r="C3686" i="8"/>
  <c r="C3512" i="8"/>
  <c r="C1860" i="8"/>
  <c r="C2040" i="8"/>
  <c r="B3425" i="8"/>
  <c r="B3773" i="8"/>
  <c r="B3077" i="8"/>
  <c r="B3164" i="8"/>
  <c r="B3686" i="8"/>
  <c r="B3860" i="8"/>
  <c r="C1950" i="8"/>
  <c r="B4469" i="8"/>
  <c r="B664" i="8"/>
  <c r="B600" i="8"/>
  <c r="C3251" i="8"/>
  <c r="B4643" i="8"/>
  <c r="B4556" i="8"/>
  <c r="C4034" i="8"/>
  <c r="C4382" i="8"/>
  <c r="C1770" i="8"/>
  <c r="C1050" i="8"/>
  <c r="C1230" i="8"/>
  <c r="C4730" i="8"/>
  <c r="B4295" i="8"/>
  <c r="B4208" i="8"/>
  <c r="C2130" i="8"/>
  <c r="C870" i="8"/>
  <c r="C3947" i="8"/>
  <c r="C4817" i="8"/>
  <c r="B3251" i="8"/>
  <c r="B3947" i="8"/>
  <c r="C1410" i="8"/>
  <c r="B3512" i="8"/>
  <c r="C1590" i="8"/>
  <c r="C4295" i="8"/>
  <c r="H4293" i="8" a="1"/>
  <c r="F3076" i="8"/>
  <c r="G3511" i="8"/>
  <c r="F3772" i="8"/>
  <c r="F3859" i="8"/>
  <c r="G1679" i="8"/>
  <c r="G869" i="8"/>
  <c r="H4467" i="8" a="1"/>
  <c r="F4468" i="8"/>
  <c r="G3685" i="8"/>
  <c r="G3598" i="8"/>
  <c r="H4119" i="8" a="1"/>
  <c r="F4207" i="8"/>
  <c r="F3511" i="8"/>
  <c r="G599" i="8"/>
  <c r="G3337" i="8"/>
  <c r="G1319" i="8"/>
  <c r="G1229" i="8"/>
  <c r="H3336" i="8" a="1"/>
  <c r="G4729" i="8"/>
  <c r="F4729" i="8"/>
  <c r="G2039" i="8"/>
  <c r="G3772" i="8"/>
  <c r="F663" i="8"/>
  <c r="G1769" i="8"/>
  <c r="F727" i="8"/>
  <c r="H4641" i="8" a="1"/>
  <c r="G1499" i="8"/>
  <c r="G1589" i="8"/>
  <c r="H598" i="8" a="1"/>
  <c r="H4032" i="8" a="1"/>
  <c r="F4555" i="8"/>
  <c r="F4033" i="8"/>
  <c r="H3249" i="8" a="1"/>
  <c r="F3163" i="8"/>
  <c r="G4468" i="8"/>
  <c r="G4642" i="8"/>
  <c r="H3423" i="8" a="1"/>
  <c r="H3597" i="8" a="1"/>
  <c r="F3250" i="8"/>
  <c r="G959" i="8"/>
  <c r="H4554" i="8" a="1"/>
  <c r="F4294" i="8"/>
  <c r="G2400" i="8"/>
  <c r="G3163" i="8"/>
  <c r="G1049" i="8"/>
  <c r="H3510" i="8" a="1"/>
  <c r="F3946" i="8"/>
  <c r="G4381" i="8"/>
  <c r="H3945" i="8" a="1"/>
  <c r="H3858" i="8" a="1"/>
  <c r="F4642" i="8"/>
  <c r="F4817" i="8"/>
  <c r="G3076" i="8"/>
  <c r="H727" i="8" a="1"/>
  <c r="H663" i="8" a="1"/>
  <c r="G3424" i="8"/>
  <c r="H4728" i="8" a="1"/>
  <c r="F599" i="8"/>
  <c r="H3684" i="8" a="1"/>
  <c r="G4033" i="8"/>
  <c r="H4380" i="8" a="1"/>
  <c r="G4555" i="8"/>
  <c r="G4817" i="8"/>
  <c r="F3598" i="8"/>
  <c r="H3162" i="8" a="1"/>
  <c r="H2399" i="8" a="1"/>
  <c r="G4294" i="8"/>
  <c r="G2129" i="8"/>
  <c r="H4206" i="8" a="1"/>
  <c r="G1949" i="8"/>
  <c r="F4381" i="8"/>
  <c r="G689" i="8"/>
  <c r="F4120" i="8"/>
  <c r="F2419" i="8"/>
  <c r="G1139" i="8"/>
  <c r="G1409" i="8"/>
  <c r="H3075" i="8" a="1"/>
  <c r="G2309" i="8"/>
  <c r="F3685" i="8"/>
  <c r="H4816" i="8" a="1"/>
  <c r="G3946" i="8"/>
  <c r="G779" i="8"/>
  <c r="G3250" i="8"/>
  <c r="G4207" i="8"/>
  <c r="F3424" i="8"/>
  <c r="G1859" i="8"/>
  <c r="G3859" i="8"/>
  <c r="H3771" i="8" a="1"/>
  <c r="G4120" i="8"/>
  <c r="G2219" i="8"/>
  <c r="F3337" i="8"/>
  <c r="H727" i="8" l="1"/>
  <c r="H663" i="8"/>
  <c r="H598" i="8"/>
  <c r="H3771" i="8"/>
  <c r="H3684" i="8"/>
  <c r="H3249" i="8"/>
  <c r="H2399" i="8"/>
  <c r="H3336" i="8"/>
  <c r="H3075" i="8"/>
  <c r="H4467" i="8"/>
  <c r="H3162" i="8"/>
  <c r="H4816" i="8"/>
  <c r="H4728" i="8"/>
  <c r="H4206" i="8"/>
  <c r="H3510" i="8"/>
  <c r="H4380" i="8"/>
  <c r="H3597" i="8"/>
  <c r="H3858" i="8"/>
  <c r="H3423" i="8"/>
  <c r="H3945" i="8"/>
  <c r="H4641" i="8"/>
  <c r="H4554" i="8"/>
  <c r="H4119" i="8"/>
  <c r="H4032" i="8"/>
  <c r="H4293" i="8"/>
  <c r="C961" i="8"/>
  <c r="C1141" i="8"/>
  <c r="B729" i="8"/>
  <c r="B3774" i="8"/>
  <c r="C3774" i="8"/>
  <c r="C1231" i="8"/>
  <c r="C4209" i="8"/>
  <c r="C4383" i="8"/>
  <c r="B3600" i="8"/>
  <c r="B4035" i="8"/>
  <c r="B4296" i="8"/>
  <c r="C4818" i="8"/>
  <c r="C4470" i="8"/>
  <c r="B4644" i="8"/>
  <c r="C3339" i="8"/>
  <c r="B3252" i="8"/>
  <c r="B3513" i="8"/>
  <c r="C1951" i="8"/>
  <c r="B2421" i="8"/>
  <c r="C4644" i="8"/>
  <c r="C4296" i="8"/>
  <c r="C3513" i="8"/>
  <c r="C3861" i="8"/>
  <c r="C4557" i="8"/>
  <c r="C3426" i="8"/>
  <c r="C871" i="8"/>
  <c r="C3948" i="8"/>
  <c r="C2401" i="8"/>
  <c r="C3078" i="8"/>
  <c r="C3165" i="8"/>
  <c r="C1501" i="8"/>
  <c r="B4557" i="8"/>
  <c r="B3948" i="8"/>
  <c r="C2311" i="8"/>
  <c r="C691" i="8"/>
  <c r="C601" i="8"/>
  <c r="C3252" i="8"/>
  <c r="C1321" i="8"/>
  <c r="C1861" i="8"/>
  <c r="B3861" i="8"/>
  <c r="C3600" i="8"/>
  <c r="C1681" i="8"/>
  <c r="B3339" i="8"/>
  <c r="C4035" i="8"/>
  <c r="C2221" i="8"/>
  <c r="B4383" i="8"/>
  <c r="C4122" i="8"/>
  <c r="B4731" i="8"/>
  <c r="B665" i="8"/>
  <c r="B601" i="8"/>
  <c r="C2041" i="8"/>
  <c r="B3165" i="8"/>
  <c r="B3078" i="8"/>
  <c r="C2131" i="8"/>
  <c r="B4122" i="8"/>
  <c r="C4731" i="8"/>
  <c r="B3426" i="8"/>
  <c r="B4818" i="8"/>
  <c r="C1771" i="8"/>
  <c r="B4470" i="8"/>
  <c r="B3687" i="8"/>
  <c r="B4209" i="8"/>
  <c r="C3687" i="8"/>
  <c r="C1411" i="8"/>
  <c r="C1591" i="8"/>
  <c r="C1051" i="8"/>
  <c r="C781" i="8"/>
  <c r="H4207" i="8" a="1"/>
  <c r="G3512" i="8"/>
  <c r="G3251" i="8"/>
  <c r="H4642" i="8" a="1"/>
  <c r="G4556" i="8"/>
  <c r="G1950" i="8"/>
  <c r="G1050" i="8"/>
  <c r="G4034" i="8"/>
  <c r="G690" i="8"/>
  <c r="F3686" i="8"/>
  <c r="F3338" i="8"/>
  <c r="H599" i="8" a="1"/>
  <c r="G4643" i="8"/>
  <c r="F2420" i="8"/>
  <c r="G4818" i="8"/>
  <c r="H3511" i="8" a="1"/>
  <c r="H728" i="8" a="1"/>
  <c r="H4729" i="8" a="1"/>
  <c r="G3164" i="8"/>
  <c r="G3947" i="8"/>
  <c r="H4033" i="8" a="1"/>
  <c r="H2400" i="8" a="1"/>
  <c r="G4295" i="8"/>
  <c r="G3599" i="8"/>
  <c r="H3424" i="8" a="1"/>
  <c r="H4294" i="8" a="1"/>
  <c r="G3773" i="8"/>
  <c r="F600" i="8"/>
  <c r="F3077" i="8"/>
  <c r="G3338" i="8"/>
  <c r="F3512" i="8"/>
  <c r="H4468" i="8" a="1"/>
  <c r="F4034" i="8"/>
  <c r="G4730" i="8"/>
  <c r="H3250" i="8" a="1"/>
  <c r="G1410" i="8"/>
  <c r="H3076" i="8" a="1"/>
  <c r="F4469" i="8"/>
  <c r="G1590" i="8"/>
  <c r="F4556" i="8"/>
  <c r="F4818" i="8"/>
  <c r="G1320" i="8"/>
  <c r="G1500" i="8"/>
  <c r="G2310" i="8"/>
  <c r="G1770" i="8"/>
  <c r="H4555" i="8" a="1"/>
  <c r="F3251" i="8"/>
  <c r="G960" i="8"/>
  <c r="H3337" i="8" a="1"/>
  <c r="G2130" i="8"/>
  <c r="F3425" i="8"/>
  <c r="H3598" i="8" a="1"/>
  <c r="H4120" i="8" a="1"/>
  <c r="G3425" i="8"/>
  <c r="G1140" i="8"/>
  <c r="G2040" i="8"/>
  <c r="H664" i="8" a="1"/>
  <c r="F4730" i="8"/>
  <c r="F728" i="8"/>
  <c r="F3599" i="8"/>
  <c r="G2220" i="8"/>
  <c r="G4382" i="8"/>
  <c r="H3772" i="8" a="1"/>
  <c r="G2401" i="8"/>
  <c r="F4121" i="8"/>
  <c r="G4121" i="8"/>
  <c r="H3163" i="8" a="1"/>
  <c r="G870" i="8"/>
  <c r="F664" i="8"/>
  <c r="H3685" i="8" a="1"/>
  <c r="G3860" i="8"/>
  <c r="G1230" i="8"/>
  <c r="H3946" i="8" a="1"/>
  <c r="F3860" i="8"/>
  <c r="G600" i="8"/>
  <c r="G3077" i="8"/>
  <c r="F4208" i="8"/>
  <c r="H4381" i="8" a="1"/>
  <c r="G1680" i="8"/>
  <c r="H3859" i="8" a="1"/>
  <c r="F4382" i="8"/>
  <c r="G4208" i="8"/>
  <c r="F3164" i="8"/>
  <c r="H4817" i="8" a="1"/>
  <c r="G780" i="8"/>
  <c r="F4643" i="8"/>
  <c r="G4469" i="8"/>
  <c r="F4295" i="8"/>
  <c r="G3686" i="8"/>
  <c r="F3773" i="8"/>
  <c r="F3947" i="8"/>
  <c r="G1860" i="8"/>
  <c r="H4033" i="8" l="1"/>
  <c r="H3511" i="8"/>
  <c r="H3946" i="8"/>
  <c r="H2400" i="8"/>
  <c r="H4817" i="8"/>
  <c r="H3250" i="8"/>
  <c r="H4120" i="8"/>
  <c r="H3598" i="8"/>
  <c r="H4642" i="8"/>
  <c r="H3772" i="8"/>
  <c r="H4381" i="8"/>
  <c r="H4468" i="8"/>
  <c r="H3163" i="8"/>
  <c r="H664" i="8"/>
  <c r="H4555" i="8"/>
  <c r="H4729" i="8"/>
  <c r="H3076" i="8"/>
  <c r="H3685" i="8"/>
  <c r="H4294" i="8"/>
  <c r="H728" i="8"/>
  <c r="H3424" i="8"/>
  <c r="H3859" i="8"/>
  <c r="H599" i="8"/>
  <c r="H3337" i="8"/>
  <c r="H4207" i="8"/>
  <c r="C2132" i="8"/>
  <c r="C4123" i="8"/>
  <c r="C1772" i="8"/>
  <c r="C1412" i="8"/>
  <c r="C1592" i="8"/>
  <c r="B3340" i="8"/>
  <c r="C872" i="8"/>
  <c r="C1682" i="8"/>
  <c r="C3775" i="8"/>
  <c r="B3775" i="8"/>
  <c r="C1862" i="8"/>
  <c r="B3514" i="8"/>
  <c r="B4210" i="8"/>
  <c r="B3166" i="8"/>
  <c r="B3079" i="8"/>
  <c r="B4819" i="8"/>
  <c r="B4471" i="8"/>
  <c r="B3949" i="8"/>
  <c r="C602" i="8"/>
  <c r="C692" i="8"/>
  <c r="C2402" i="8"/>
  <c r="B4645" i="8"/>
  <c r="C3253" i="8"/>
  <c r="C962" i="8"/>
  <c r="C4645" i="8"/>
  <c r="C3601" i="8"/>
  <c r="C4732" i="8"/>
  <c r="C2042" i="8"/>
  <c r="B4732" i="8"/>
  <c r="B4123" i="8"/>
  <c r="C4471" i="8"/>
  <c r="C1322" i="8"/>
  <c r="B3862" i="8"/>
  <c r="C1232" i="8"/>
  <c r="B4297" i="8"/>
  <c r="C782" i="8"/>
  <c r="C2222" i="8"/>
  <c r="B3253" i="8"/>
  <c r="B666" i="8"/>
  <c r="B602" i="8"/>
  <c r="C1952" i="8"/>
  <c r="C1142" i="8"/>
  <c r="C1502" i="8"/>
  <c r="B4558" i="8"/>
  <c r="C4819" i="8"/>
  <c r="B730" i="8"/>
  <c r="C4210" i="8"/>
  <c r="C2312" i="8"/>
  <c r="B3427" i="8"/>
  <c r="C3688" i="8"/>
  <c r="C3340" i="8"/>
  <c r="B4036" i="8"/>
  <c r="C3166" i="8"/>
  <c r="C3079" i="8"/>
  <c r="C4036" i="8"/>
  <c r="C3514" i="8"/>
  <c r="C3949" i="8"/>
  <c r="C4384" i="8"/>
  <c r="B2422" i="8"/>
  <c r="B3601" i="8"/>
  <c r="C3427" i="8"/>
  <c r="C4558" i="8"/>
  <c r="B4384" i="8"/>
  <c r="B3688" i="8"/>
  <c r="C4297" i="8"/>
  <c r="C3862" i="8"/>
  <c r="C1052" i="8"/>
  <c r="H4469" i="8" a="1"/>
  <c r="F4209" i="8"/>
  <c r="G1231" i="8"/>
  <c r="H4121" i="8" a="1"/>
  <c r="G3948" i="8"/>
  <c r="F3426" i="8"/>
  <c r="G3687" i="8"/>
  <c r="F3513" i="8"/>
  <c r="F4035" i="8"/>
  <c r="G1591" i="8"/>
  <c r="G961" i="8"/>
  <c r="G1681" i="8"/>
  <c r="H3860" i="8" a="1"/>
  <c r="G3078" i="8"/>
  <c r="F4557" i="8"/>
  <c r="F3687" i="8"/>
  <c r="G4557" i="8"/>
  <c r="F4122" i="8"/>
  <c r="G3774" i="8"/>
  <c r="G691" i="8"/>
  <c r="F4731" i="8"/>
  <c r="G3252" i="8"/>
  <c r="G871" i="8"/>
  <c r="G3861" i="8"/>
  <c r="G1411" i="8"/>
  <c r="F3165" i="8"/>
  <c r="H3251" i="8" a="1"/>
  <c r="H3425" i="8" a="1"/>
  <c r="G2221" i="8"/>
  <c r="G1951" i="8"/>
  <c r="G2131" i="8"/>
  <c r="F4644" i="8"/>
  <c r="F4383" i="8"/>
  <c r="H4556" i="8" a="1"/>
  <c r="G4819" i="8"/>
  <c r="G2402" i="8"/>
  <c r="H3077" i="8" a="1"/>
  <c r="G2311" i="8"/>
  <c r="G1771" i="8"/>
  <c r="F3600" i="8"/>
  <c r="G1141" i="8"/>
  <c r="G4122" i="8"/>
  <c r="F3774" i="8"/>
  <c r="G1861" i="8"/>
  <c r="F3252" i="8"/>
  <c r="G4209" i="8"/>
  <c r="H729" i="8" a="1"/>
  <c r="H3512" i="8" a="1"/>
  <c r="G4296" i="8"/>
  <c r="H3686" i="8" a="1"/>
  <c r="H4730" i="8" a="1"/>
  <c r="G1051" i="8"/>
  <c r="F601" i="8"/>
  <c r="G4035" i="8"/>
  <c r="H4818" i="8" a="1"/>
  <c r="G4731" i="8"/>
  <c r="G3165" i="8"/>
  <c r="G4383" i="8"/>
  <c r="G601" i="8"/>
  <c r="H2401" i="8" a="1"/>
  <c r="G3600" i="8"/>
  <c r="H3164" i="8" a="1"/>
  <c r="H600" i="8" a="1"/>
  <c r="F665" i="8"/>
  <c r="F3339" i="8"/>
  <c r="G4644" i="8"/>
  <c r="F3078" i="8"/>
  <c r="H665" i="8" a="1"/>
  <c r="F3861" i="8"/>
  <c r="H3338" i="8" a="1"/>
  <c r="H4295" i="8" a="1"/>
  <c r="F3948" i="8"/>
  <c r="F4819" i="8"/>
  <c r="H4643" i="8" a="1"/>
  <c r="F2421" i="8"/>
  <c r="H3599" i="8" a="1"/>
  <c r="G4470" i="8"/>
  <c r="F4470" i="8"/>
  <c r="G1321" i="8"/>
  <c r="H4034" i="8" a="1"/>
  <c r="G1501" i="8"/>
  <c r="H4382" i="8" a="1"/>
  <c r="G3426" i="8"/>
  <c r="G3513" i="8"/>
  <c r="G2041" i="8"/>
  <c r="F4296" i="8"/>
  <c r="H3947" i="8" a="1"/>
  <c r="G3339" i="8"/>
  <c r="F729" i="8"/>
  <c r="H3773" i="8" a="1"/>
  <c r="G781" i="8"/>
  <c r="H4208" i="8" a="1"/>
  <c r="H3077" i="8" l="1"/>
  <c r="H4643" i="8"/>
  <c r="H3686" i="8"/>
  <c r="H4208" i="8"/>
  <c r="H4034" i="8"/>
  <c r="H4818" i="8"/>
  <c r="H3947" i="8"/>
  <c r="H4121" i="8"/>
  <c r="H3773" i="8"/>
  <c r="H2401" i="8"/>
  <c r="H4556" i="8"/>
  <c r="H665" i="8"/>
  <c r="H3512" i="8"/>
  <c r="H4382" i="8"/>
  <c r="H3860" i="8"/>
  <c r="H4295" i="8"/>
  <c r="H3425" i="8"/>
  <c r="H600" i="8"/>
  <c r="H729" i="8"/>
  <c r="H3338" i="8"/>
  <c r="H3251" i="8"/>
  <c r="H3164" i="8"/>
  <c r="H3599" i="8"/>
  <c r="H4730" i="8"/>
  <c r="H4469" i="8"/>
  <c r="B4124" i="8"/>
  <c r="C3950" i="8"/>
  <c r="B3776" i="8"/>
  <c r="B3689" i="8"/>
  <c r="C4298" i="8"/>
  <c r="B4646" i="8"/>
  <c r="C4037" i="8"/>
  <c r="C3254" i="8"/>
  <c r="C3428" i="8"/>
  <c r="B731" i="8"/>
  <c r="C2313" i="8"/>
  <c r="B4385" i="8"/>
  <c r="B3950" i="8"/>
  <c r="C4559" i="8"/>
  <c r="B4820" i="8"/>
  <c r="C4820" i="8"/>
  <c r="C4733" i="8"/>
  <c r="B3254" i="8"/>
  <c r="B3602" i="8"/>
  <c r="C1683" i="8"/>
  <c r="C1863" i="8"/>
  <c r="C2403" i="8"/>
  <c r="C1593" i="8"/>
  <c r="C2043" i="8"/>
  <c r="C1413" i="8"/>
  <c r="C1053" i="8"/>
  <c r="C783" i="8"/>
  <c r="B4037" i="8"/>
  <c r="B4298" i="8"/>
  <c r="C1953" i="8"/>
  <c r="C3863" i="8"/>
  <c r="C1143" i="8"/>
  <c r="C4385" i="8"/>
  <c r="B4472" i="8"/>
  <c r="C3515" i="8"/>
  <c r="B2423" i="8"/>
  <c r="C4124" i="8"/>
  <c r="C4646" i="8"/>
  <c r="C3776" i="8"/>
  <c r="C1233" i="8"/>
  <c r="B3341" i="8"/>
  <c r="C873" i="8"/>
  <c r="C1323" i="8"/>
  <c r="B4211" i="8"/>
  <c r="C2133" i="8"/>
  <c r="C3689" i="8"/>
  <c r="B4733" i="8"/>
  <c r="C963" i="8"/>
  <c r="B3428" i="8"/>
  <c r="C1503" i="8"/>
  <c r="C4211" i="8"/>
  <c r="C4472" i="8"/>
  <c r="C3602" i="8"/>
  <c r="C3167" i="8"/>
  <c r="C3080" i="8"/>
  <c r="B3515" i="8"/>
  <c r="B603" i="8"/>
  <c r="B667" i="8"/>
  <c r="C3341" i="8"/>
  <c r="C693" i="8"/>
  <c r="C603" i="8"/>
  <c r="B4559" i="8"/>
  <c r="B3167" i="8"/>
  <c r="B3080" i="8"/>
  <c r="B3863" i="8"/>
  <c r="C1773" i="8"/>
  <c r="C2223" i="8"/>
  <c r="H3252" i="8" a="1"/>
  <c r="F2422" i="8"/>
  <c r="G4471" i="8"/>
  <c r="F4820" i="8"/>
  <c r="G4123" i="8"/>
  <c r="G3166" i="8"/>
  <c r="H3687" i="8" a="1"/>
  <c r="F4123" i="8"/>
  <c r="G2132" i="8"/>
  <c r="G4645" i="8"/>
  <c r="G3514" i="8"/>
  <c r="F4210" i="8"/>
  <c r="G1862" i="8"/>
  <c r="H666" i="8" a="1"/>
  <c r="H3600" i="8" a="1"/>
  <c r="F3514" i="8"/>
  <c r="G4820" i="8"/>
  <c r="F730" i="8"/>
  <c r="G1772" i="8"/>
  <c r="F4732" i="8"/>
  <c r="F4471" i="8"/>
  <c r="H4557" i="8" a="1"/>
  <c r="G1682" i="8"/>
  <c r="G2403" i="8"/>
  <c r="G3601" i="8"/>
  <c r="F3775" i="8"/>
  <c r="G962" i="8"/>
  <c r="G3340" i="8"/>
  <c r="H3165" i="8" a="1"/>
  <c r="G3253" i="8"/>
  <c r="G692" i="8"/>
  <c r="G3079" i="8"/>
  <c r="H3774" i="8" a="1"/>
  <c r="G782" i="8"/>
  <c r="F3166" i="8"/>
  <c r="G3862" i="8"/>
  <c r="G2042" i="8"/>
  <c r="F4384" i="8"/>
  <c r="F4297" i="8"/>
  <c r="H4035" i="8" a="1"/>
  <c r="H4731" i="8" a="1"/>
  <c r="G3775" i="8"/>
  <c r="H3426" i="8" a="1"/>
  <c r="G1502" i="8"/>
  <c r="G3688" i="8"/>
  <c r="F4558" i="8"/>
  <c r="H4296" i="8" a="1"/>
  <c r="G4558" i="8"/>
  <c r="H601" i="8" a="1"/>
  <c r="H3339" i="8" a="1"/>
  <c r="G1142" i="8"/>
  <c r="G4732" i="8"/>
  <c r="H4383" i="8" a="1"/>
  <c r="H4819" i="8" a="1"/>
  <c r="G3427" i="8"/>
  <c r="H4209" i="8" a="1"/>
  <c r="F3688" i="8"/>
  <c r="H3948" i="8" a="1"/>
  <c r="F3949" i="8"/>
  <c r="F3340" i="8"/>
  <c r="H4470" i="8" a="1"/>
  <c r="G602" i="8"/>
  <c r="G1592" i="8"/>
  <c r="H3078" i="8" a="1"/>
  <c r="G2312" i="8"/>
  <c r="G3949" i="8"/>
  <c r="H4122" i="8" a="1"/>
  <c r="G4297" i="8"/>
  <c r="F4036" i="8"/>
  <c r="G872" i="8"/>
  <c r="G1952" i="8"/>
  <c r="G1322" i="8"/>
  <c r="H4644" i="8" a="1"/>
  <c r="G1232" i="8"/>
  <c r="G2222" i="8"/>
  <c r="F666" i="8"/>
  <c r="F3601" i="8"/>
  <c r="G1412" i="8"/>
  <c r="H3513" i="8" a="1"/>
  <c r="G4210" i="8"/>
  <c r="H3861" i="8" a="1"/>
  <c r="G1052" i="8"/>
  <c r="F602" i="8"/>
  <c r="F3862" i="8"/>
  <c r="F4645" i="8"/>
  <c r="H2402" i="8" a="1"/>
  <c r="G4036" i="8"/>
  <c r="F3079" i="8"/>
  <c r="F3427" i="8"/>
  <c r="G4384" i="8"/>
  <c r="H730" i="8" a="1"/>
  <c r="F3253" i="8"/>
  <c r="H4644" i="8" l="1"/>
  <c r="H601" i="8"/>
  <c r="H3078" i="8"/>
  <c r="H3513" i="8"/>
  <c r="H4819" i="8"/>
  <c r="H2402" i="8"/>
  <c r="H4731" i="8"/>
  <c r="H4209" i="8"/>
  <c r="H730" i="8"/>
  <c r="H4383" i="8"/>
  <c r="H3426" i="8"/>
  <c r="H4035" i="8"/>
  <c r="H3600" i="8"/>
  <c r="H3165" i="8"/>
  <c r="H4122" i="8"/>
  <c r="H666" i="8"/>
  <c r="H3687" i="8"/>
  <c r="H4296" i="8"/>
  <c r="H3861" i="8"/>
  <c r="H3948" i="8"/>
  <c r="H4557" i="8"/>
  <c r="H4470" i="8"/>
  <c r="H3774" i="8"/>
  <c r="H3339" i="8"/>
  <c r="H3252" i="8"/>
  <c r="C694" i="8"/>
  <c r="C604" i="8"/>
  <c r="B732" i="8"/>
  <c r="C1504" i="8"/>
  <c r="C3342" i="8"/>
  <c r="B4734" i="8"/>
  <c r="C4386" i="8"/>
  <c r="B3864" i="8"/>
  <c r="B4212" i="8"/>
  <c r="B668" i="8"/>
  <c r="B604" i="8"/>
  <c r="C2314" i="8"/>
  <c r="B3255" i="8"/>
  <c r="B3951" i="8"/>
  <c r="C784" i="8"/>
  <c r="C3690" i="8"/>
  <c r="C4299" i="8"/>
  <c r="B3516" i="8"/>
  <c r="B4821" i="8"/>
  <c r="C2224" i="8"/>
  <c r="C1414" i="8"/>
  <c r="B3429" i="8"/>
  <c r="C3864" i="8"/>
  <c r="C4212" i="8"/>
  <c r="C3603" i="8"/>
  <c r="C4473" i="8"/>
  <c r="C3951" i="8"/>
  <c r="B4386" i="8"/>
  <c r="C874" i="8"/>
  <c r="C1684" i="8"/>
  <c r="C1954" i="8"/>
  <c r="B3690" i="8"/>
  <c r="C4821" i="8"/>
  <c r="B4038" i="8"/>
  <c r="C2404" i="8"/>
  <c r="C3516" i="8"/>
  <c r="C4125" i="8"/>
  <c r="B3777" i="8"/>
  <c r="C964" i="8"/>
  <c r="C1324" i="8"/>
  <c r="B2424" i="8"/>
  <c r="B4560" i="8"/>
  <c r="C2044" i="8"/>
  <c r="C1144" i="8"/>
  <c r="C4038" i="8"/>
  <c r="C1864" i="8"/>
  <c r="B4647" i="8"/>
  <c r="C3168" i="8"/>
  <c r="C3081" i="8"/>
  <c r="B3081" i="8"/>
  <c r="B3168" i="8"/>
  <c r="C3429" i="8"/>
  <c r="B3603" i="8"/>
  <c r="C3255" i="8"/>
  <c r="C4560" i="8"/>
  <c r="C1594" i="8"/>
  <c r="C1054" i="8"/>
  <c r="C3777" i="8"/>
  <c r="B4299" i="8"/>
  <c r="C4734" i="8"/>
  <c r="C1234" i="8"/>
  <c r="B4125" i="8"/>
  <c r="C2134" i="8"/>
  <c r="C1774" i="8"/>
  <c r="B3342" i="8"/>
  <c r="C4647" i="8"/>
  <c r="B4473" i="8"/>
  <c r="H4384" i="8" a="1"/>
  <c r="G1683" i="8"/>
  <c r="F4298" i="8"/>
  <c r="F603" i="8"/>
  <c r="H3427" i="8" a="1"/>
  <c r="F4821" i="8"/>
  <c r="G3167" i="8"/>
  <c r="H3862" i="8" a="1"/>
  <c r="G3689" i="8"/>
  <c r="G2133" i="8"/>
  <c r="G1053" i="8"/>
  <c r="H3601" i="8" a="1"/>
  <c r="G3776" i="8"/>
  <c r="G1773" i="8"/>
  <c r="G693" i="8"/>
  <c r="H3079" i="8" a="1"/>
  <c r="F4646" i="8"/>
  <c r="G3950" i="8"/>
  <c r="H3775" i="8" a="1"/>
  <c r="G1953" i="8"/>
  <c r="F4124" i="8"/>
  <c r="H3949" i="8" a="1"/>
  <c r="F3428" i="8"/>
  <c r="G3428" i="8"/>
  <c r="G3515" i="8"/>
  <c r="H3166" i="8" a="1"/>
  <c r="G2313" i="8"/>
  <c r="G2043" i="8"/>
  <c r="G3341" i="8"/>
  <c r="G4124" i="8"/>
  <c r="G4821" i="8"/>
  <c r="F731" i="8"/>
  <c r="H4210" i="8" a="1"/>
  <c r="F4472" i="8"/>
  <c r="F3080" i="8"/>
  <c r="G4298" i="8"/>
  <c r="H731" i="8" a="1"/>
  <c r="F2423" i="8"/>
  <c r="H3688" i="8" a="1"/>
  <c r="G873" i="8"/>
  <c r="G963" i="8"/>
  <c r="G783" i="8"/>
  <c r="G4646" i="8"/>
  <c r="F3950" i="8"/>
  <c r="F4385" i="8"/>
  <c r="F3776" i="8"/>
  <c r="F4559" i="8"/>
  <c r="H4645" i="8" a="1"/>
  <c r="H4123" i="8" a="1"/>
  <c r="H4297" i="8" a="1"/>
  <c r="G4211" i="8"/>
  <c r="G1233" i="8"/>
  <c r="F3167" i="8"/>
  <c r="H4036" i="8" a="1"/>
  <c r="H3253" i="8" a="1"/>
  <c r="G4385" i="8"/>
  <c r="G1323" i="8"/>
  <c r="G1503" i="8"/>
  <c r="H4558" i="8" a="1"/>
  <c r="F4037" i="8"/>
  <c r="F3515" i="8"/>
  <c r="G3080" i="8"/>
  <c r="F3341" i="8"/>
  <c r="G1143" i="8"/>
  <c r="G1863" i="8"/>
  <c r="G4559" i="8"/>
  <c r="H602" i="8" a="1"/>
  <c r="G3602" i="8"/>
  <c r="H667" i="8" a="1"/>
  <c r="G4037" i="8"/>
  <c r="H3514" i="8" a="1"/>
  <c r="G4733" i="8"/>
  <c r="G1413" i="8"/>
  <c r="G2223" i="8"/>
  <c r="H4471" i="8" a="1"/>
  <c r="G2404" i="8"/>
  <c r="F3863" i="8"/>
  <c r="G603" i="8"/>
  <c r="F4211" i="8"/>
  <c r="H2403" i="8" a="1"/>
  <c r="G3863" i="8"/>
  <c r="G4472" i="8"/>
  <c r="F4733" i="8"/>
  <c r="H4732" i="8" a="1"/>
  <c r="H4820" i="8" a="1"/>
  <c r="F3602" i="8"/>
  <c r="F3689" i="8"/>
  <c r="G1593" i="8"/>
  <c r="H3340" i="8" a="1"/>
  <c r="F3254" i="8"/>
  <c r="G3254" i="8"/>
  <c r="F667" i="8"/>
  <c r="H4820" i="8" l="1"/>
  <c r="H4471" i="8"/>
  <c r="H3253" i="8"/>
  <c r="H3427" i="8"/>
  <c r="H3949" i="8"/>
  <c r="H4732" i="8"/>
  <c r="H3079" i="8"/>
  <c r="H4036" i="8"/>
  <c r="H4123" i="8"/>
  <c r="H4210" i="8"/>
  <c r="H602" i="8"/>
  <c r="H3340" i="8"/>
  <c r="H4558" i="8"/>
  <c r="H3862" i="8"/>
  <c r="H4645" i="8"/>
  <c r="H3775" i="8"/>
  <c r="H3688" i="8"/>
  <c r="H3514" i="8"/>
  <c r="H731" i="8"/>
  <c r="H667" i="8"/>
  <c r="H3166" i="8"/>
  <c r="H2403" i="8"/>
  <c r="H3601" i="8"/>
  <c r="H4297" i="8"/>
  <c r="H4384" i="8"/>
  <c r="C1325" i="8"/>
  <c r="B4126" i="8"/>
  <c r="C2315" i="8"/>
  <c r="B3952" i="8"/>
  <c r="C785" i="8"/>
  <c r="B4561" i="8"/>
  <c r="B3430" i="8"/>
  <c r="C2225" i="8"/>
  <c r="B4387" i="8"/>
  <c r="C4648" i="8"/>
  <c r="B3691" i="8"/>
  <c r="C3256" i="8"/>
  <c r="C1955" i="8"/>
  <c r="C1235" i="8"/>
  <c r="B4648" i="8"/>
  <c r="C1415" i="8"/>
  <c r="B3865" i="8"/>
  <c r="B3778" i="8"/>
  <c r="C1775" i="8"/>
  <c r="B4474" i="8"/>
  <c r="C4300" i="8"/>
  <c r="B3517" i="8"/>
  <c r="B3604" i="8"/>
  <c r="B4039" i="8"/>
  <c r="C2405" i="8"/>
  <c r="C3430" i="8"/>
  <c r="B797" i="8"/>
  <c r="C1145" i="8"/>
  <c r="B3256" i="8"/>
  <c r="C3082" i="8"/>
  <c r="C3169" i="8"/>
  <c r="C4561" i="8"/>
  <c r="C3778" i="8"/>
  <c r="B4822" i="8"/>
  <c r="B3169" i="8"/>
  <c r="B3082" i="8"/>
  <c r="C965" i="8"/>
  <c r="B4300" i="8"/>
  <c r="C4474" i="8"/>
  <c r="C1595" i="8"/>
  <c r="C3604" i="8"/>
  <c r="B733" i="8"/>
  <c r="C1865" i="8"/>
  <c r="C2045" i="8"/>
  <c r="C1505" i="8"/>
  <c r="C4735" i="8"/>
  <c r="B4213" i="8"/>
  <c r="C4822" i="8"/>
  <c r="C3865" i="8"/>
  <c r="C1685" i="8"/>
  <c r="C3343" i="8"/>
  <c r="C3517" i="8"/>
  <c r="B4735" i="8"/>
  <c r="C4126" i="8"/>
  <c r="C2135" i="8"/>
  <c r="B2425" i="8"/>
  <c r="C1055" i="8"/>
  <c r="C4213" i="8"/>
  <c r="C4039" i="8"/>
  <c r="C3691" i="8"/>
  <c r="C3952" i="8"/>
  <c r="C4387" i="8"/>
  <c r="C875" i="8"/>
  <c r="B3343" i="8"/>
  <c r="B669" i="8"/>
  <c r="B605" i="8"/>
  <c r="C695" i="8"/>
  <c r="C605" i="8"/>
  <c r="G2314" i="8"/>
  <c r="F3081" i="8"/>
  <c r="H3515" i="8" a="1"/>
  <c r="G3429" i="8"/>
  <c r="H3254" i="8" a="1"/>
  <c r="F732" i="8"/>
  <c r="F4212" i="8"/>
  <c r="H3167" i="8" a="1"/>
  <c r="G874" i="8"/>
  <c r="G4386" i="8"/>
  <c r="G3516" i="8"/>
  <c r="G4212" i="8"/>
  <c r="H732" i="8" a="1"/>
  <c r="H4298" i="8" a="1"/>
  <c r="G1054" i="8"/>
  <c r="H4646" i="8" a="1"/>
  <c r="H3080" i="8" a="1"/>
  <c r="H3950" i="8" a="1"/>
  <c r="G1414" i="8"/>
  <c r="H4037" i="8" a="1"/>
  <c r="G964" i="8"/>
  <c r="G4822" i="8"/>
  <c r="F4038" i="8"/>
  <c r="G2224" i="8"/>
  <c r="H4211" i="8" a="1"/>
  <c r="G784" i="8"/>
  <c r="G1594" i="8"/>
  <c r="G2134" i="8"/>
  <c r="G3603" i="8"/>
  <c r="F4125" i="8"/>
  <c r="H4472" i="8" a="1"/>
  <c r="F3168" i="8"/>
  <c r="G1504" i="8"/>
  <c r="H3863" i="8" a="1"/>
  <c r="G1954" i="8"/>
  <c r="F3342" i="8"/>
  <c r="H3602" i="8" a="1"/>
  <c r="F604" i="8"/>
  <c r="G3168" i="8"/>
  <c r="H4559" i="8" a="1"/>
  <c r="G3951" i="8"/>
  <c r="G3690" i="8"/>
  <c r="G1234" i="8"/>
  <c r="F4299" i="8"/>
  <c r="H3689" i="8" a="1"/>
  <c r="H668" i="8" a="1"/>
  <c r="G1144" i="8"/>
  <c r="G3255" i="8"/>
  <c r="F3603" i="8"/>
  <c r="H4733" i="8" a="1"/>
  <c r="G4734" i="8"/>
  <c r="G1324" i="8"/>
  <c r="H3776" i="8" a="1"/>
  <c r="F4647" i="8"/>
  <c r="H4821" i="8" a="1"/>
  <c r="F3255" i="8"/>
  <c r="F2424" i="8"/>
  <c r="G4560" i="8"/>
  <c r="H2404" i="8" a="1"/>
  <c r="F4560" i="8"/>
  <c r="F3864" i="8"/>
  <c r="G4299" i="8"/>
  <c r="G604" i="8"/>
  <c r="F3777" i="8"/>
  <c r="F4473" i="8"/>
  <c r="H4124" i="8" a="1"/>
  <c r="F3951" i="8"/>
  <c r="G2405" i="8"/>
  <c r="G1684" i="8"/>
  <c r="F3690" i="8"/>
  <c r="H3428" i="8" a="1"/>
  <c r="G3342" i="8"/>
  <c r="G694" i="8"/>
  <c r="H4385" i="8" a="1"/>
  <c r="G1864" i="8"/>
  <c r="H603" i="8" a="1"/>
  <c r="G4038" i="8"/>
  <c r="F4386" i="8"/>
  <c r="G3864" i="8"/>
  <c r="F3516" i="8"/>
  <c r="F4822" i="8"/>
  <c r="H3341" i="8" a="1"/>
  <c r="G4473" i="8"/>
  <c r="G3081" i="8"/>
  <c r="F4734" i="8"/>
  <c r="G4125" i="8"/>
  <c r="G3777" i="8"/>
  <c r="F668" i="8"/>
  <c r="G4647" i="8"/>
  <c r="G1774" i="8"/>
  <c r="G2044" i="8"/>
  <c r="F3429" i="8"/>
  <c r="H2404" i="8" l="1"/>
  <c r="H3776" i="8"/>
  <c r="H3950" i="8"/>
  <c r="H4559" i="8"/>
  <c r="H4385" i="8"/>
  <c r="H3080" i="8"/>
  <c r="H3863" i="8"/>
  <c r="H3167" i="8"/>
  <c r="H3515" i="8"/>
  <c r="H3341" i="8"/>
  <c r="H4298" i="8"/>
  <c r="H3428" i="8"/>
  <c r="H4124" i="8"/>
  <c r="H668" i="8"/>
  <c r="H732" i="8"/>
  <c r="H603" i="8"/>
  <c r="H4733" i="8"/>
  <c r="H3689" i="8"/>
  <c r="H3602" i="8"/>
  <c r="H4821" i="8"/>
  <c r="H4211" i="8"/>
  <c r="H4037" i="8"/>
  <c r="H4646" i="8"/>
  <c r="H4472" i="8"/>
  <c r="H3254" i="8"/>
  <c r="C786" i="8"/>
  <c r="B670" i="8"/>
  <c r="B606" i="8"/>
  <c r="C4127" i="8"/>
  <c r="B4301" i="8"/>
  <c r="B798" i="8"/>
  <c r="C3866" i="8"/>
  <c r="C696" i="8"/>
  <c r="C606" i="8"/>
  <c r="B734" i="8"/>
  <c r="C966" i="8"/>
  <c r="C4040" i="8"/>
  <c r="C1146" i="8"/>
  <c r="B4823" i="8"/>
  <c r="C3431" i="8"/>
  <c r="C3953" i="8"/>
  <c r="C1056" i="8"/>
  <c r="B3257" i="8"/>
  <c r="C1236" i="8"/>
  <c r="B3692" i="8"/>
  <c r="C4388" i="8"/>
  <c r="C1866" i="8"/>
  <c r="B3953" i="8"/>
  <c r="B4736" i="8"/>
  <c r="C2046" i="8"/>
  <c r="B3779" i="8"/>
  <c r="B4475" i="8"/>
  <c r="B3518" i="8"/>
  <c r="B2426" i="8"/>
  <c r="C1776" i="8"/>
  <c r="C3692" i="8"/>
  <c r="C4562" i="8"/>
  <c r="C3170" i="8"/>
  <c r="C3083" i="8"/>
  <c r="B3866" i="8"/>
  <c r="B4649" i="8"/>
  <c r="B4040" i="8"/>
  <c r="B3431" i="8"/>
  <c r="C4475" i="8"/>
  <c r="C3779" i="8"/>
  <c r="C4301" i="8"/>
  <c r="C4214" i="8"/>
  <c r="C3605" i="8"/>
  <c r="C4823" i="8"/>
  <c r="C2136" i="8"/>
  <c r="C4649" i="8"/>
  <c r="B3344" i="8"/>
  <c r="C3518" i="8"/>
  <c r="B4127" i="8"/>
  <c r="B3605" i="8"/>
  <c r="B4562" i="8"/>
  <c r="C1506" i="8"/>
  <c r="C1326" i="8"/>
  <c r="C3344" i="8"/>
  <c r="C4736" i="8"/>
  <c r="C2316" i="8"/>
  <c r="B4214" i="8"/>
  <c r="C2226" i="8"/>
  <c r="C1596" i="8"/>
  <c r="C1956" i="8"/>
  <c r="C1686" i="8"/>
  <c r="B4388" i="8"/>
  <c r="B3170" i="8"/>
  <c r="B3083" i="8"/>
  <c r="C3257" i="8"/>
  <c r="C876" i="8"/>
  <c r="C2406" i="8"/>
  <c r="C1416" i="8"/>
  <c r="F3691" i="8"/>
  <c r="F797" i="8"/>
  <c r="H733" i="8" a="1"/>
  <c r="F3517" i="8"/>
  <c r="H3342" i="8" a="1"/>
  <c r="G1235" i="8"/>
  <c r="G3517" i="8"/>
  <c r="H669" i="8" a="1"/>
  <c r="H3081" i="8" a="1"/>
  <c r="G4735" i="8"/>
  <c r="F605" i="8"/>
  <c r="G3778" i="8"/>
  <c r="H3603" i="8" a="1"/>
  <c r="F4126" i="8"/>
  <c r="G4300" i="8"/>
  <c r="H3516" i="8" a="1"/>
  <c r="F3952" i="8"/>
  <c r="G4387" i="8"/>
  <c r="H4212" i="8" a="1"/>
  <c r="G785" i="8"/>
  <c r="F3169" i="8"/>
  <c r="F4039" i="8"/>
  <c r="G3430" i="8"/>
  <c r="G1865" i="8"/>
  <c r="H4038" i="8" a="1"/>
  <c r="H2405" i="8" a="1"/>
  <c r="G2045" i="8"/>
  <c r="G4213" i="8"/>
  <c r="G1955" i="8"/>
  <c r="G1055" i="8"/>
  <c r="G695" i="8"/>
  <c r="H4386" i="8" a="1"/>
  <c r="G4648" i="8"/>
  <c r="H797" i="8" a="1"/>
  <c r="H4822" i="8" a="1"/>
  <c r="G1415" i="8"/>
  <c r="G3256" i="8"/>
  <c r="F3604" i="8"/>
  <c r="F4823" i="8"/>
  <c r="H3864" i="8" a="1"/>
  <c r="G3604" i="8"/>
  <c r="H4734" i="8" a="1"/>
  <c r="H3168" i="8" a="1"/>
  <c r="G2135" i="8"/>
  <c r="H3777" i="8" a="1"/>
  <c r="H604" i="8" a="1"/>
  <c r="F4474" i="8"/>
  <c r="H3255" i="8" a="1"/>
  <c r="G3169" i="8"/>
  <c r="G1145" i="8"/>
  <c r="F669" i="8"/>
  <c r="G2406" i="8"/>
  <c r="F4387" i="8"/>
  <c r="G875" i="8"/>
  <c r="F4300" i="8"/>
  <c r="H3951" i="8" a="1"/>
  <c r="G1685" i="8"/>
  <c r="F3778" i="8"/>
  <c r="H4299" i="8" a="1"/>
  <c r="H4647" i="8" a="1"/>
  <c r="G3343" i="8"/>
  <c r="G4039" i="8"/>
  <c r="G1505" i="8"/>
  <c r="F4213" i="8"/>
  <c r="G965" i="8"/>
  <c r="F733" i="8"/>
  <c r="G1325" i="8"/>
  <c r="G4474" i="8"/>
  <c r="H4125" i="8" a="1"/>
  <c r="F3430" i="8"/>
  <c r="F2425" i="8"/>
  <c r="H4473" i="8" a="1"/>
  <c r="G2225" i="8"/>
  <c r="G3082" i="8"/>
  <c r="F3082" i="8"/>
  <c r="H4560" i="8" a="1"/>
  <c r="G1595" i="8"/>
  <c r="F3256" i="8"/>
  <c r="G3952" i="8"/>
  <c r="G4561" i="8"/>
  <c r="F4648" i="8"/>
  <c r="G3865" i="8"/>
  <c r="H3690" i="8" a="1"/>
  <c r="F3343" i="8"/>
  <c r="G1775" i="8"/>
  <c r="H3429" i="8" a="1"/>
  <c r="G605" i="8"/>
  <c r="G3691" i="8"/>
  <c r="G4126" i="8"/>
  <c r="G2315" i="8"/>
  <c r="F4735" i="8"/>
  <c r="G4823" i="8"/>
  <c r="F3865" i="8"/>
  <c r="F4561" i="8"/>
  <c r="H4822" i="8" l="1"/>
  <c r="H4038" i="8"/>
  <c r="H3168" i="8"/>
  <c r="H4647" i="8"/>
  <c r="H3081" i="8"/>
  <c r="H3255" i="8"/>
  <c r="H797" i="8"/>
  <c r="H669" i="8"/>
  <c r="H733" i="8"/>
  <c r="H4212" i="8"/>
  <c r="H4299" i="8"/>
  <c r="H4473" i="8"/>
  <c r="H3429" i="8"/>
  <c r="H3690" i="8"/>
  <c r="H3864" i="8"/>
  <c r="H3603" i="8"/>
  <c r="H4386" i="8"/>
  <c r="H604" i="8"/>
  <c r="H3777" i="8"/>
  <c r="H4734" i="8"/>
  <c r="H4560" i="8"/>
  <c r="H3342" i="8"/>
  <c r="H2405" i="8"/>
  <c r="H3516" i="8"/>
  <c r="H3951" i="8"/>
  <c r="H4125" i="8"/>
  <c r="C2407" i="8"/>
  <c r="B3519" i="8"/>
  <c r="C1867" i="8"/>
  <c r="B3606" i="8"/>
  <c r="B3867" i="8"/>
  <c r="B4824" i="8"/>
  <c r="B3780" i="8"/>
  <c r="C1327" i="8"/>
  <c r="C1147" i="8"/>
  <c r="C3519" i="8"/>
  <c r="C3954" i="8"/>
  <c r="C877" i="8"/>
  <c r="B4476" i="8"/>
  <c r="C2047" i="8"/>
  <c r="C2317" i="8"/>
  <c r="C3432" i="8"/>
  <c r="C1597" i="8"/>
  <c r="B3693" i="8"/>
  <c r="C3606" i="8"/>
  <c r="C4737" i="8"/>
  <c r="C4302" i="8"/>
  <c r="C3867" i="8"/>
  <c r="B4737" i="8"/>
  <c r="C3171" i="8"/>
  <c r="C3084" i="8"/>
  <c r="B2427" i="8"/>
  <c r="C4041" i="8"/>
  <c r="C697" i="8"/>
  <c r="C607" i="8"/>
  <c r="B4389" i="8"/>
  <c r="B671" i="8"/>
  <c r="B607" i="8"/>
  <c r="C1507" i="8"/>
  <c r="C967" i="8"/>
  <c r="B3171" i="8"/>
  <c r="B3084" i="8"/>
  <c r="C1777" i="8"/>
  <c r="C1417" i="8"/>
  <c r="C2227" i="8"/>
  <c r="B4128" i="8"/>
  <c r="C3258" i="8"/>
  <c r="C3780" i="8"/>
  <c r="B4563" i="8"/>
  <c r="C2137" i="8"/>
  <c r="B4041" i="8"/>
  <c r="C4476" i="8"/>
  <c r="B3345" i="8"/>
  <c r="C4128" i="8"/>
  <c r="C787" i="8"/>
  <c r="B735" i="8"/>
  <c r="C3345" i="8"/>
  <c r="B3258" i="8"/>
  <c r="C1687" i="8"/>
  <c r="B4302" i="8"/>
  <c r="C4824" i="8"/>
  <c r="B4650" i="8"/>
  <c r="B4215" i="8"/>
  <c r="B3432" i="8"/>
  <c r="C3693" i="8"/>
  <c r="C4389" i="8"/>
  <c r="C4563" i="8"/>
  <c r="B3954" i="8"/>
  <c r="C4650" i="8"/>
  <c r="C1957" i="8"/>
  <c r="C1237" i="8"/>
  <c r="C1057" i="8"/>
  <c r="B799" i="8"/>
  <c r="C4215" i="8"/>
  <c r="H670" i="8" a="1"/>
  <c r="H3343" i="8" a="1"/>
  <c r="G3170" i="8"/>
  <c r="G4736" i="8"/>
  <c r="H4387" i="8" a="1"/>
  <c r="G1146" i="8"/>
  <c r="G1506" i="8"/>
  <c r="H4039" i="8" a="1"/>
  <c r="F734" i="8"/>
  <c r="F606" i="8"/>
  <c r="H605" i="8" a="1"/>
  <c r="G2316" i="8"/>
  <c r="H3430" i="8" a="1"/>
  <c r="G3518" i="8"/>
  <c r="H3778" i="8" a="1"/>
  <c r="F4736" i="8"/>
  <c r="G2136" i="8"/>
  <c r="H3865" i="8" a="1"/>
  <c r="G1416" i="8"/>
  <c r="F3605" i="8"/>
  <c r="H4300" i="8" a="1"/>
  <c r="H4213" i="8" a="1"/>
  <c r="H798" i="8" a="1"/>
  <c r="G2046" i="8"/>
  <c r="F3344" i="8"/>
  <c r="F3692" i="8"/>
  <c r="G4824" i="8"/>
  <c r="H4735" i="8" a="1"/>
  <c r="G876" i="8"/>
  <c r="H3952" i="8" a="1"/>
  <c r="F2426" i="8"/>
  <c r="G786" i="8"/>
  <c r="H4474" i="8" a="1"/>
  <c r="G4388" i="8"/>
  <c r="G4649" i="8"/>
  <c r="G1686" i="8"/>
  <c r="H4648" i="8" a="1"/>
  <c r="F4301" i="8"/>
  <c r="G3344" i="8"/>
  <c r="F3083" i="8"/>
  <c r="F4562" i="8"/>
  <c r="F3779" i="8"/>
  <c r="G1596" i="8"/>
  <c r="G3431" i="8"/>
  <c r="H4823" i="8" a="1"/>
  <c r="G696" i="8"/>
  <c r="G2226" i="8"/>
  <c r="H3517" i="8" a="1"/>
  <c r="G606" i="8"/>
  <c r="F3170" i="8"/>
  <c r="G2407" i="8"/>
  <c r="F4475" i="8"/>
  <c r="G3692" i="8"/>
  <c r="F3518" i="8"/>
  <c r="G966" i="8"/>
  <c r="H734" i="8" a="1"/>
  <c r="F4214" i="8"/>
  <c r="G1776" i="8"/>
  <c r="F3953" i="8"/>
  <c r="G3257" i="8"/>
  <c r="H4126" i="8" a="1"/>
  <c r="F798" i="8"/>
  <c r="F4388" i="8"/>
  <c r="H2406" i="8" a="1"/>
  <c r="G3779" i="8"/>
  <c r="G3953" i="8"/>
  <c r="H3604" i="8" a="1"/>
  <c r="F4649" i="8"/>
  <c r="F4824" i="8"/>
  <c r="G1866" i="8"/>
  <c r="G4301" i="8"/>
  <c r="G1056" i="8"/>
  <c r="H4561" i="8" a="1"/>
  <c r="F4127" i="8"/>
  <c r="G1956" i="8"/>
  <c r="G3605" i="8"/>
  <c r="H3169" i="8" a="1"/>
  <c r="F3866" i="8"/>
  <c r="G3866" i="8"/>
  <c r="H3082" i="8" a="1"/>
  <c r="G4127" i="8"/>
  <c r="G3083" i="8"/>
  <c r="H3691" i="8" a="1"/>
  <c r="G4214" i="8"/>
  <c r="F3431" i="8"/>
  <c r="H3256" i="8" a="1"/>
  <c r="F4040" i="8"/>
  <c r="G4562" i="8"/>
  <c r="G4040" i="8"/>
  <c r="F670" i="8"/>
  <c r="F3257" i="8"/>
  <c r="G1236" i="8"/>
  <c r="G4475" i="8"/>
  <c r="G1326" i="8"/>
  <c r="H798" i="8" l="1"/>
  <c r="H734" i="8"/>
  <c r="H4213" i="8"/>
  <c r="H4300" i="8"/>
  <c r="H605" i="8"/>
  <c r="H4474" i="8"/>
  <c r="H4735" i="8"/>
  <c r="H3256" i="8"/>
  <c r="H3778" i="8"/>
  <c r="H4039" i="8"/>
  <c r="H3517" i="8"/>
  <c r="H2406" i="8"/>
  <c r="H3082" i="8"/>
  <c r="H4561" i="8"/>
  <c r="H3343" i="8"/>
  <c r="H3865" i="8"/>
  <c r="H4648" i="8"/>
  <c r="H3952" i="8"/>
  <c r="H3604" i="8"/>
  <c r="H3691" i="8"/>
  <c r="H3430" i="8"/>
  <c r="H670" i="8"/>
  <c r="H4387" i="8"/>
  <c r="H4823" i="8"/>
  <c r="H4126" i="8"/>
  <c r="H3169" i="8"/>
  <c r="C4738" i="8"/>
  <c r="C4651" i="8"/>
  <c r="C3781" i="8"/>
  <c r="B4303" i="8"/>
  <c r="C1778" i="8"/>
  <c r="C3433" i="8"/>
  <c r="C4303" i="8"/>
  <c r="B4042" i="8"/>
  <c r="C4477" i="8"/>
  <c r="B3520" i="8"/>
  <c r="B4738" i="8"/>
  <c r="B4390" i="8"/>
  <c r="B3346" i="8"/>
  <c r="C3868" i="8"/>
  <c r="C1508" i="8"/>
  <c r="C1058" i="8"/>
  <c r="C4129" i="8"/>
  <c r="C3172" i="8"/>
  <c r="C3085" i="8"/>
  <c r="B3781" i="8"/>
  <c r="C3520" i="8"/>
  <c r="C968" i="8"/>
  <c r="B3607" i="8"/>
  <c r="C1328" i="8"/>
  <c r="B800" i="8"/>
  <c r="C4216" i="8"/>
  <c r="C4564" i="8"/>
  <c r="C2228" i="8"/>
  <c r="B4216" i="8"/>
  <c r="B3085" i="8"/>
  <c r="B3172" i="8"/>
  <c r="C1598" i="8"/>
  <c r="B736" i="8"/>
  <c r="C698" i="8"/>
  <c r="C608" i="8"/>
  <c r="B2428" i="8"/>
  <c r="C3259" i="8"/>
  <c r="C3955" i="8"/>
  <c r="C4825" i="8"/>
  <c r="C2138" i="8"/>
  <c r="C3607" i="8"/>
  <c r="C1418" i="8"/>
  <c r="B3694" i="8"/>
  <c r="C2318" i="8"/>
  <c r="C1868" i="8"/>
  <c r="B3259" i="8"/>
  <c r="C788" i="8"/>
  <c r="C1148" i="8"/>
  <c r="C2048" i="8"/>
  <c r="C878" i="8"/>
  <c r="B3433" i="8"/>
  <c r="B4129" i="8"/>
  <c r="B4651" i="8"/>
  <c r="C3346" i="8"/>
  <c r="B672" i="8"/>
  <c r="B608" i="8"/>
  <c r="B4477" i="8"/>
  <c r="B4825" i="8"/>
  <c r="C4390" i="8"/>
  <c r="C3694" i="8"/>
  <c r="C1688" i="8"/>
  <c r="C2408" i="8"/>
  <c r="B4564" i="8"/>
  <c r="C4042" i="8"/>
  <c r="C1238" i="8"/>
  <c r="B3868" i="8"/>
  <c r="B3955" i="8"/>
  <c r="C1958" i="8"/>
  <c r="G1237" i="8"/>
  <c r="H799" i="8" a="1"/>
  <c r="F4476" i="8"/>
  <c r="H4127" i="8" a="1"/>
  <c r="H3344" i="8" a="1"/>
  <c r="G2408" i="8"/>
  <c r="G4128" i="8"/>
  <c r="H2407" i="8" a="1"/>
  <c r="H4736" i="8" a="1"/>
  <c r="G1327" i="8"/>
  <c r="H606" i="8" a="1"/>
  <c r="H4040" i="8" a="1"/>
  <c r="G2227" i="8"/>
  <c r="F4302" i="8"/>
  <c r="F4825" i="8"/>
  <c r="G1417" i="8"/>
  <c r="G877" i="8"/>
  <c r="H3953" i="8" a="1"/>
  <c r="G1597" i="8"/>
  <c r="F671" i="8"/>
  <c r="G4389" i="8"/>
  <c r="F3780" i="8"/>
  <c r="G1957" i="8"/>
  <c r="F4650" i="8"/>
  <c r="H3692" i="8" a="1"/>
  <c r="G3867" i="8"/>
  <c r="F3954" i="8"/>
  <c r="G697" i="8"/>
  <c r="F3693" i="8"/>
  <c r="F799" i="8"/>
  <c r="H3257" i="8" a="1"/>
  <c r="F4389" i="8"/>
  <c r="F3519" i="8"/>
  <c r="G3693" i="8"/>
  <c r="G2317" i="8"/>
  <c r="G4215" i="8"/>
  <c r="H4824" i="8" a="1"/>
  <c r="H4388" i="8" a="1"/>
  <c r="F3084" i="8"/>
  <c r="H3083" i="8" a="1"/>
  <c r="G787" i="8"/>
  <c r="F2427" i="8"/>
  <c r="G3345" i="8"/>
  <c r="G4041" i="8"/>
  <c r="H671" i="8" a="1"/>
  <c r="H4562" i="8" a="1"/>
  <c r="G3258" i="8"/>
  <c r="G3432" i="8"/>
  <c r="G3084" i="8"/>
  <c r="F4737" i="8"/>
  <c r="G2137" i="8"/>
  <c r="G4563" i="8"/>
  <c r="F3867" i="8"/>
  <c r="G3519" i="8"/>
  <c r="F3258" i="8"/>
  <c r="G1147" i="8"/>
  <c r="G4476" i="8"/>
  <c r="G967" i="8"/>
  <c r="H3170" i="8" a="1"/>
  <c r="G4302" i="8"/>
  <c r="G1777" i="8"/>
  <c r="H3779" i="8" a="1"/>
  <c r="G1057" i="8"/>
  <c r="G3780" i="8"/>
  <c r="H3605" i="8" a="1"/>
  <c r="F4128" i="8"/>
  <c r="H4301" i="8" a="1"/>
  <c r="H4475" i="8" a="1"/>
  <c r="G4825" i="8"/>
  <c r="G4737" i="8"/>
  <c r="G3954" i="8"/>
  <c r="G2047" i="8"/>
  <c r="F3432" i="8"/>
  <c r="F3345" i="8"/>
  <c r="G1867" i="8"/>
  <c r="H735" i="8" a="1"/>
  <c r="F735" i="8"/>
  <c r="F4563" i="8"/>
  <c r="G1507" i="8"/>
  <c r="F4215" i="8"/>
  <c r="G3171" i="8"/>
  <c r="H4214" i="8" a="1"/>
  <c r="H3518" i="8" a="1"/>
  <c r="H4649" i="8" a="1"/>
  <c r="G607" i="8"/>
  <c r="G1687" i="8"/>
  <c r="H3866" i="8" a="1"/>
  <c r="F4041" i="8"/>
  <c r="F607" i="8"/>
  <c r="F3171" i="8"/>
  <c r="G4650" i="8"/>
  <c r="F3606" i="8"/>
  <c r="G3606" i="8"/>
  <c r="H3431" i="8" a="1"/>
  <c r="H671" i="8" l="1"/>
  <c r="H735" i="8"/>
  <c r="H3866" i="8"/>
  <c r="H4214" i="8"/>
  <c r="H4736" i="8"/>
  <c r="H4127" i="8"/>
  <c r="H3431" i="8"/>
  <c r="H606" i="8"/>
  <c r="H3083" i="8"/>
  <c r="H2407" i="8"/>
  <c r="H3692" i="8"/>
  <c r="H3605" i="8"/>
  <c r="H799" i="8"/>
  <c r="H3953" i="8"/>
  <c r="H3170" i="8"/>
  <c r="H3257" i="8"/>
  <c r="H4475" i="8"/>
  <c r="H4649" i="8"/>
  <c r="H4388" i="8"/>
  <c r="H4301" i="8"/>
  <c r="H3518" i="8"/>
  <c r="H4824" i="8"/>
  <c r="H3344" i="8"/>
  <c r="H4562" i="8"/>
  <c r="H3779" i="8"/>
  <c r="H4040" i="8"/>
  <c r="B4652" i="8"/>
  <c r="C1779" i="8"/>
  <c r="C4478" i="8"/>
  <c r="B4565" i="8"/>
  <c r="B4217" i="8"/>
  <c r="C969" i="8"/>
  <c r="C2049" i="8"/>
  <c r="C3782" i="8"/>
  <c r="B673" i="8"/>
  <c r="B609" i="8"/>
  <c r="C3434" i="8"/>
  <c r="C1239" i="8"/>
  <c r="B3347" i="8"/>
  <c r="C2409" i="8"/>
  <c r="C2229" i="8"/>
  <c r="C4043" i="8"/>
  <c r="B2429" i="8"/>
  <c r="C1689" i="8"/>
  <c r="C1419" i="8"/>
  <c r="C1059" i="8"/>
  <c r="C1869" i="8"/>
  <c r="B3956" i="8"/>
  <c r="C4130" i="8"/>
  <c r="C699" i="8"/>
  <c r="C609" i="8"/>
  <c r="B3260" i="8"/>
  <c r="B4304" i="8"/>
  <c r="C4652" i="8"/>
  <c r="C3608" i="8"/>
  <c r="C4217" i="8"/>
  <c r="C1599" i="8"/>
  <c r="B3434" i="8"/>
  <c r="B4826" i="8"/>
  <c r="C4565" i="8"/>
  <c r="C4391" i="8"/>
  <c r="C3869" i="8"/>
  <c r="C4826" i="8"/>
  <c r="C1329" i="8"/>
  <c r="B737" i="8"/>
  <c r="B4739" i="8"/>
  <c r="B3521" i="8"/>
  <c r="C2139" i="8"/>
  <c r="C879" i="8"/>
  <c r="C1959" i="8"/>
  <c r="B3782" i="8"/>
  <c r="C3695" i="8"/>
  <c r="C3347" i="8"/>
  <c r="B801" i="8"/>
  <c r="C2319" i="8"/>
  <c r="B3695" i="8"/>
  <c r="C3086" i="8"/>
  <c r="C3173" i="8"/>
  <c r="C1149" i="8"/>
  <c r="B4043" i="8"/>
  <c r="C1509" i="8"/>
  <c r="C789" i="8"/>
  <c r="B3173" i="8"/>
  <c r="B3086" i="8"/>
  <c r="C4304" i="8"/>
  <c r="B3869" i="8"/>
  <c r="C3260" i="8"/>
  <c r="C3956" i="8"/>
  <c r="B4478" i="8"/>
  <c r="B3608" i="8"/>
  <c r="B4130" i="8"/>
  <c r="C3521" i="8"/>
  <c r="B4391" i="8"/>
  <c r="C4739" i="8"/>
  <c r="G1328" i="8"/>
  <c r="G1958" i="8"/>
  <c r="F4303" i="8"/>
  <c r="H4389" i="8" a="1"/>
  <c r="H4825" i="8" a="1"/>
  <c r="H3693" i="8" a="1"/>
  <c r="G2048" i="8"/>
  <c r="G878" i="8"/>
  <c r="H4302" i="8" a="1"/>
  <c r="H800" i="8" a="1"/>
  <c r="H3432" i="8" a="1"/>
  <c r="H3780" i="8" a="1"/>
  <c r="H4737" i="8" a="1"/>
  <c r="F3607" i="8"/>
  <c r="F608" i="8"/>
  <c r="G4738" i="8"/>
  <c r="F2428" i="8"/>
  <c r="G4390" i="8"/>
  <c r="F4042" i="8"/>
  <c r="G608" i="8"/>
  <c r="G1778" i="8"/>
  <c r="H3867" i="8" a="1"/>
  <c r="G1508" i="8"/>
  <c r="H4476" i="8" a="1"/>
  <c r="F3433" i="8"/>
  <c r="G4564" i="8"/>
  <c r="H3084" i="8" a="1"/>
  <c r="G4042" i="8"/>
  <c r="F3259" i="8"/>
  <c r="H3345" i="8" a="1"/>
  <c r="G3172" i="8"/>
  <c r="G3955" i="8"/>
  <c r="G1688" i="8"/>
  <c r="F3781" i="8"/>
  <c r="G3520" i="8"/>
  <c r="G2138" i="8"/>
  <c r="F4564" i="8"/>
  <c r="F4390" i="8"/>
  <c r="G968" i="8"/>
  <c r="G3085" i="8"/>
  <c r="H672" i="8" a="1"/>
  <c r="F3868" i="8"/>
  <c r="G1868" i="8"/>
  <c r="F4738" i="8"/>
  <c r="F3085" i="8"/>
  <c r="H3519" i="8" a="1"/>
  <c r="H4041" i="8" a="1"/>
  <c r="G3781" i="8"/>
  <c r="F4477" i="8"/>
  <c r="H736" i="8" a="1"/>
  <c r="F3172" i="8"/>
  <c r="G2409" i="8"/>
  <c r="G1418" i="8"/>
  <c r="G4826" i="8"/>
  <c r="F4216" i="8"/>
  <c r="G4651" i="8"/>
  <c r="G3868" i="8"/>
  <c r="G1238" i="8"/>
  <c r="G1598" i="8"/>
  <c r="H3954" i="8" a="1"/>
  <c r="F800" i="8"/>
  <c r="H4215" i="8" a="1"/>
  <c r="G2228" i="8"/>
  <c r="G4477" i="8"/>
  <c r="H2408" i="8" a="1"/>
  <c r="G3346" i="8"/>
  <c r="H607" i="8" a="1"/>
  <c r="G4216" i="8"/>
  <c r="F4826" i="8"/>
  <c r="G3259" i="8"/>
  <c r="G788" i="8"/>
  <c r="G4129" i="8"/>
  <c r="H4128" i="8" a="1"/>
  <c r="F736" i="8"/>
  <c r="G4303" i="8"/>
  <c r="F4651" i="8"/>
  <c r="H3606" i="8" a="1"/>
  <c r="F3694" i="8"/>
  <c r="F3346" i="8"/>
  <c r="H4563" i="8" a="1"/>
  <c r="G3694" i="8"/>
  <c r="F4129" i="8"/>
  <c r="H3171" i="8" a="1"/>
  <c r="G1058" i="8"/>
  <c r="G1148" i="8"/>
  <c r="H3258" i="8" a="1"/>
  <c r="G698" i="8"/>
  <c r="G3607" i="8"/>
  <c r="G3433" i="8"/>
  <c r="F3520" i="8"/>
  <c r="H4650" i="8" a="1"/>
  <c r="F3955" i="8"/>
  <c r="F672" i="8"/>
  <c r="G2318" i="8"/>
  <c r="H800" i="8" l="1"/>
  <c r="H736" i="8"/>
  <c r="H3867" i="8"/>
  <c r="H3258" i="8"/>
  <c r="H3432" i="8"/>
  <c r="H4302" i="8"/>
  <c r="H4389" i="8"/>
  <c r="H4476" i="8"/>
  <c r="H2408" i="8"/>
  <c r="H4563" i="8"/>
  <c r="H4128" i="8"/>
  <c r="H3084" i="8"/>
  <c r="H4650" i="8"/>
  <c r="H3954" i="8"/>
  <c r="H3345" i="8"/>
  <c r="H607" i="8"/>
  <c r="H3171" i="8"/>
  <c r="H4737" i="8"/>
  <c r="H3693" i="8"/>
  <c r="H4041" i="8"/>
  <c r="H672" i="8"/>
  <c r="H3780" i="8"/>
  <c r="H4825" i="8"/>
  <c r="H3519" i="8"/>
  <c r="H4215" i="8"/>
  <c r="H3606" i="8"/>
  <c r="C4827" i="8"/>
  <c r="C3609" i="8"/>
  <c r="B3957" i="8"/>
  <c r="B4218" i="8"/>
  <c r="C3348" i="8"/>
  <c r="C3261" i="8"/>
  <c r="B3783" i="8"/>
  <c r="B4131" i="8"/>
  <c r="C3435" i="8"/>
  <c r="B3870" i="8"/>
  <c r="C970" i="8"/>
  <c r="B3609" i="8"/>
  <c r="C610" i="8"/>
  <c r="C700" i="8"/>
  <c r="C1510" i="8"/>
  <c r="B2430" i="8"/>
  <c r="C2320" i="8"/>
  <c r="B3435" i="8"/>
  <c r="C3522" i="8"/>
  <c r="C1060" i="8"/>
  <c r="B4653" i="8"/>
  <c r="B3696" i="8"/>
  <c r="C4044" i="8"/>
  <c r="B3174" i="8"/>
  <c r="B3087" i="8"/>
  <c r="C2230" i="8"/>
  <c r="B802" i="8"/>
  <c r="C4479" i="8"/>
  <c r="C1690" i="8"/>
  <c r="C3696" i="8"/>
  <c r="B4392" i="8"/>
  <c r="B4044" i="8"/>
  <c r="C1780" i="8"/>
  <c r="C3870" i="8"/>
  <c r="C1870" i="8"/>
  <c r="C1240" i="8"/>
  <c r="C3174" i="8"/>
  <c r="C3087" i="8"/>
  <c r="B3261" i="8"/>
  <c r="C1600" i="8"/>
  <c r="C2410" i="8"/>
  <c r="C3783" i="8"/>
  <c r="C2050" i="8"/>
  <c r="B4827" i="8"/>
  <c r="C1420" i="8"/>
  <c r="B3348" i="8"/>
  <c r="C790" i="8"/>
  <c r="C1150" i="8"/>
  <c r="C4131" i="8"/>
  <c r="C1330" i="8"/>
  <c r="B674" i="8"/>
  <c r="B610" i="8"/>
  <c r="B4305" i="8"/>
  <c r="B4479" i="8"/>
  <c r="B4566" i="8"/>
  <c r="C4392" i="8"/>
  <c r="C880" i="8"/>
  <c r="C3957" i="8"/>
  <c r="C4653" i="8"/>
  <c r="B3522" i="8"/>
  <c r="C4305" i="8"/>
  <c r="C4740" i="8"/>
  <c r="C4218" i="8"/>
  <c r="C1960" i="8"/>
  <c r="B738" i="8"/>
  <c r="C2140" i="8"/>
  <c r="C4566" i="8"/>
  <c r="B4740" i="8"/>
  <c r="G3956" i="8"/>
  <c r="G3347" i="8"/>
  <c r="G4652" i="8"/>
  <c r="H3955" i="8" a="1"/>
  <c r="F4217" i="8"/>
  <c r="G4478" i="8"/>
  <c r="G3086" i="8"/>
  <c r="H3781" i="8" a="1"/>
  <c r="F3434" i="8"/>
  <c r="F3173" i="8"/>
  <c r="G3782" i="8"/>
  <c r="H4129" i="8" a="1"/>
  <c r="H608" i="8" a="1"/>
  <c r="G699" i="8"/>
  <c r="F3608" i="8"/>
  <c r="G2319" i="8"/>
  <c r="F4478" i="8"/>
  <c r="F3347" i="8"/>
  <c r="H3607" i="8" a="1"/>
  <c r="G1239" i="8"/>
  <c r="G1599" i="8"/>
  <c r="G1869" i="8"/>
  <c r="H4651" i="8" a="1"/>
  <c r="H3520" i="8" a="1"/>
  <c r="H2409" i="8" a="1"/>
  <c r="G4565" i="8"/>
  <c r="G2139" i="8"/>
  <c r="H3172" i="8" a="1"/>
  <c r="G2229" i="8"/>
  <c r="H4826" i="8" a="1"/>
  <c r="H4303" i="8" a="1"/>
  <c r="G1329" i="8"/>
  <c r="G969" i="8"/>
  <c r="H4216" i="8" a="1"/>
  <c r="G4130" i="8"/>
  <c r="H4477" i="8" a="1"/>
  <c r="G1419" i="8"/>
  <c r="F3869" i="8"/>
  <c r="G1059" i="8"/>
  <c r="F4827" i="8"/>
  <c r="H4738" i="8" a="1"/>
  <c r="H801" i="8" a="1"/>
  <c r="G3608" i="8"/>
  <c r="F4565" i="8"/>
  <c r="H4042" i="8" a="1"/>
  <c r="H3085" i="8" a="1"/>
  <c r="G1959" i="8"/>
  <c r="G3173" i="8"/>
  <c r="F4304" i="8"/>
  <c r="G879" i="8"/>
  <c r="G4739" i="8"/>
  <c r="H673" i="8" a="1"/>
  <c r="F3956" i="8"/>
  <c r="F4043" i="8"/>
  <c r="G1689" i="8"/>
  <c r="F737" i="8"/>
  <c r="F801" i="8"/>
  <c r="F2429" i="8"/>
  <c r="H3694" i="8" a="1"/>
  <c r="H3868" i="8" a="1"/>
  <c r="G4827" i="8"/>
  <c r="H4564" i="8" a="1"/>
  <c r="G4043" i="8"/>
  <c r="G4391" i="8"/>
  <c r="G4217" i="8"/>
  <c r="F3695" i="8"/>
  <c r="H4390" i="8" a="1"/>
  <c r="G3869" i="8"/>
  <c r="G2410" i="8"/>
  <c r="F4652" i="8"/>
  <c r="H737" i="8" a="1"/>
  <c r="G609" i="8"/>
  <c r="H3433" i="8" a="1"/>
  <c r="G3695" i="8"/>
  <c r="F3086" i="8"/>
  <c r="F673" i="8"/>
  <c r="H3259" i="8" a="1"/>
  <c r="G2049" i="8"/>
  <c r="G1509" i="8"/>
  <c r="H3346" i="8" a="1"/>
  <c r="F3782" i="8"/>
  <c r="G3434" i="8"/>
  <c r="G3260" i="8"/>
  <c r="F609" i="8"/>
  <c r="G1149" i="8"/>
  <c r="F3521" i="8"/>
  <c r="G789" i="8"/>
  <c r="G3521" i="8"/>
  <c r="G4304" i="8"/>
  <c r="G1779" i="8"/>
  <c r="F4130" i="8"/>
  <c r="F4739" i="8"/>
  <c r="F3260" i="8"/>
  <c r="F4391" i="8"/>
  <c r="H2409" i="8" l="1"/>
  <c r="H4477" i="8"/>
  <c r="H4216" i="8"/>
  <c r="H3955" i="8"/>
  <c r="H3520" i="8"/>
  <c r="H3868" i="8"/>
  <c r="H3346" i="8"/>
  <c r="H3781" i="8"/>
  <c r="H3172" i="8"/>
  <c r="H3607" i="8"/>
  <c r="H3694" i="8"/>
  <c r="H3433" i="8"/>
  <c r="H673" i="8"/>
  <c r="H801" i="8"/>
  <c r="H4390" i="8"/>
  <c r="H4564" i="8"/>
  <c r="H608" i="8"/>
  <c r="H4303" i="8"/>
  <c r="H3085" i="8"/>
  <c r="H4651" i="8"/>
  <c r="H737" i="8"/>
  <c r="H4129" i="8"/>
  <c r="H4826" i="8"/>
  <c r="H4042" i="8"/>
  <c r="H4738" i="8"/>
  <c r="H3259" i="8"/>
  <c r="B4828" i="8"/>
  <c r="C4306" i="8"/>
  <c r="B739" i="8"/>
  <c r="C4219" i="8"/>
  <c r="C881" i="8"/>
  <c r="C1511" i="8"/>
  <c r="C2141" i="8"/>
  <c r="C1691" i="8"/>
  <c r="C1781" i="8"/>
  <c r="C2231" i="8"/>
  <c r="B803" i="8"/>
  <c r="C4393" i="8"/>
  <c r="C4741" i="8"/>
  <c r="C971" i="8"/>
  <c r="B4654" i="8"/>
  <c r="B4393" i="8"/>
  <c r="C1421" i="8"/>
  <c r="C1241" i="8"/>
  <c r="C3871" i="8"/>
  <c r="C3262" i="8"/>
  <c r="C1871" i="8"/>
  <c r="B4480" i="8"/>
  <c r="C4132" i="8"/>
  <c r="B4741" i="8"/>
  <c r="C3610" i="8"/>
  <c r="C1601" i="8"/>
  <c r="C3349" i="8"/>
  <c r="B4306" i="8"/>
  <c r="B3349" i="8"/>
  <c r="B3175" i="8"/>
  <c r="B3088" i="8"/>
  <c r="B3523" i="8"/>
  <c r="B2431" i="8"/>
  <c r="C791" i="8"/>
  <c r="B3697" i="8"/>
  <c r="B3958" i="8"/>
  <c r="B4219" i="8"/>
  <c r="C3697" i="8"/>
  <c r="C4045" i="8"/>
  <c r="B3436" i="8"/>
  <c r="C4654" i="8"/>
  <c r="C2051" i="8"/>
  <c r="C4828" i="8"/>
  <c r="B3610" i="8"/>
  <c r="C4480" i="8"/>
  <c r="B4567" i="8"/>
  <c r="B675" i="8"/>
  <c r="B611" i="8"/>
  <c r="C1331" i="8"/>
  <c r="C3958" i="8"/>
  <c r="B4132" i="8"/>
  <c r="C3784" i="8"/>
  <c r="C4567" i="8"/>
  <c r="B3262" i="8"/>
  <c r="B3784" i="8"/>
  <c r="C1151" i="8"/>
  <c r="C1061" i="8"/>
  <c r="B3871" i="8"/>
  <c r="C3175" i="8"/>
  <c r="C3088" i="8"/>
  <c r="C1961" i="8"/>
  <c r="C2321" i="8"/>
  <c r="C2411" i="8"/>
  <c r="C701" i="8"/>
  <c r="C611" i="8"/>
  <c r="C3523" i="8"/>
  <c r="C3436" i="8"/>
  <c r="B4045" i="8"/>
  <c r="F802" i="8"/>
  <c r="H3173" i="8" a="1"/>
  <c r="G3696" i="8"/>
  <c r="F3870" i="8"/>
  <c r="F3696" i="8"/>
  <c r="F3087" i="8"/>
  <c r="H3347" i="8" a="1"/>
  <c r="F3174" i="8"/>
  <c r="G3609" i="8"/>
  <c r="H738" i="8" a="1"/>
  <c r="G3435" i="8"/>
  <c r="F4828" i="8"/>
  <c r="G610" i="8"/>
  <c r="F4653" i="8"/>
  <c r="H4827" i="8" a="1"/>
  <c r="H4391" i="8" a="1"/>
  <c r="F4392" i="8"/>
  <c r="H3782" i="8" a="1"/>
  <c r="G3870" i="8"/>
  <c r="G700" i="8"/>
  <c r="G4218" i="8"/>
  <c r="G4479" i="8"/>
  <c r="H4217" i="8" a="1"/>
  <c r="G2320" i="8"/>
  <c r="F3522" i="8"/>
  <c r="G4566" i="8"/>
  <c r="G790" i="8"/>
  <c r="H3521" i="8" a="1"/>
  <c r="G1870" i="8"/>
  <c r="F4044" i="8"/>
  <c r="G4740" i="8"/>
  <c r="G1690" i="8"/>
  <c r="H3695" i="8" a="1"/>
  <c r="F4479" i="8"/>
  <c r="G1780" i="8"/>
  <c r="G4653" i="8"/>
  <c r="G1150" i="8"/>
  <c r="H4130" i="8" a="1"/>
  <c r="F3435" i="8"/>
  <c r="G1330" i="8"/>
  <c r="H3434" i="8" a="1"/>
  <c r="G3957" i="8"/>
  <c r="F674" i="8"/>
  <c r="F4566" i="8"/>
  <c r="G3522" i="8"/>
  <c r="H609" i="8" a="1"/>
  <c r="G3087" i="8"/>
  <c r="F4305" i="8"/>
  <c r="H3260" i="8" a="1"/>
  <c r="G2140" i="8"/>
  <c r="H4565" i="8" a="1"/>
  <c r="G2230" i="8"/>
  <c r="G3174" i="8"/>
  <c r="H3956" i="8" a="1"/>
  <c r="H2410" i="8" a="1"/>
  <c r="F3261" i="8"/>
  <c r="F3957" i="8"/>
  <c r="F4131" i="8"/>
  <c r="F4740" i="8"/>
  <c r="F3783" i="8"/>
  <c r="F3348" i="8"/>
  <c r="H4043" i="8" a="1"/>
  <c r="F610" i="8"/>
  <c r="G880" i="8"/>
  <c r="H3086" i="8" a="1"/>
  <c r="G1420" i="8"/>
  <c r="G1060" i="8"/>
  <c r="F4218" i="8"/>
  <c r="G2050" i="8"/>
  <c r="G3261" i="8"/>
  <c r="G1600" i="8"/>
  <c r="H4304" i="8" a="1"/>
  <c r="H802" i="8" a="1"/>
  <c r="F738" i="8"/>
  <c r="H4478" i="8" a="1"/>
  <c r="G1240" i="8"/>
  <c r="H4652" i="8" a="1"/>
  <c r="G4392" i="8"/>
  <c r="G4305" i="8"/>
  <c r="H3608" i="8" a="1"/>
  <c r="G970" i="8"/>
  <c r="G4131" i="8"/>
  <c r="G3348" i="8"/>
  <c r="G1510" i="8"/>
  <c r="H674" i="8" a="1"/>
  <c r="H3869" i="8" a="1"/>
  <c r="F3609" i="8"/>
  <c r="H4739" i="8" a="1"/>
  <c r="F2430" i="8"/>
  <c r="G3783" i="8"/>
  <c r="G1960" i="8"/>
  <c r="G4828" i="8"/>
  <c r="G2411" i="8"/>
  <c r="G4044" i="8"/>
  <c r="H738" i="8" l="1"/>
  <c r="H3434" i="8"/>
  <c r="H4478" i="8"/>
  <c r="H4739" i="8"/>
  <c r="H3869" i="8"/>
  <c r="H4391" i="8"/>
  <c r="H2410" i="8"/>
  <c r="H674" i="8"/>
  <c r="H4827" i="8"/>
  <c r="H3956" i="8"/>
  <c r="H3260" i="8"/>
  <c r="H3086" i="8"/>
  <c r="H3608" i="8"/>
  <c r="H3695" i="8"/>
  <c r="H3521" i="8"/>
  <c r="H4217" i="8"/>
  <c r="H802" i="8"/>
  <c r="H3347" i="8"/>
  <c r="H3173" i="8"/>
  <c r="H3782" i="8"/>
  <c r="H4130" i="8"/>
  <c r="H4304" i="8"/>
  <c r="H4565" i="8"/>
  <c r="H609" i="8"/>
  <c r="H4043" i="8"/>
  <c r="H4652" i="8"/>
  <c r="C792" i="8"/>
  <c r="C2412" i="8"/>
  <c r="C3176" i="8"/>
  <c r="C3089" i="8"/>
  <c r="C1152" i="8"/>
  <c r="B740" i="8"/>
  <c r="C4568" i="8"/>
  <c r="C4742" i="8"/>
  <c r="C4133" i="8"/>
  <c r="B4307" i="8"/>
  <c r="B3089" i="8"/>
  <c r="B3176" i="8"/>
  <c r="C1512" i="8"/>
  <c r="C1782" i="8"/>
  <c r="C1602" i="8"/>
  <c r="C4307" i="8"/>
  <c r="B4133" i="8"/>
  <c r="C3611" i="8"/>
  <c r="C2052" i="8"/>
  <c r="C3263" i="8"/>
  <c r="B3872" i="8"/>
  <c r="C4655" i="8"/>
  <c r="B4220" i="8"/>
  <c r="C1422" i="8"/>
  <c r="B3611" i="8"/>
  <c r="B3263" i="8"/>
  <c r="B3437" i="8"/>
  <c r="C3437" i="8"/>
  <c r="C3698" i="8"/>
  <c r="C4220" i="8"/>
  <c r="C1962" i="8"/>
  <c r="C3959" i="8"/>
  <c r="B4742" i="8"/>
  <c r="C4829" i="8"/>
  <c r="C1872" i="8"/>
  <c r="C972" i="8"/>
  <c r="C4394" i="8"/>
  <c r="C3524" i="8"/>
  <c r="C702" i="8"/>
  <c r="C612" i="8"/>
  <c r="B676" i="8"/>
  <c r="B612" i="8"/>
  <c r="B4655" i="8"/>
  <c r="B3698" i="8"/>
  <c r="C2142" i="8"/>
  <c r="B3524" i="8"/>
  <c r="C3785" i="8"/>
  <c r="B4046" i="8"/>
  <c r="C882" i="8"/>
  <c r="B4568" i="8"/>
  <c r="C1332" i="8"/>
  <c r="C2232" i="8"/>
  <c r="B3959" i="8"/>
  <c r="C1242" i="8"/>
  <c r="B3350" i="8"/>
  <c r="C3872" i="8"/>
  <c r="C4046" i="8"/>
  <c r="B3785" i="8"/>
  <c r="B2432" i="8"/>
  <c r="B4394" i="8"/>
  <c r="C1692" i="8"/>
  <c r="B4829" i="8"/>
  <c r="C3350" i="8"/>
  <c r="B4481" i="8"/>
  <c r="C1062" i="8"/>
  <c r="C4481" i="8"/>
  <c r="C2322" i="8"/>
  <c r="B804" i="8"/>
  <c r="F3523" i="8"/>
  <c r="G3262" i="8"/>
  <c r="H2411" i="8" a="1"/>
  <c r="G4741" i="8"/>
  <c r="H4392" i="8" a="1"/>
  <c r="F4480" i="8"/>
  <c r="F4829" i="8"/>
  <c r="G2141" i="8"/>
  <c r="G3349" i="8"/>
  <c r="H4305" i="8" a="1"/>
  <c r="G4132" i="8"/>
  <c r="G1061" i="8"/>
  <c r="H803" i="8" a="1"/>
  <c r="G3610" i="8"/>
  <c r="G4393" i="8"/>
  <c r="F4393" i="8"/>
  <c r="F4132" i="8"/>
  <c r="G1601" i="8"/>
  <c r="H4218" i="8" a="1"/>
  <c r="H3870" i="8" a="1"/>
  <c r="G2051" i="8"/>
  <c r="F611" i="8"/>
  <c r="G1691" i="8"/>
  <c r="F3697" i="8"/>
  <c r="G4567" i="8"/>
  <c r="G1781" i="8"/>
  <c r="G1331" i="8"/>
  <c r="H4740" i="8" a="1"/>
  <c r="F4306" i="8"/>
  <c r="G1961" i="8"/>
  <c r="G3958" i="8"/>
  <c r="H3261" i="8" a="1"/>
  <c r="H3522" i="8" a="1"/>
  <c r="G881" i="8"/>
  <c r="F4219" i="8"/>
  <c r="G3784" i="8"/>
  <c r="F3784" i="8"/>
  <c r="F2431" i="8"/>
  <c r="H3783" i="8" a="1"/>
  <c r="G3088" i="8"/>
  <c r="G2321" i="8"/>
  <c r="F4654" i="8"/>
  <c r="F675" i="8"/>
  <c r="G3697" i="8"/>
  <c r="G3436" i="8"/>
  <c r="H3348" i="8" a="1"/>
  <c r="F3958" i="8"/>
  <c r="G1151" i="8"/>
  <c r="H4479" i="8" a="1"/>
  <c r="G4654" i="8"/>
  <c r="F3349" i="8"/>
  <c r="G2231" i="8"/>
  <c r="H3696" i="8" a="1"/>
  <c r="G2412" i="8"/>
  <c r="G1241" i="8"/>
  <c r="H3087" i="8" a="1"/>
  <c r="H3957" i="8" a="1"/>
  <c r="G1871" i="8"/>
  <c r="G4045" i="8"/>
  <c r="H3174" i="8" a="1"/>
  <c r="G3175" i="8"/>
  <c r="H3609" i="8" a="1"/>
  <c r="F3436" i="8"/>
  <c r="G791" i="8"/>
  <c r="F3088" i="8"/>
  <c r="H4044" i="8" a="1"/>
  <c r="G1511" i="8"/>
  <c r="F3262" i="8"/>
  <c r="H3435" i="8" a="1"/>
  <c r="G4219" i="8"/>
  <c r="F4045" i="8"/>
  <c r="G4306" i="8"/>
  <c r="G4829" i="8"/>
  <c r="G701" i="8"/>
  <c r="G3523" i="8"/>
  <c r="F4741" i="8"/>
  <c r="H4653" i="8" a="1"/>
  <c r="H4828" i="8" a="1"/>
  <c r="F3610" i="8"/>
  <c r="G611" i="8"/>
  <c r="G4480" i="8"/>
  <c r="F4567" i="8"/>
  <c r="G1421" i="8"/>
  <c r="F3871" i="8"/>
  <c r="F803" i="8"/>
  <c r="G971" i="8"/>
  <c r="G3871" i="8"/>
  <c r="H4131" i="8" a="1"/>
  <c r="H4566" i="8" a="1"/>
  <c r="H739" i="8" a="1"/>
  <c r="F3175" i="8"/>
  <c r="H610" i="8" a="1"/>
  <c r="H675" i="8" a="1"/>
  <c r="F739" i="8"/>
  <c r="H675" i="8" l="1"/>
  <c r="H3087" i="8"/>
  <c r="H739" i="8"/>
  <c r="H4131" i="8"/>
  <c r="H3957" i="8"/>
  <c r="H4305" i="8"/>
  <c r="H4044" i="8"/>
  <c r="H4566" i="8"/>
  <c r="H3870" i="8"/>
  <c r="H4653" i="8"/>
  <c r="H3522" i="8"/>
  <c r="H4479" i="8"/>
  <c r="H4740" i="8"/>
  <c r="H610" i="8"/>
  <c r="H3174" i="8"/>
  <c r="H3696" i="8"/>
  <c r="H2411" i="8"/>
  <c r="H4218" i="8"/>
  <c r="H3783" i="8"/>
  <c r="H3261" i="8"/>
  <c r="H3435" i="8"/>
  <c r="H803" i="8"/>
  <c r="H4392" i="8"/>
  <c r="H3348" i="8"/>
  <c r="H3609" i="8"/>
  <c r="H4828" i="8"/>
  <c r="C2413" i="8"/>
  <c r="C3438" i="8"/>
  <c r="C4134" i="8"/>
  <c r="B4047" i="8"/>
  <c r="B4656" i="8"/>
  <c r="B3612" i="8"/>
  <c r="C793" i="8"/>
  <c r="C1963" i="8"/>
  <c r="C2053" i="8"/>
  <c r="B3699" i="8"/>
  <c r="B4308" i="8"/>
  <c r="B3960" i="8"/>
  <c r="C1693" i="8"/>
  <c r="C1603" i="8"/>
  <c r="B2433" i="8"/>
  <c r="C4482" i="8"/>
  <c r="B4830" i="8"/>
  <c r="B3525" i="8"/>
  <c r="C1243" i="8"/>
  <c r="C4569" i="8"/>
  <c r="C1333" i="8"/>
  <c r="C2323" i="8"/>
  <c r="C973" i="8"/>
  <c r="B741" i="8"/>
  <c r="C3612" i="8"/>
  <c r="C1513" i="8"/>
  <c r="C1873" i="8"/>
  <c r="B3264" i="8"/>
  <c r="B4395" i="8"/>
  <c r="C4830" i="8"/>
  <c r="C1783" i="8"/>
  <c r="B3438" i="8"/>
  <c r="B3786" i="8"/>
  <c r="B4569" i="8"/>
  <c r="B4482" i="8"/>
  <c r="C3960" i="8"/>
  <c r="C1423" i="8"/>
  <c r="C2233" i="8"/>
  <c r="C1063" i="8"/>
  <c r="B3351" i="8"/>
  <c r="B805" i="8"/>
  <c r="C3177" i="8"/>
  <c r="B4134" i="8"/>
  <c r="C2143" i="8"/>
  <c r="B3873" i="8"/>
  <c r="C3873" i="8"/>
  <c r="B4743" i="8"/>
  <c r="C4047" i="8"/>
  <c r="C4308" i="8"/>
  <c r="C3525" i="8"/>
  <c r="C4743" i="8"/>
  <c r="C3351" i="8"/>
  <c r="C3699" i="8"/>
  <c r="C4395" i="8"/>
  <c r="C1153" i="8"/>
  <c r="B677" i="8"/>
  <c r="B613" i="8"/>
  <c r="C703" i="8"/>
  <c r="C613" i="8"/>
  <c r="C3786" i="8"/>
  <c r="B4221" i="8"/>
  <c r="B3177" i="8"/>
  <c r="C4221" i="8"/>
  <c r="C4656" i="8"/>
  <c r="C3264" i="8"/>
  <c r="C883" i="8"/>
  <c r="H4654" i="8" a="1"/>
  <c r="F3350" i="8"/>
  <c r="F4568" i="8"/>
  <c r="H4567" i="8" a="1"/>
  <c r="H3697" i="8" a="1"/>
  <c r="G1422" i="8"/>
  <c r="F3524" i="8"/>
  <c r="F3263" i="8"/>
  <c r="G972" i="8"/>
  <c r="H4132" i="8" a="1"/>
  <c r="G3872" i="8"/>
  <c r="G1962" i="8"/>
  <c r="H3088" i="8" a="1"/>
  <c r="H3871" i="8" a="1"/>
  <c r="F4830" i="8"/>
  <c r="G3785" i="8"/>
  <c r="H676" i="8" a="1"/>
  <c r="G792" i="8"/>
  <c r="H3436" i="8" a="1"/>
  <c r="G4046" i="8"/>
  <c r="H3610" i="8" a="1"/>
  <c r="G3089" i="8"/>
  <c r="G1152" i="8"/>
  <c r="F3872" i="8"/>
  <c r="H611" i="8" a="1"/>
  <c r="H740" i="8" a="1"/>
  <c r="F3176" i="8"/>
  <c r="G2322" i="8"/>
  <c r="G3350" i="8"/>
  <c r="H4829" i="8" a="1"/>
  <c r="G2052" i="8"/>
  <c r="G1782" i="8"/>
  <c r="G2232" i="8"/>
  <c r="H4045" i="8" a="1"/>
  <c r="H4219" i="8" a="1"/>
  <c r="H3523" i="8" a="1"/>
  <c r="G2142" i="8"/>
  <c r="F4220" i="8"/>
  <c r="H4393" i="8" a="1"/>
  <c r="G3611" i="8"/>
  <c r="G702" i="8"/>
  <c r="G3698" i="8"/>
  <c r="F4655" i="8"/>
  <c r="G1692" i="8"/>
  <c r="F3959" i="8"/>
  <c r="G3959" i="8"/>
  <c r="G3437" i="8"/>
  <c r="F3785" i="8"/>
  <c r="F676" i="8"/>
  <c r="G1602" i="8"/>
  <c r="H3784" i="8" a="1"/>
  <c r="G4220" i="8"/>
  <c r="F4394" i="8"/>
  <c r="F3437" i="8"/>
  <c r="H4741" i="8" a="1"/>
  <c r="G2413" i="8"/>
  <c r="G1062" i="8"/>
  <c r="F3698" i="8"/>
  <c r="G3524" i="8"/>
  <c r="H3958" i="8" a="1"/>
  <c r="H804" i="8" a="1"/>
  <c r="G4742" i="8"/>
  <c r="F4307" i="8"/>
  <c r="F4742" i="8"/>
  <c r="H3175" i="8" a="1"/>
  <c r="G1242" i="8"/>
  <c r="H4480" i="8" a="1"/>
  <c r="F3089" i="8"/>
  <c r="F740" i="8"/>
  <c r="G4394" i="8"/>
  <c r="G4133" i="8"/>
  <c r="G3176" i="8"/>
  <c r="G1872" i="8"/>
  <c r="G4307" i="8"/>
  <c r="G882" i="8"/>
  <c r="H3262" i="8" a="1"/>
  <c r="G4568" i="8"/>
  <c r="F804" i="8"/>
  <c r="F4046" i="8"/>
  <c r="H2412" i="8" a="1"/>
  <c r="F2432" i="8"/>
  <c r="H3349" i="8" a="1"/>
  <c r="G4655" i="8"/>
  <c r="G1332" i="8"/>
  <c r="F3611" i="8"/>
  <c r="G3263" i="8"/>
  <c r="F612" i="8"/>
  <c r="F4133" i="8"/>
  <c r="H4306" i="8" a="1"/>
  <c r="G612" i="8"/>
  <c r="G4481" i="8"/>
  <c r="G1512" i="8"/>
  <c r="G4830" i="8"/>
  <c r="F4481" i="8"/>
  <c r="H804" i="8" l="1"/>
  <c r="H740" i="8"/>
  <c r="H3958" i="8"/>
  <c r="H4045" i="8"/>
  <c r="H611" i="8"/>
  <c r="H2412" i="8"/>
  <c r="H3175" i="8"/>
  <c r="H3871" i="8"/>
  <c r="H3697" i="8"/>
  <c r="H4393" i="8"/>
  <c r="H3088" i="8"/>
  <c r="H4567" i="8"/>
  <c r="H4741" i="8"/>
  <c r="H4306" i="8"/>
  <c r="H3262" i="8"/>
  <c r="H4480" i="8"/>
  <c r="H4219" i="8"/>
  <c r="H3349" i="8"/>
  <c r="H3784" i="8"/>
  <c r="H676" i="8"/>
  <c r="H4829" i="8"/>
  <c r="H3610" i="8"/>
  <c r="H3436" i="8"/>
  <c r="H3523" i="8"/>
  <c r="H4132" i="8"/>
  <c r="H4654" i="8"/>
  <c r="B4309" i="8"/>
  <c r="C614" i="8"/>
  <c r="C704" i="8"/>
  <c r="B678" i="8"/>
  <c r="B614" i="8"/>
  <c r="B3439" i="8"/>
  <c r="C2324" i="8"/>
  <c r="C4048" i="8"/>
  <c r="B3526" i="8"/>
  <c r="C2414" i="8"/>
  <c r="B4048" i="8"/>
  <c r="C2054" i="8"/>
  <c r="C3352" i="8"/>
  <c r="C4309" i="8"/>
  <c r="B742" i="8"/>
  <c r="C4483" i="8"/>
  <c r="C3439" i="8"/>
  <c r="C3613" i="8"/>
  <c r="C4135" i="8"/>
  <c r="C3961" i="8"/>
  <c r="B4222" i="8"/>
  <c r="B3874" i="8"/>
  <c r="C1964" i="8"/>
  <c r="B806" i="8"/>
  <c r="C4657" i="8"/>
  <c r="B3613" i="8"/>
  <c r="C4570" i="8"/>
  <c r="C1694" i="8"/>
  <c r="B3787" i="8"/>
  <c r="B3700" i="8"/>
  <c r="B4135" i="8"/>
  <c r="C3526" i="8"/>
  <c r="C3874" i="8"/>
  <c r="C794" i="8"/>
  <c r="C1244" i="8"/>
  <c r="C2234" i="8"/>
  <c r="C3265" i="8"/>
  <c r="C1154" i="8"/>
  <c r="C1514" i="8"/>
  <c r="B4570" i="8"/>
  <c r="C1874" i="8"/>
  <c r="B4483" i="8"/>
  <c r="C3700" i="8"/>
  <c r="C1064" i="8"/>
  <c r="C1424" i="8"/>
  <c r="B2434" i="8"/>
  <c r="C1784" i="8"/>
  <c r="C884" i="8"/>
  <c r="C4222" i="8"/>
  <c r="C974" i="8"/>
  <c r="C4744" i="8"/>
  <c r="B3265" i="8"/>
  <c r="C3787" i="8"/>
  <c r="C4831" i="8"/>
  <c r="C4396" i="8"/>
  <c r="B4831" i="8"/>
  <c r="B3961" i="8"/>
  <c r="B4657" i="8"/>
  <c r="B3352" i="8"/>
  <c r="C1604" i="8"/>
  <c r="C1334" i="8"/>
  <c r="B4396" i="8"/>
  <c r="C2144" i="8"/>
  <c r="B4744" i="8"/>
  <c r="G4047" i="8"/>
  <c r="G3960" i="8"/>
  <c r="F3177" i="8"/>
  <c r="G4395" i="8"/>
  <c r="G3264" i="8"/>
  <c r="G4308" i="8"/>
  <c r="H4046" i="8" a="1"/>
  <c r="H3524" i="8" a="1"/>
  <c r="G2414" i="8"/>
  <c r="H3872" i="8" a="1"/>
  <c r="G973" i="8"/>
  <c r="H4742" i="8" a="1"/>
  <c r="G613" i="8"/>
  <c r="F4221" i="8"/>
  <c r="F3525" i="8"/>
  <c r="G1873" i="8"/>
  <c r="G1963" i="8"/>
  <c r="F4743" i="8"/>
  <c r="H741" i="8" a="1"/>
  <c r="F3960" i="8"/>
  <c r="G1063" i="8"/>
  <c r="G3873" i="8"/>
  <c r="G1513" i="8"/>
  <c r="G1603" i="8"/>
  <c r="F3612" i="8"/>
  <c r="F677" i="8"/>
  <c r="H4830" i="8" a="1"/>
  <c r="H3611" i="8" a="1"/>
  <c r="F4134" i="8"/>
  <c r="G2323" i="8"/>
  <c r="G4743" i="8"/>
  <c r="G3525" i="8"/>
  <c r="G3438" i="8"/>
  <c r="G793" i="8"/>
  <c r="H3176" i="8" a="1"/>
  <c r="G883" i="8"/>
  <c r="G4482" i="8"/>
  <c r="F4656" i="8"/>
  <c r="G1783" i="8"/>
  <c r="G703" i="8"/>
  <c r="H3437" i="8" a="1"/>
  <c r="F4482" i="8"/>
  <c r="G2143" i="8"/>
  <c r="H4481" i="8" a="1"/>
  <c r="G3699" i="8"/>
  <c r="H4394" i="8" a="1"/>
  <c r="F4831" i="8"/>
  <c r="F4047" i="8"/>
  <c r="H3785" i="8" a="1"/>
  <c r="G2053" i="8"/>
  <c r="H805" i="8" a="1"/>
  <c r="G1423" i="8"/>
  <c r="F3699" i="8"/>
  <c r="G1333" i="8"/>
  <c r="F2433" i="8"/>
  <c r="G4569" i="8"/>
  <c r="F4308" i="8"/>
  <c r="F805" i="8"/>
  <c r="F3873" i="8"/>
  <c r="G2233" i="8"/>
  <c r="H3698" i="8" a="1"/>
  <c r="H3959" i="8" a="1"/>
  <c r="G1153" i="8"/>
  <c r="H612" i="8" a="1"/>
  <c r="G3351" i="8"/>
  <c r="F3351" i="8"/>
  <c r="H4220" i="8" a="1"/>
  <c r="F4395" i="8"/>
  <c r="H4568" i="8" a="1"/>
  <c r="H3089" i="8" a="1"/>
  <c r="G1693" i="8"/>
  <c r="G4134" i="8"/>
  <c r="F4569" i="8"/>
  <c r="H4655" i="8" a="1"/>
  <c r="H4133" i="8" a="1"/>
  <c r="G3786" i="8"/>
  <c r="H3350" i="8" a="1"/>
  <c r="H3263" i="8" a="1"/>
  <c r="G3177" i="8"/>
  <c r="G1243" i="8"/>
  <c r="H677" i="8" a="1"/>
  <c r="H2413" i="8" a="1"/>
  <c r="F2434" i="8"/>
  <c r="F613" i="8"/>
  <c r="F3438" i="8"/>
  <c r="G4656" i="8"/>
  <c r="G4831" i="8"/>
  <c r="F741" i="8"/>
  <c r="F3786" i="8"/>
  <c r="F3264" i="8"/>
  <c r="G4221" i="8"/>
  <c r="G3612" i="8"/>
  <c r="H4307" i="8" a="1"/>
  <c r="H805" i="8" l="1"/>
  <c r="H741" i="8"/>
  <c r="H3089" i="8"/>
  <c r="H3611" i="8"/>
  <c r="H4481" i="8"/>
  <c r="H3263" i="8"/>
  <c r="H4742" i="8"/>
  <c r="H4568" i="8"/>
  <c r="H3524" i="8"/>
  <c r="H612" i="8"/>
  <c r="H3350" i="8"/>
  <c r="H3785" i="8"/>
  <c r="H4307" i="8"/>
  <c r="H2413" i="8"/>
  <c r="H3872" i="8"/>
  <c r="H4220" i="8"/>
  <c r="H4830" i="8"/>
  <c r="H3959" i="8"/>
  <c r="H4133" i="8"/>
  <c r="H677" i="8"/>
  <c r="H4046" i="8"/>
  <c r="H3698" i="8"/>
  <c r="H4655" i="8"/>
  <c r="H4394" i="8"/>
  <c r="H3437" i="8"/>
  <c r="H3176" i="8"/>
  <c r="C2235" i="8"/>
  <c r="C1425" i="8"/>
  <c r="C1965" i="8"/>
  <c r="C1785" i="8"/>
  <c r="C2055" i="8"/>
  <c r="B4310" i="8"/>
  <c r="C4223" i="8"/>
  <c r="C3527" i="8"/>
  <c r="C2415" i="8"/>
  <c r="B679" i="8"/>
  <c r="B3440" i="8"/>
  <c r="B4049" i="8"/>
  <c r="C4484" i="8"/>
  <c r="C3875" i="8"/>
  <c r="C4832" i="8"/>
  <c r="C4310" i="8"/>
  <c r="C1875" i="8"/>
  <c r="C1515" i="8"/>
  <c r="C3788" i="8"/>
  <c r="C1605" i="8"/>
  <c r="C2325" i="8"/>
  <c r="C885" i="8"/>
  <c r="C3614" i="8"/>
  <c r="B3788" i="8"/>
  <c r="B3701" i="8"/>
  <c r="C4049" i="8"/>
  <c r="B807" i="8"/>
  <c r="C3440" i="8"/>
  <c r="B4136" i="8"/>
  <c r="B3614" i="8"/>
  <c r="C705" i="8"/>
  <c r="C1065" i="8"/>
  <c r="C1245" i="8"/>
  <c r="C3353" i="8"/>
  <c r="B3962" i="8"/>
  <c r="C3701" i="8"/>
  <c r="C4571" i="8"/>
  <c r="B3527" i="8"/>
  <c r="B743" i="8"/>
  <c r="B4832" i="8"/>
  <c r="B4484" i="8"/>
  <c r="C1695" i="8"/>
  <c r="B4745" i="8"/>
  <c r="B3353" i="8"/>
  <c r="C975" i="8"/>
  <c r="C1155" i="8"/>
  <c r="B4571" i="8"/>
  <c r="B4658" i="8"/>
  <c r="C1335" i="8"/>
  <c r="C3962" i="8"/>
  <c r="B4223" i="8"/>
  <c r="B3875" i="8"/>
  <c r="C4658" i="8"/>
  <c r="C4745" i="8"/>
  <c r="C4397" i="8"/>
  <c r="C2145" i="8"/>
  <c r="C4136" i="8"/>
  <c r="C795" i="8"/>
  <c r="B4397" i="8"/>
  <c r="G884" i="8"/>
  <c r="H806" i="8" a="1"/>
  <c r="F4222" i="8"/>
  <c r="H3438" i="8" a="1"/>
  <c r="G3526" i="8"/>
  <c r="G4483" i="8"/>
  <c r="G4657" i="8"/>
  <c r="G1784" i="8"/>
  <c r="F742" i="8"/>
  <c r="H742" i="8" a="1"/>
  <c r="H3786" i="8" a="1"/>
  <c r="F3787" i="8"/>
  <c r="F4309" i="8"/>
  <c r="F4396" i="8"/>
  <c r="F806" i="8"/>
  <c r="F4048" i="8"/>
  <c r="H4221" i="8" a="1"/>
  <c r="G2054" i="8"/>
  <c r="F678" i="8"/>
  <c r="G1964" i="8"/>
  <c r="H3351" i="8" a="1"/>
  <c r="G4309" i="8"/>
  <c r="F3874" i="8"/>
  <c r="F3352" i="8"/>
  <c r="G974" i="8"/>
  <c r="H4134" i="8" a="1"/>
  <c r="F3526" i="8"/>
  <c r="G3265" i="8"/>
  <c r="H4831" i="8" a="1"/>
  <c r="H3699" i="8" a="1"/>
  <c r="G1604" i="8"/>
  <c r="G3787" i="8"/>
  <c r="G2144" i="8"/>
  <c r="F4657" i="8"/>
  <c r="G1154" i="8"/>
  <c r="F3961" i="8"/>
  <c r="H4308" i="8" a="1"/>
  <c r="G1244" i="8"/>
  <c r="G3613" i="8"/>
  <c r="G3439" i="8"/>
  <c r="H3525" i="8" a="1"/>
  <c r="G614" i="8"/>
  <c r="H4395" i="8" a="1"/>
  <c r="G4570" i="8"/>
  <c r="F4832" i="8"/>
  <c r="F614" i="8"/>
  <c r="H4482" i="8" a="1"/>
  <c r="F3439" i="8"/>
  <c r="H678" i="8" a="1"/>
  <c r="F3265" i="8"/>
  <c r="G2234" i="8"/>
  <c r="F4570" i="8"/>
  <c r="G4135" i="8"/>
  <c r="H3177" i="8" a="1"/>
  <c r="H4656" i="8" a="1"/>
  <c r="G1694" i="8"/>
  <c r="F4744" i="8"/>
  <c r="H4569" i="8" a="1"/>
  <c r="G2415" i="8"/>
  <c r="H4047" i="8" a="1"/>
  <c r="G704" i="8"/>
  <c r="G3961" i="8"/>
  <c r="G3700" i="8"/>
  <c r="G4048" i="8"/>
  <c r="G4744" i="8"/>
  <c r="F3700" i="8"/>
  <c r="H2414" i="8" a="1"/>
  <c r="H3264" i="8" a="1"/>
  <c r="G1064" i="8"/>
  <c r="G4222" i="8"/>
  <c r="F3613" i="8"/>
  <c r="H613" i="8" a="1"/>
  <c r="G1874" i="8"/>
  <c r="H3873" i="8" a="1"/>
  <c r="G3874" i="8"/>
  <c r="G1424" i="8"/>
  <c r="G2324" i="8"/>
  <c r="F4135" i="8"/>
  <c r="G1514" i="8"/>
  <c r="G4832" i="8"/>
  <c r="G794" i="8"/>
  <c r="H4743" i="8" a="1"/>
  <c r="H3960" i="8" a="1"/>
  <c r="G1334" i="8"/>
  <c r="F4483" i="8"/>
  <c r="G4396" i="8"/>
  <c r="H3612" i="8" a="1"/>
  <c r="G3352" i="8"/>
  <c r="H3177" i="8" l="1"/>
  <c r="H4482" i="8"/>
  <c r="H3525" i="8"/>
  <c r="H3438" i="8"/>
  <c r="H4134" i="8"/>
  <c r="H3351" i="8"/>
  <c r="H4221" i="8"/>
  <c r="H3786" i="8"/>
  <c r="H4743" i="8"/>
  <c r="H613" i="8"/>
  <c r="H3612" i="8"/>
  <c r="H4656" i="8"/>
  <c r="H806" i="8"/>
  <c r="H742" i="8"/>
  <c r="H4047" i="8"/>
  <c r="H3960" i="8"/>
  <c r="H3873" i="8"/>
  <c r="H3264" i="8"/>
  <c r="H3699" i="8"/>
  <c r="H678" i="8"/>
  <c r="H2414" i="8"/>
  <c r="H4831" i="8"/>
  <c r="H4569" i="8"/>
  <c r="H4395" i="8"/>
  <c r="H4308" i="8"/>
  <c r="C3789" i="8"/>
  <c r="C796" i="8"/>
  <c r="B4224" i="8"/>
  <c r="B4485" i="8"/>
  <c r="C4224" i="8"/>
  <c r="C4485" i="8"/>
  <c r="C4746" i="8"/>
  <c r="B4311" i="8"/>
  <c r="C1426" i="8"/>
  <c r="B4659" i="8"/>
  <c r="C1066" i="8"/>
  <c r="B4833" i="8"/>
  <c r="B4572" i="8"/>
  <c r="C1156" i="8"/>
  <c r="C3528" i="8"/>
  <c r="C3702" i="8"/>
  <c r="C2416" i="8"/>
  <c r="C1966" i="8"/>
  <c r="C4572" i="8"/>
  <c r="B3528" i="8"/>
  <c r="C2146" i="8"/>
  <c r="C2056" i="8"/>
  <c r="B4050" i="8"/>
  <c r="B3702" i="8"/>
  <c r="C976" i="8"/>
  <c r="C1696" i="8"/>
  <c r="C1876" i="8"/>
  <c r="C1516" i="8"/>
  <c r="B808" i="8"/>
  <c r="C4659" i="8"/>
  <c r="C3441" i="8"/>
  <c r="C886" i="8"/>
  <c r="C2236" i="8"/>
  <c r="C4833" i="8"/>
  <c r="B3963" i="8"/>
  <c r="C4050" i="8"/>
  <c r="B4746" i="8"/>
  <c r="C1246" i="8"/>
  <c r="B3441" i="8"/>
  <c r="C1786" i="8"/>
  <c r="B3615" i="8"/>
  <c r="C1336" i="8"/>
  <c r="C4137" i="8"/>
  <c r="B3876" i="8"/>
  <c r="C1606" i="8"/>
  <c r="C4398" i="8"/>
  <c r="C3963" i="8"/>
  <c r="B4137" i="8"/>
  <c r="B744" i="8"/>
  <c r="B680" i="8"/>
  <c r="C3615" i="8"/>
  <c r="B4398" i="8"/>
  <c r="B3789" i="8"/>
  <c r="C3876" i="8"/>
  <c r="C4311" i="8"/>
  <c r="C2326" i="8"/>
  <c r="F3962" i="8"/>
  <c r="F3875" i="8"/>
  <c r="F4136" i="8"/>
  <c r="H3439" i="8" a="1"/>
  <c r="G2235" i="8"/>
  <c r="G1065" i="8"/>
  <c r="G1605" i="8"/>
  <c r="H4396" i="8" a="1"/>
  <c r="H4222" i="8" a="1"/>
  <c r="G1515" i="8"/>
  <c r="G1965" i="8"/>
  <c r="G885" i="8"/>
  <c r="F4484" i="8"/>
  <c r="G705" i="8"/>
  <c r="H3874" i="8" a="1"/>
  <c r="G3875" i="8"/>
  <c r="F3614" i="8"/>
  <c r="G2416" i="8"/>
  <c r="H4657" i="8" a="1"/>
  <c r="H3265" i="8" a="1"/>
  <c r="G975" i="8"/>
  <c r="G4833" i="8"/>
  <c r="F4397" i="8"/>
  <c r="G1695" i="8"/>
  <c r="G4310" i="8"/>
  <c r="G3701" i="8"/>
  <c r="G1785" i="8"/>
  <c r="G4136" i="8"/>
  <c r="H4832" i="8" a="1"/>
  <c r="H4744" i="8" a="1"/>
  <c r="F3788" i="8"/>
  <c r="H3352" i="8" a="1"/>
  <c r="H4483" i="8" a="1"/>
  <c r="G4049" i="8"/>
  <c r="F3440" i="8"/>
  <c r="F4833" i="8"/>
  <c r="H614" i="8" a="1"/>
  <c r="H3613" i="8" a="1"/>
  <c r="H3961" i="8" a="1"/>
  <c r="F4223" i="8"/>
  <c r="G1335" i="8"/>
  <c r="G1155" i="8"/>
  <c r="G795" i="8"/>
  <c r="G2055" i="8"/>
  <c r="F4571" i="8"/>
  <c r="F4745" i="8"/>
  <c r="F679" i="8"/>
  <c r="G1245" i="8"/>
  <c r="F4049" i="8"/>
  <c r="H4048" i="8" a="1"/>
  <c r="G3527" i="8"/>
  <c r="F3353" i="8"/>
  <c r="G3353" i="8"/>
  <c r="G4397" i="8"/>
  <c r="H2415" i="8" a="1"/>
  <c r="G4223" i="8"/>
  <c r="G1425" i="8"/>
  <c r="G4745" i="8"/>
  <c r="G3962" i="8"/>
  <c r="F3527" i="8"/>
  <c r="G3788" i="8"/>
  <c r="G2325" i="8"/>
  <c r="G1875" i="8"/>
  <c r="H3787" i="8" a="1"/>
  <c r="H3526" i="8" a="1"/>
  <c r="G3440" i="8"/>
  <c r="F3701" i="8"/>
  <c r="G4484" i="8"/>
  <c r="H743" i="8" a="1"/>
  <c r="H4570" i="8" a="1"/>
  <c r="H3700" i="8" a="1"/>
  <c r="F4310" i="8"/>
  <c r="H4309" i="8" a="1"/>
  <c r="G4571" i="8"/>
  <c r="H807" i="8" a="1"/>
  <c r="G3614" i="8"/>
  <c r="H4135" i="8" a="1"/>
  <c r="H679" i="8" a="1"/>
  <c r="F4658" i="8"/>
  <c r="F807" i="8"/>
  <c r="G2145" i="8"/>
  <c r="G4658" i="8"/>
  <c r="F743" i="8"/>
  <c r="H679" i="8" l="1"/>
  <c r="H4744" i="8"/>
  <c r="H614" i="8"/>
  <c r="H3439" i="8"/>
  <c r="H3961" i="8"/>
  <c r="H3700" i="8"/>
  <c r="H3526" i="8"/>
  <c r="H4570" i="8"/>
  <c r="H3787" i="8"/>
  <c r="H4135" i="8"/>
  <c r="H3265" i="8"/>
  <c r="H743" i="8"/>
  <c r="H2415" i="8"/>
  <c r="H3613" i="8"/>
  <c r="H3874" i="8"/>
  <c r="H4222" i="8"/>
  <c r="H4483" i="8"/>
  <c r="H4309" i="8"/>
  <c r="H807" i="8"/>
  <c r="H4396" i="8"/>
  <c r="H3352" i="8"/>
  <c r="H4657" i="8"/>
  <c r="H4832" i="8"/>
  <c r="H4048" i="8"/>
  <c r="B4486" i="8"/>
  <c r="C3703" i="8"/>
  <c r="B809" i="8"/>
  <c r="C1697" i="8"/>
  <c r="C4225" i="8"/>
  <c r="B3529" i="8"/>
  <c r="B4834" i="8"/>
  <c r="B4051" i="8"/>
  <c r="B4225" i="8"/>
  <c r="C1877" i="8"/>
  <c r="C1337" i="8"/>
  <c r="C977" i="8"/>
  <c r="C1967" i="8"/>
  <c r="C1067" i="8"/>
  <c r="B4138" i="8"/>
  <c r="C2237" i="8"/>
  <c r="C4660" i="8"/>
  <c r="C1247" i="8"/>
  <c r="B4399" i="8"/>
  <c r="C4573" i="8"/>
  <c r="B4573" i="8"/>
  <c r="C887" i="8"/>
  <c r="C3964" i="8"/>
  <c r="B3964" i="8"/>
  <c r="C4747" i="8"/>
  <c r="C2057" i="8"/>
  <c r="C3790" i="8"/>
  <c r="C3616" i="8"/>
  <c r="C1157" i="8"/>
  <c r="C1517" i="8"/>
  <c r="C2417" i="8"/>
  <c r="C4486" i="8"/>
  <c r="C1427" i="8"/>
  <c r="C4138" i="8"/>
  <c r="B3877" i="8"/>
  <c r="B745" i="8"/>
  <c r="B681" i="8"/>
  <c r="C2327" i="8"/>
  <c r="C1607" i="8"/>
  <c r="C1787" i="8"/>
  <c r="B3790" i="8"/>
  <c r="C2147" i="8"/>
  <c r="B3616" i="8"/>
  <c r="B4660" i="8"/>
  <c r="C4834" i="8"/>
  <c r="C4312" i="8"/>
  <c r="B4312" i="8"/>
  <c r="C3877" i="8"/>
  <c r="C4399" i="8"/>
  <c r="C4051" i="8"/>
  <c r="B3703" i="8"/>
  <c r="C3529" i="8"/>
  <c r="B4747" i="8"/>
  <c r="H4833" i="8" a="1"/>
  <c r="G4746" i="8"/>
  <c r="G1516" i="8"/>
  <c r="F808" i="8"/>
  <c r="G3528" i="8"/>
  <c r="F4050" i="8"/>
  <c r="H4310" i="8" a="1"/>
  <c r="G3615" i="8"/>
  <c r="G4311" i="8"/>
  <c r="F3528" i="8"/>
  <c r="F3876" i="8"/>
  <c r="G1786" i="8"/>
  <c r="G2236" i="8"/>
  <c r="G3963" i="8"/>
  <c r="H680" i="8" a="1"/>
  <c r="G2326" i="8"/>
  <c r="F4137" i="8"/>
  <c r="F3789" i="8"/>
  <c r="G1606" i="8"/>
  <c r="F4224" i="8"/>
  <c r="H3353" i="8" a="1"/>
  <c r="G2417" i="8"/>
  <c r="H3875" i="8" a="1"/>
  <c r="G886" i="8"/>
  <c r="H4658" i="8" a="1"/>
  <c r="H4745" i="8" a="1"/>
  <c r="G2056" i="8"/>
  <c r="F4746" i="8"/>
  <c r="F3615" i="8"/>
  <c r="H744" i="8" a="1"/>
  <c r="G4572" i="8"/>
  <c r="H4223" i="8" a="1"/>
  <c r="H4136" i="8" a="1"/>
  <c r="F4572" i="8"/>
  <c r="G3876" i="8"/>
  <c r="H3788" i="8" a="1"/>
  <c r="H3527" i="8" a="1"/>
  <c r="G976" i="8"/>
  <c r="F680" i="8"/>
  <c r="F3441" i="8"/>
  <c r="H3440" i="8" a="1"/>
  <c r="G796" i="8"/>
  <c r="H2416" i="8" a="1"/>
  <c r="G1246" i="8"/>
  <c r="G2146" i="8"/>
  <c r="G4834" i="8"/>
  <c r="F3963" i="8"/>
  <c r="H4484" i="8" a="1"/>
  <c r="G3441" i="8"/>
  <c r="H3614" i="8" a="1"/>
  <c r="G4137" i="8"/>
  <c r="G1066" i="8"/>
  <c r="H4049" i="8" a="1"/>
  <c r="G1156" i="8"/>
  <c r="G1426" i="8"/>
  <c r="G3702" i="8"/>
  <c r="F4485" i="8"/>
  <c r="F744" i="8"/>
  <c r="G3789" i="8"/>
  <c r="F3702" i="8"/>
  <c r="G1696" i="8"/>
  <c r="G4224" i="8"/>
  <c r="G1336" i="8"/>
  <c r="G4659" i="8"/>
  <c r="F4834" i="8"/>
  <c r="G1966" i="8"/>
  <c r="F4398" i="8"/>
  <c r="G4485" i="8"/>
  <c r="F4311" i="8"/>
  <c r="G1876" i="8"/>
  <c r="H4397" i="8" a="1"/>
  <c r="G4398" i="8"/>
  <c r="H3962" i="8" a="1"/>
  <c r="F4659" i="8"/>
  <c r="H4571" i="8" a="1"/>
  <c r="G4050" i="8"/>
  <c r="H3701" i="8" a="1"/>
  <c r="H808" i="8" a="1"/>
  <c r="H808" i="8" l="1"/>
  <c r="H4397" i="8"/>
  <c r="H4484" i="8"/>
  <c r="H3440" i="8"/>
  <c r="H3353" i="8"/>
  <c r="H3527" i="8"/>
  <c r="H4136" i="8"/>
  <c r="H4745" i="8"/>
  <c r="H3614" i="8"/>
  <c r="H4049" i="8"/>
  <c r="H4223" i="8"/>
  <c r="H4658" i="8"/>
  <c r="H3962" i="8"/>
  <c r="H3788" i="8"/>
  <c r="H680" i="8"/>
  <c r="H4833" i="8"/>
  <c r="H2416" i="8"/>
  <c r="H744" i="8"/>
  <c r="H3875" i="8"/>
  <c r="H3701" i="8"/>
  <c r="H4571" i="8"/>
  <c r="H4310" i="8"/>
  <c r="C2418" i="8"/>
  <c r="C4226" i="8"/>
  <c r="C3617" i="8"/>
  <c r="C4139" i="8"/>
  <c r="C3965" i="8"/>
  <c r="C4400" i="8"/>
  <c r="C1878" i="8"/>
  <c r="B810" i="8"/>
  <c r="C4574" i="8"/>
  <c r="C1608" i="8"/>
  <c r="C3704" i="8"/>
  <c r="C2148" i="8"/>
  <c r="C978" i="8"/>
  <c r="C4661" i="8"/>
  <c r="C1338" i="8"/>
  <c r="C2328" i="8"/>
  <c r="C1158" i="8"/>
  <c r="C4313" i="8"/>
  <c r="C1248" i="8"/>
  <c r="C1068" i="8"/>
  <c r="C1968" i="8"/>
  <c r="C1788" i="8"/>
  <c r="B4574" i="8"/>
  <c r="C4748" i="8"/>
  <c r="B4835" i="8"/>
  <c r="B3791" i="8"/>
  <c r="C4487" i="8"/>
  <c r="B4400" i="8"/>
  <c r="B3704" i="8"/>
  <c r="B3878" i="8"/>
  <c r="C1698" i="8"/>
  <c r="B3965" i="8"/>
  <c r="C1518" i="8"/>
  <c r="C3878" i="8"/>
  <c r="C4835" i="8"/>
  <c r="C4052" i="8"/>
  <c r="B4661" i="8"/>
  <c r="B4487" i="8"/>
  <c r="B4226" i="8"/>
  <c r="C2058" i="8"/>
  <c r="B4139" i="8"/>
  <c r="B3617" i="8"/>
  <c r="B4748" i="8"/>
  <c r="C2238" i="8"/>
  <c r="B746" i="8"/>
  <c r="B682" i="8"/>
  <c r="B4052" i="8"/>
  <c r="C1428" i="8"/>
  <c r="B4313" i="8"/>
  <c r="C3791" i="8"/>
  <c r="H3441" i="8" a="1"/>
  <c r="H4311" i="8" a="1"/>
  <c r="G4399" i="8"/>
  <c r="F4747" i="8"/>
  <c r="G1157" i="8"/>
  <c r="F4051" i="8"/>
  <c r="F4225" i="8"/>
  <c r="G3790" i="8"/>
  <c r="G2237" i="8"/>
  <c r="G2418" i="8"/>
  <c r="G1247" i="8"/>
  <c r="F4486" i="8"/>
  <c r="H2417" i="8" a="1"/>
  <c r="H3963" i="8" a="1"/>
  <c r="F4573" i="8"/>
  <c r="F3529" i="8"/>
  <c r="G4138" i="8"/>
  <c r="G4051" i="8"/>
  <c r="H4746" i="8" a="1"/>
  <c r="H4398" i="8" a="1"/>
  <c r="G3964" i="8"/>
  <c r="G2057" i="8"/>
  <c r="G4486" i="8"/>
  <c r="F4660" i="8"/>
  <c r="F4138" i="8"/>
  <c r="G1517" i="8"/>
  <c r="F681" i="8"/>
  <c r="G1787" i="8"/>
  <c r="G1877" i="8"/>
  <c r="F745" i="8"/>
  <c r="H4572" i="8" a="1"/>
  <c r="G2327" i="8"/>
  <c r="G2147" i="8"/>
  <c r="H4485" i="8" a="1"/>
  <c r="F3877" i="8"/>
  <c r="H4050" i="8" a="1"/>
  <c r="F3790" i="8"/>
  <c r="G4573" i="8"/>
  <c r="H4224" i="8" a="1"/>
  <c r="G887" i="8"/>
  <c r="G4747" i="8"/>
  <c r="G1607" i="8"/>
  <c r="H3528" i="8" a="1"/>
  <c r="H3702" i="8" a="1"/>
  <c r="G1427" i="8"/>
  <c r="F3616" i="8"/>
  <c r="G1967" i="8"/>
  <c r="F809" i="8"/>
  <c r="F4399" i="8"/>
  <c r="F4835" i="8"/>
  <c r="G3877" i="8"/>
  <c r="G1067" i="8"/>
  <c r="H4137" i="8" a="1"/>
  <c r="G1337" i="8"/>
  <c r="G4835" i="8"/>
  <c r="H745" i="8" a="1"/>
  <c r="F3703" i="8"/>
  <c r="H809" i="8" a="1"/>
  <c r="H3615" i="8" a="1"/>
  <c r="G3616" i="8"/>
  <c r="G4312" i="8"/>
  <c r="H3876" i="8" a="1"/>
  <c r="H4834" i="8" a="1"/>
  <c r="H4659" i="8" a="1"/>
  <c r="H681" i="8" a="1"/>
  <c r="H3789" i="8" a="1"/>
  <c r="G4225" i="8"/>
  <c r="G977" i="8"/>
  <c r="G3703" i="8"/>
  <c r="G4660" i="8"/>
  <c r="G1697" i="8"/>
  <c r="F3964" i="8"/>
  <c r="F4312" i="8"/>
  <c r="G3529" i="8"/>
  <c r="H681" i="8" l="1"/>
  <c r="H809" i="8"/>
  <c r="H4834" i="8"/>
  <c r="H4398" i="8"/>
  <c r="H745" i="8"/>
  <c r="H4224" i="8"/>
  <c r="H3615" i="8"/>
  <c r="H4572" i="8"/>
  <c r="H3876" i="8"/>
  <c r="H4746" i="8"/>
  <c r="H4050" i="8"/>
  <c r="H4485" i="8"/>
  <c r="H3963" i="8"/>
  <c r="H3702" i="8"/>
  <c r="H4311" i="8"/>
  <c r="H4659" i="8"/>
  <c r="H3789" i="8"/>
  <c r="H4137" i="8"/>
  <c r="H2417" i="8"/>
  <c r="H3528" i="8"/>
  <c r="H3441" i="8"/>
  <c r="C1789" i="8"/>
  <c r="B3879" i="8"/>
  <c r="C1249" i="8"/>
  <c r="C1069" i="8"/>
  <c r="C1519" i="8"/>
  <c r="C2329" i="8"/>
  <c r="B3705" i="8"/>
  <c r="C2149" i="8"/>
  <c r="B4575" i="8"/>
  <c r="C4140" i="8"/>
  <c r="C3966" i="8"/>
  <c r="B4053" i="8"/>
  <c r="B3966" i="8"/>
  <c r="B4488" i="8"/>
  <c r="C4836" i="8"/>
  <c r="C2059" i="8"/>
  <c r="C1339" i="8"/>
  <c r="C3792" i="8"/>
  <c r="C4662" i="8"/>
  <c r="C1969" i="8"/>
  <c r="C4053" i="8"/>
  <c r="C2419" i="8"/>
  <c r="C4749" i="8"/>
  <c r="C2239" i="8"/>
  <c r="C3705" i="8"/>
  <c r="B747" i="8"/>
  <c r="B683" i="8"/>
  <c r="B4314" i="8"/>
  <c r="B4401" i="8"/>
  <c r="B4140" i="8"/>
  <c r="B811" i="8"/>
  <c r="B4836" i="8"/>
  <c r="B4227" i="8"/>
  <c r="B4749" i="8"/>
  <c r="C1609" i="8"/>
  <c r="B3792" i="8"/>
  <c r="C4575" i="8"/>
  <c r="B4662" i="8"/>
  <c r="C1879" i="8"/>
  <c r="C1159" i="8"/>
  <c r="C4401" i="8"/>
  <c r="C1699" i="8"/>
  <c r="C4314" i="8"/>
  <c r="C3879" i="8"/>
  <c r="C1429" i="8"/>
  <c r="C4488" i="8"/>
  <c r="C4227" i="8"/>
  <c r="H4747" i="8" a="1"/>
  <c r="F4313" i="8"/>
  <c r="G4226" i="8"/>
  <c r="F4052" i="8"/>
  <c r="F4574" i="8"/>
  <c r="G3878" i="8"/>
  <c r="G4139" i="8"/>
  <c r="G1428" i="8"/>
  <c r="H3616" i="8" a="1"/>
  <c r="H3790" i="8" a="1"/>
  <c r="H4225" i="8" a="1"/>
  <c r="H746" i="8" a="1"/>
  <c r="F4487" i="8"/>
  <c r="G978" i="8"/>
  <c r="H4138" i="8" a="1"/>
  <c r="H4573" i="8" a="1"/>
  <c r="F3965" i="8"/>
  <c r="F3617" i="8"/>
  <c r="H4835" i="8" a="1"/>
  <c r="H4312" i="8" a="1"/>
  <c r="H4051" i="8" a="1"/>
  <c r="H4486" i="8" a="1"/>
  <c r="H810" i="8" a="1"/>
  <c r="F4400" i="8"/>
  <c r="G4836" i="8"/>
  <c r="G4748" i="8"/>
  <c r="G2328" i="8"/>
  <c r="G2058" i="8"/>
  <c r="G1158" i="8"/>
  <c r="F4226" i="8"/>
  <c r="G1248" i="8"/>
  <c r="G2148" i="8"/>
  <c r="H4660" i="8" a="1"/>
  <c r="F3878" i="8"/>
  <c r="G1878" i="8"/>
  <c r="G2238" i="8"/>
  <c r="G1698" i="8"/>
  <c r="F4748" i="8"/>
  <c r="G4313" i="8"/>
  <c r="G3791" i="8"/>
  <c r="G4661" i="8"/>
  <c r="G4487" i="8"/>
  <c r="G3704" i="8"/>
  <c r="G1068" i="8"/>
  <c r="F3704" i="8"/>
  <c r="G3617" i="8"/>
  <c r="G1788" i="8"/>
  <c r="G2419" i="8"/>
  <c r="F4661" i="8"/>
  <c r="H3877" i="8" a="1"/>
  <c r="G3965" i="8"/>
  <c r="F4139" i="8"/>
  <c r="G1968" i="8"/>
  <c r="F682" i="8"/>
  <c r="G1518" i="8"/>
  <c r="F3791" i="8"/>
  <c r="H3964" i="8" a="1"/>
  <c r="F746" i="8"/>
  <c r="G4400" i="8"/>
  <c r="F4836" i="8"/>
  <c r="H682" i="8" a="1"/>
  <c r="H3703" i="8" a="1"/>
  <c r="G1338" i="8"/>
  <c r="H2418" i="8" a="1"/>
  <c r="F810" i="8"/>
  <c r="G1608" i="8"/>
  <c r="H4399" i="8" a="1"/>
  <c r="H3529" i="8" a="1"/>
  <c r="G4052" i="8"/>
  <c r="G4574" i="8"/>
  <c r="H810" i="8" l="1"/>
  <c r="H4660" i="8"/>
  <c r="H4573" i="8"/>
  <c r="H4225" i="8"/>
  <c r="H4486" i="8"/>
  <c r="H4138" i="8"/>
  <c r="H3790" i="8"/>
  <c r="H4051" i="8"/>
  <c r="H4399" i="8"/>
  <c r="H2418" i="8"/>
  <c r="H746" i="8"/>
  <c r="H3616" i="8"/>
  <c r="H4312" i="8"/>
  <c r="H3877" i="8"/>
  <c r="H682" i="8"/>
  <c r="H4835" i="8"/>
  <c r="H3529" i="8"/>
  <c r="H3703" i="8"/>
  <c r="H3964" i="8"/>
  <c r="H4747" i="8"/>
  <c r="C1520" i="8"/>
  <c r="C4576" i="8"/>
  <c r="C4402" i="8"/>
  <c r="B4315" i="8"/>
  <c r="C4315" i="8"/>
  <c r="B4489" i="8"/>
  <c r="C3793" i="8"/>
  <c r="C4837" i="8"/>
  <c r="C4141" i="8"/>
  <c r="C4750" i="8"/>
  <c r="C1430" i="8"/>
  <c r="B4054" i="8"/>
  <c r="C4054" i="8"/>
  <c r="B4663" i="8"/>
  <c r="C1610" i="8"/>
  <c r="C3967" i="8"/>
  <c r="C1790" i="8"/>
  <c r="C1250" i="8"/>
  <c r="B4750" i="8"/>
  <c r="B3880" i="8"/>
  <c r="B4837" i="8"/>
  <c r="B748" i="8"/>
  <c r="B684" i="8"/>
  <c r="C2330" i="8"/>
  <c r="C2060" i="8"/>
  <c r="B4576" i="8"/>
  <c r="C1160" i="8"/>
  <c r="C1700" i="8"/>
  <c r="B4228" i="8"/>
  <c r="B4402" i="8"/>
  <c r="B812" i="8"/>
  <c r="C3880" i="8"/>
  <c r="C2150" i="8"/>
  <c r="B4141" i="8"/>
  <c r="C4228" i="8"/>
  <c r="C2240" i="8"/>
  <c r="C2420" i="8"/>
  <c r="B3967" i="8"/>
  <c r="C4489" i="8"/>
  <c r="C1970" i="8"/>
  <c r="C4663" i="8"/>
  <c r="B3793" i="8"/>
  <c r="C1340" i="8"/>
  <c r="C1880" i="8"/>
  <c r="H4139" i="8" a="1"/>
  <c r="F4488" i="8"/>
  <c r="G4227" i="8"/>
  <c r="H4313" i="8" a="1"/>
  <c r="G1969" i="8"/>
  <c r="H3617" i="8" a="1"/>
  <c r="F4749" i="8"/>
  <c r="G4575" i="8"/>
  <c r="H3878" i="8" a="1"/>
  <c r="G2420" i="8"/>
  <c r="H4226" i="8" a="1"/>
  <c r="G2059" i="8"/>
  <c r="G4053" i="8"/>
  <c r="G4140" i="8"/>
  <c r="G4314" i="8"/>
  <c r="H4661" i="8" a="1"/>
  <c r="H811" i="8" a="1"/>
  <c r="F3966" i="8"/>
  <c r="G1699" i="8"/>
  <c r="F4837" i="8"/>
  <c r="G4662" i="8"/>
  <c r="H4052" i="8" a="1"/>
  <c r="F4314" i="8"/>
  <c r="F4401" i="8"/>
  <c r="H4574" i="8" a="1"/>
  <c r="H3704" i="8" a="1"/>
  <c r="G1249" i="8"/>
  <c r="G1429" i="8"/>
  <c r="H3791" i="8" a="1"/>
  <c r="G1519" i="8"/>
  <c r="F4140" i="8"/>
  <c r="G1159" i="8"/>
  <c r="G4401" i="8"/>
  <c r="F4053" i="8"/>
  <c r="F3879" i="8"/>
  <c r="G1879" i="8"/>
  <c r="F4662" i="8"/>
  <c r="H4748" i="8" a="1"/>
  <c r="G3966" i="8"/>
  <c r="G3879" i="8"/>
  <c r="G3705" i="8"/>
  <c r="H4400" i="8" a="1"/>
  <c r="G2149" i="8"/>
  <c r="G4749" i="8"/>
  <c r="F811" i="8"/>
  <c r="H4487" i="8" a="1"/>
  <c r="G2329" i="8"/>
  <c r="H3965" i="8" a="1"/>
  <c r="G1069" i="8"/>
  <c r="G4488" i="8"/>
  <c r="F747" i="8"/>
  <c r="G3792" i="8"/>
  <c r="H747" i="8" a="1"/>
  <c r="H4836" i="8" a="1"/>
  <c r="F4227" i="8"/>
  <c r="F3792" i="8"/>
  <c r="G4837" i="8"/>
  <c r="H683" i="8" a="1"/>
  <c r="G2239" i="8"/>
  <c r="F683" i="8"/>
  <c r="F4575" i="8"/>
  <c r="G1609" i="8"/>
  <c r="H2419" i="8" a="1"/>
  <c r="F3705" i="8"/>
  <c r="G1339" i="8"/>
  <c r="G1789" i="8"/>
  <c r="H4574" i="8" l="1"/>
  <c r="H4313" i="8"/>
  <c r="H3704" i="8"/>
  <c r="H3791" i="8"/>
  <c r="H3878" i="8"/>
  <c r="H3965" i="8"/>
  <c r="H4226" i="8"/>
  <c r="H2419" i="8"/>
  <c r="H4836" i="8"/>
  <c r="H683" i="8"/>
  <c r="H811" i="8"/>
  <c r="H3617" i="8"/>
  <c r="H747" i="8"/>
  <c r="H4748" i="8"/>
  <c r="H4661" i="8"/>
  <c r="H4487" i="8"/>
  <c r="H4400" i="8"/>
  <c r="H4052" i="8"/>
  <c r="H4139" i="8"/>
  <c r="C1431" i="8"/>
  <c r="C4751" i="8"/>
  <c r="C2331" i="8"/>
  <c r="B4229" i="8"/>
  <c r="B4316" i="8"/>
  <c r="C1251" i="8"/>
  <c r="C2151" i="8"/>
  <c r="B4838" i="8"/>
  <c r="C1701" i="8"/>
  <c r="C4142" i="8"/>
  <c r="C4229" i="8"/>
  <c r="C3881" i="8"/>
  <c r="B4403" i="8"/>
  <c r="C4664" i="8"/>
  <c r="B3881" i="8"/>
  <c r="C3968" i="8"/>
  <c r="B749" i="8"/>
  <c r="B685" i="8"/>
  <c r="C1341" i="8"/>
  <c r="B4751" i="8"/>
  <c r="C4316" i="8"/>
  <c r="C2241" i="8"/>
  <c r="C1881" i="8"/>
  <c r="C1521" i="8"/>
  <c r="C1971" i="8"/>
  <c r="C2061" i="8"/>
  <c r="B4055" i="8"/>
  <c r="C4577" i="8"/>
  <c r="B4490" i="8"/>
  <c r="C1791" i="8"/>
  <c r="B4664" i="8"/>
  <c r="C2421" i="8"/>
  <c r="B813" i="8"/>
  <c r="B3968" i="8"/>
  <c r="C4055" i="8"/>
  <c r="B4142" i="8"/>
  <c r="C4838" i="8"/>
  <c r="B4577" i="8"/>
  <c r="C4403" i="8"/>
  <c r="C4490" i="8"/>
  <c r="C1611" i="8"/>
  <c r="H4749" i="8" a="1"/>
  <c r="H4227" i="8" a="1"/>
  <c r="H4140" i="8" a="1"/>
  <c r="H4662" i="8" a="1"/>
  <c r="G1790" i="8"/>
  <c r="H812" i="8" a="1"/>
  <c r="F3967" i="8"/>
  <c r="H748" i="8" a="1"/>
  <c r="F4663" i="8"/>
  <c r="F684" i="8"/>
  <c r="F4315" i="8"/>
  <c r="G4576" i="8"/>
  <c r="G3793" i="8"/>
  <c r="F748" i="8"/>
  <c r="G2150" i="8"/>
  <c r="G4750" i="8"/>
  <c r="F4141" i="8"/>
  <c r="F4228" i="8"/>
  <c r="F4838" i="8"/>
  <c r="G1160" i="8"/>
  <c r="G1250" i="8"/>
  <c r="F4489" i="8"/>
  <c r="H4053" i="8" a="1"/>
  <c r="G4315" i="8"/>
  <c r="H3792" i="8" a="1"/>
  <c r="F3880" i="8"/>
  <c r="G3880" i="8"/>
  <c r="F4402" i="8"/>
  <c r="G4402" i="8"/>
  <c r="H4488" i="8" a="1"/>
  <c r="G4228" i="8"/>
  <c r="G2421" i="8"/>
  <c r="H684" i="8" a="1"/>
  <c r="F4054" i="8"/>
  <c r="F812" i="8"/>
  <c r="H4575" i="8" a="1"/>
  <c r="H4401" i="8" a="1"/>
  <c r="H4837" i="8" a="1"/>
  <c r="H3966" i="8" a="1"/>
  <c r="G1610" i="8"/>
  <c r="G2330" i="8"/>
  <c r="H3879" i="8" a="1"/>
  <c r="G4838" i="8"/>
  <c r="H3705" i="8" a="1"/>
  <c r="G1970" i="8"/>
  <c r="G1520" i="8"/>
  <c r="G4489" i="8"/>
  <c r="G4141" i="8"/>
  <c r="G4054" i="8"/>
  <c r="F4750" i="8"/>
  <c r="G1700" i="8"/>
  <c r="G4663" i="8"/>
  <c r="G2240" i="8"/>
  <c r="G1340" i="8"/>
  <c r="G2060" i="8"/>
  <c r="F3793" i="8"/>
  <c r="G1430" i="8"/>
  <c r="G1880" i="8"/>
  <c r="F4576" i="8"/>
  <c r="G3967" i="8"/>
  <c r="H2420" i="8" a="1"/>
  <c r="H4314" i="8" a="1"/>
  <c r="H3966" i="8" l="1"/>
  <c r="H4662" i="8"/>
  <c r="H4053" i="8"/>
  <c r="H4488" i="8"/>
  <c r="H684" i="8"/>
  <c r="H812" i="8"/>
  <c r="H4837" i="8"/>
  <c r="H4140" i="8"/>
  <c r="H4314" i="8"/>
  <c r="H3879" i="8"/>
  <c r="H3792" i="8"/>
  <c r="H3705" i="8"/>
  <c r="H748" i="8"/>
  <c r="H4401" i="8"/>
  <c r="H4227" i="8"/>
  <c r="H2420" i="8"/>
  <c r="H4575" i="8"/>
  <c r="H4749" i="8"/>
  <c r="B4665" i="8"/>
  <c r="C1702" i="8"/>
  <c r="C4491" i="8"/>
  <c r="B4056" i="8"/>
  <c r="B4578" i="8"/>
  <c r="B4143" i="8"/>
  <c r="C4404" i="8"/>
  <c r="B814" i="8"/>
  <c r="B3969" i="8"/>
  <c r="B4491" i="8"/>
  <c r="C4317" i="8"/>
  <c r="B4404" i="8"/>
  <c r="B4317" i="8"/>
  <c r="C4839" i="8"/>
  <c r="C4752" i="8"/>
  <c r="C4230" i="8"/>
  <c r="C2422" i="8"/>
  <c r="C4578" i="8"/>
  <c r="B4230" i="8"/>
  <c r="C1882" i="8"/>
  <c r="C4665" i="8"/>
  <c r="C2152" i="8"/>
  <c r="C1612" i="8"/>
  <c r="C2332" i="8"/>
  <c r="B4839" i="8"/>
  <c r="C4056" i="8"/>
  <c r="C3969" i="8"/>
  <c r="C1342" i="8"/>
  <c r="C1522" i="8"/>
  <c r="C4143" i="8"/>
  <c r="B4752" i="8"/>
  <c r="C2062" i="8"/>
  <c r="C1972" i="8"/>
  <c r="C1432" i="8"/>
  <c r="B750" i="8"/>
  <c r="B686" i="8"/>
  <c r="C1792" i="8"/>
  <c r="C2242" i="8"/>
  <c r="H4489" i="8" a="1"/>
  <c r="H3967" i="8" a="1"/>
  <c r="G4229" i="8"/>
  <c r="H813" i="8" a="1"/>
  <c r="H3880" i="8" a="1"/>
  <c r="H4576" i="8" a="1"/>
  <c r="H4054" i="8" a="1"/>
  <c r="F4229" i="8"/>
  <c r="F4055" i="8"/>
  <c r="G4403" i="8"/>
  <c r="F813" i="8"/>
  <c r="G4751" i="8"/>
  <c r="H749" i="8" a="1"/>
  <c r="F4490" i="8"/>
  <c r="G1521" i="8"/>
  <c r="G1791" i="8"/>
  <c r="H4750" i="8" a="1"/>
  <c r="F4403" i="8"/>
  <c r="G4316" i="8"/>
  <c r="F4751" i="8"/>
  <c r="G2151" i="8"/>
  <c r="H4838" i="8" a="1"/>
  <c r="H4228" i="8" a="1"/>
  <c r="G4664" i="8"/>
  <c r="F749" i="8"/>
  <c r="G4055" i="8"/>
  <c r="G4839" i="8"/>
  <c r="F3968" i="8"/>
  <c r="G4142" i="8"/>
  <c r="G4577" i="8"/>
  <c r="G1881" i="8"/>
  <c r="F685" i="8"/>
  <c r="H2421" i="8" a="1"/>
  <c r="G4490" i="8"/>
  <c r="F4839" i="8"/>
  <c r="G1701" i="8"/>
  <c r="F4142" i="8"/>
  <c r="F4316" i="8"/>
  <c r="G2422" i="8"/>
  <c r="G1431" i="8"/>
  <c r="G2241" i="8"/>
  <c r="G1971" i="8"/>
  <c r="H3793" i="8" a="1"/>
  <c r="H4315" i="8" a="1"/>
  <c r="G2061" i="8"/>
  <c r="G1251" i="8"/>
  <c r="G1341" i="8"/>
  <c r="H4141" i="8" a="1"/>
  <c r="H4663" i="8" a="1"/>
  <c r="G2331" i="8"/>
  <c r="G3968" i="8"/>
  <c r="G3881" i="8"/>
  <c r="H4402" i="8" a="1"/>
  <c r="G1611" i="8"/>
  <c r="F3881" i="8"/>
  <c r="H685" i="8" a="1"/>
  <c r="F4577" i="8"/>
  <c r="F4664" i="8"/>
  <c r="H813" i="8" l="1"/>
  <c r="H4663" i="8"/>
  <c r="H4315" i="8"/>
  <c r="H2421" i="8"/>
  <c r="H4402" i="8"/>
  <c r="H4141" i="8"/>
  <c r="H3793" i="8"/>
  <c r="H4750" i="8"/>
  <c r="H4228" i="8"/>
  <c r="H4054" i="8"/>
  <c r="H3967" i="8"/>
  <c r="H3880" i="8"/>
  <c r="H685" i="8"/>
  <c r="H749" i="8"/>
  <c r="H4838" i="8"/>
  <c r="H4576" i="8"/>
  <c r="H4489" i="8"/>
  <c r="C2333" i="8"/>
  <c r="C1523" i="8"/>
  <c r="C2153" i="8"/>
  <c r="C4231" i="8"/>
  <c r="C4144" i="8"/>
  <c r="C4666" i="8"/>
  <c r="C4318" i="8"/>
  <c r="B4492" i="8"/>
  <c r="B4579" i="8"/>
  <c r="B751" i="8"/>
  <c r="B687" i="8"/>
  <c r="C4057" i="8"/>
  <c r="C4753" i="8"/>
  <c r="B4318" i="8"/>
  <c r="B4231" i="8"/>
  <c r="C4579" i="8"/>
  <c r="B4753" i="8"/>
  <c r="C1883" i="8"/>
  <c r="B815" i="8"/>
  <c r="C2063" i="8"/>
  <c r="B4840" i="8"/>
  <c r="C1613" i="8"/>
  <c r="C1703" i="8"/>
  <c r="C4840" i="8"/>
  <c r="B4405" i="8"/>
  <c r="C4405" i="8"/>
  <c r="B4057" i="8"/>
  <c r="C1793" i="8"/>
  <c r="C1433" i="8"/>
  <c r="C2423" i="8"/>
  <c r="C2243" i="8"/>
  <c r="C1973" i="8"/>
  <c r="C4492" i="8"/>
  <c r="B4666" i="8"/>
  <c r="B4144" i="8"/>
  <c r="H2422" i="8" a="1"/>
  <c r="H4664" i="8" a="1"/>
  <c r="F4404" i="8"/>
  <c r="G1612" i="8"/>
  <c r="H4839" i="8" a="1"/>
  <c r="H4142" i="8" a="1"/>
  <c r="H4316" i="8" a="1"/>
  <c r="G3969" i="8"/>
  <c r="H4751" i="8" a="1"/>
  <c r="F4491" i="8"/>
  <c r="G4752" i="8"/>
  <c r="G2062" i="8"/>
  <c r="H4577" i="8" a="1"/>
  <c r="G1792" i="8"/>
  <c r="G4056" i="8"/>
  <c r="G4143" i="8"/>
  <c r="F4665" i="8"/>
  <c r="F4056" i="8"/>
  <c r="G4578" i="8"/>
  <c r="G4230" i="8"/>
  <c r="G1972" i="8"/>
  <c r="F750" i="8"/>
  <c r="F4143" i="8"/>
  <c r="G4491" i="8"/>
  <c r="F4578" i="8"/>
  <c r="H686" i="8" a="1"/>
  <c r="G4665" i="8"/>
  <c r="G2332" i="8"/>
  <c r="G2152" i="8"/>
  <c r="H4403" i="8" a="1"/>
  <c r="G1342" i="8"/>
  <c r="H814" i="8" a="1"/>
  <c r="G1882" i="8"/>
  <c r="F814" i="8"/>
  <c r="G4404" i="8"/>
  <c r="G1702" i="8"/>
  <c r="G1432" i="8"/>
  <c r="H750" i="8" a="1"/>
  <c r="G1522" i="8"/>
  <c r="H3881" i="8" a="1"/>
  <c r="F686" i="8"/>
  <c r="F4317" i="8"/>
  <c r="F4752" i="8"/>
  <c r="G4840" i="8"/>
  <c r="H3968" i="8" a="1"/>
  <c r="G2423" i="8"/>
  <c r="G2242" i="8"/>
  <c r="H4055" i="8" a="1"/>
  <c r="F4230" i="8"/>
  <c r="F3969" i="8"/>
  <c r="G4317" i="8"/>
  <c r="F4840" i="8"/>
  <c r="H4229" i="8" a="1"/>
  <c r="H4490" i="8" a="1"/>
  <c r="H750" i="8" l="1"/>
  <c r="H4490" i="8"/>
  <c r="H4577" i="8"/>
  <c r="H4403" i="8"/>
  <c r="H3968" i="8"/>
  <c r="H3881" i="8"/>
  <c r="H4229" i="8"/>
  <c r="H4751" i="8"/>
  <c r="H4055" i="8"/>
  <c r="H4316" i="8"/>
  <c r="H4664" i="8"/>
  <c r="H4839" i="8"/>
  <c r="H814" i="8"/>
  <c r="H686" i="8"/>
  <c r="H4142" i="8"/>
  <c r="H2422" i="8"/>
  <c r="C4493" i="8"/>
  <c r="C2334" i="8"/>
  <c r="C1524" i="8"/>
  <c r="C1974" i="8"/>
  <c r="C4667" i="8"/>
  <c r="C4841" i="8"/>
  <c r="B4667" i="8"/>
  <c r="C4406" i="8"/>
  <c r="C4232" i="8"/>
  <c r="C2244" i="8"/>
  <c r="C2424" i="8"/>
  <c r="C4580" i="8"/>
  <c r="B4145" i="8"/>
  <c r="B4493" i="8"/>
  <c r="C1794" i="8"/>
  <c r="B752" i="8"/>
  <c r="B688" i="8"/>
  <c r="C4319" i="8"/>
  <c r="C2064" i="8"/>
  <c r="B4232" i="8"/>
  <c r="C1884" i="8"/>
  <c r="C1704" i="8"/>
  <c r="B4841" i="8"/>
  <c r="B4319" i="8"/>
  <c r="B4406" i="8"/>
  <c r="C4145" i="8"/>
  <c r="B816" i="8"/>
  <c r="B4580" i="8"/>
  <c r="C4754" i="8"/>
  <c r="C1614" i="8"/>
  <c r="B4754" i="8"/>
  <c r="C2154" i="8"/>
  <c r="H2423" i="8" a="1"/>
  <c r="G1433" i="8"/>
  <c r="F4841" i="8"/>
  <c r="F751" i="8"/>
  <c r="G2063" i="8"/>
  <c r="H751" i="8" a="1"/>
  <c r="H4578" i="8" a="1"/>
  <c r="G1613" i="8"/>
  <c r="H4665" i="8" a="1"/>
  <c r="G4144" i="8"/>
  <c r="G1523" i="8"/>
  <c r="H4491" i="8" a="1"/>
  <c r="F687" i="8"/>
  <c r="G2333" i="8"/>
  <c r="H687" i="8" a="1"/>
  <c r="H4840" i="8" a="1"/>
  <c r="G4492" i="8"/>
  <c r="F4318" i="8"/>
  <c r="H3969" i="8" a="1"/>
  <c r="G1883" i="8"/>
  <c r="G4405" i="8"/>
  <c r="G1703" i="8"/>
  <c r="G2243" i="8"/>
  <c r="F815" i="8"/>
  <c r="F4231" i="8"/>
  <c r="G4318" i="8"/>
  <c r="G4057" i="8"/>
  <c r="H4143" i="8" a="1"/>
  <c r="G4579" i="8"/>
  <c r="F4492" i="8"/>
  <c r="G2153" i="8"/>
  <c r="G4666" i="8"/>
  <c r="H4752" i="8" a="1"/>
  <c r="F4405" i="8"/>
  <c r="H4404" i="8" a="1"/>
  <c r="H4230" i="8" a="1"/>
  <c r="F4144" i="8"/>
  <c r="H815" i="8" a="1"/>
  <c r="F4057" i="8"/>
  <c r="G1973" i="8"/>
  <c r="H4056" i="8" a="1"/>
  <c r="G4231" i="8"/>
  <c r="H4317" i="8" a="1"/>
  <c r="G4841" i="8"/>
  <c r="F4753" i="8"/>
  <c r="G2424" i="8"/>
  <c r="F4579" i="8"/>
  <c r="G1793" i="8"/>
  <c r="G4753" i="8"/>
  <c r="F4666" i="8"/>
  <c r="H4056" i="8" l="1"/>
  <c r="H4840" i="8"/>
  <c r="H4230" i="8"/>
  <c r="H4491" i="8"/>
  <c r="H4752" i="8"/>
  <c r="H4578" i="8"/>
  <c r="H815" i="8"/>
  <c r="H687" i="8"/>
  <c r="H4317" i="8"/>
  <c r="H3969" i="8"/>
  <c r="H4404" i="8"/>
  <c r="H751" i="8"/>
  <c r="H4665" i="8"/>
  <c r="H4143" i="8"/>
  <c r="H2423" i="8"/>
  <c r="B4842" i="8"/>
  <c r="C4842" i="8"/>
  <c r="B753" i="8"/>
  <c r="B689" i="8"/>
  <c r="C2335" i="8"/>
  <c r="C2065" i="8"/>
  <c r="B4668" i="8"/>
  <c r="B4494" i="8"/>
  <c r="C1795" i="8"/>
  <c r="B4320" i="8"/>
  <c r="C4407" i="8"/>
  <c r="B817" i="8"/>
  <c r="B4581" i="8"/>
  <c r="C4668" i="8"/>
  <c r="C4494" i="8"/>
  <c r="C2425" i="8"/>
  <c r="C1885" i="8"/>
  <c r="B4233" i="8"/>
  <c r="B4755" i="8"/>
  <c r="C2245" i="8"/>
  <c r="C1705" i="8"/>
  <c r="C4233" i="8"/>
  <c r="B4407" i="8"/>
  <c r="C1975" i="8"/>
  <c r="C2155" i="8"/>
  <c r="C4320" i="8"/>
  <c r="C4755" i="8"/>
  <c r="C1615" i="8"/>
  <c r="C4581" i="8"/>
  <c r="H4057" i="8" a="1"/>
  <c r="F4319" i="8"/>
  <c r="F816" i="8"/>
  <c r="G2154" i="8"/>
  <c r="G1884" i="8"/>
  <c r="F4493" i="8"/>
  <c r="H4144" i="8" a="1"/>
  <c r="F688" i="8"/>
  <c r="G4406" i="8"/>
  <c r="G4842" i="8"/>
  <c r="H4579" i="8" a="1"/>
  <c r="G4580" i="8"/>
  <c r="G4145" i="8"/>
  <c r="G4754" i="8"/>
  <c r="G2425" i="8"/>
  <c r="F4145" i="8"/>
  <c r="G1614" i="8"/>
  <c r="H4318" i="8" a="1"/>
  <c r="G4667" i="8"/>
  <c r="H752" i="8" a="1"/>
  <c r="H4841" i="8" a="1"/>
  <c r="G1794" i="8"/>
  <c r="G2064" i="8"/>
  <c r="H4666" i="8" a="1"/>
  <c r="G4232" i="8"/>
  <c r="F4667" i="8"/>
  <c r="H688" i="8" a="1"/>
  <c r="H4231" i="8" a="1"/>
  <c r="G1524" i="8"/>
  <c r="H816" i="8" a="1"/>
  <c r="H2424" i="8" a="1"/>
  <c r="F4580" i="8"/>
  <c r="H4492" i="8" a="1"/>
  <c r="G4319" i="8"/>
  <c r="F752" i="8"/>
  <c r="H4753" i="8" a="1"/>
  <c r="F4754" i="8"/>
  <c r="F4232" i="8"/>
  <c r="F4842" i="8"/>
  <c r="F4406" i="8"/>
  <c r="G1974" i="8"/>
  <c r="H4405" i="8" a="1"/>
  <c r="G2334" i="8"/>
  <c r="G4493" i="8"/>
  <c r="G1704" i="8"/>
  <c r="G2244" i="8"/>
  <c r="H752" i="8" l="1"/>
  <c r="H4144" i="8"/>
  <c r="H4492" i="8"/>
  <c r="H4666" i="8"/>
  <c r="H4405" i="8"/>
  <c r="H2424" i="8"/>
  <c r="H4231" i="8"/>
  <c r="H4753" i="8"/>
  <c r="H816" i="8"/>
  <c r="H688" i="8"/>
  <c r="H4579" i="8"/>
  <c r="H4841" i="8"/>
  <c r="H4318" i="8"/>
  <c r="H4057" i="8"/>
  <c r="C4843" i="8"/>
  <c r="B4843" i="8"/>
  <c r="C4495" i="8"/>
  <c r="C1886" i="8"/>
  <c r="C2156" i="8"/>
  <c r="C4408" i="8"/>
  <c r="C2066" i="8"/>
  <c r="C2336" i="8"/>
  <c r="B4321" i="8"/>
  <c r="B4756" i="8"/>
  <c r="C2426" i="8"/>
  <c r="B754" i="8"/>
  <c r="B690" i="8"/>
  <c r="C4669" i="8"/>
  <c r="B4495" i="8"/>
  <c r="C1706" i="8"/>
  <c r="C4321" i="8"/>
  <c r="C4756" i="8"/>
  <c r="C2246" i="8"/>
  <c r="C1796" i="8"/>
  <c r="C1976" i="8"/>
  <c r="B4408" i="8"/>
  <c r="B4582" i="8"/>
  <c r="B818" i="8"/>
  <c r="C4582" i="8"/>
  <c r="B4669" i="8"/>
  <c r="H4842" i="8" a="1"/>
  <c r="G4668" i="8"/>
  <c r="F4233" i="8"/>
  <c r="H753" i="8" a="1"/>
  <c r="H4493" i="8" a="1"/>
  <c r="G1705" i="8"/>
  <c r="G2155" i="8"/>
  <c r="F817" i="8"/>
  <c r="H4406" i="8" a="1"/>
  <c r="G4843" i="8"/>
  <c r="G1795" i="8"/>
  <c r="G2245" i="8"/>
  <c r="G4494" i="8"/>
  <c r="G4233" i="8"/>
  <c r="F4494" i="8"/>
  <c r="G1615" i="8"/>
  <c r="H4580" i="8" a="1"/>
  <c r="H4754" i="8" a="1"/>
  <c r="H4667" i="8" a="1"/>
  <c r="F4581" i="8"/>
  <c r="H4319" i="8" a="1"/>
  <c r="G2065" i="8"/>
  <c r="F753" i="8"/>
  <c r="H4145" i="8" a="1"/>
  <c r="H4232" i="8" a="1"/>
  <c r="G2426" i="8"/>
  <c r="G1975" i="8"/>
  <c r="F4668" i="8"/>
  <c r="G4407" i="8"/>
  <c r="F4755" i="8"/>
  <c r="H2425" i="8" a="1"/>
  <c r="G2335" i="8"/>
  <c r="F4320" i="8"/>
  <c r="G4320" i="8"/>
  <c r="G4755" i="8"/>
  <c r="F4843" i="8"/>
  <c r="H817" i="8" a="1"/>
  <c r="H689" i="8" a="1"/>
  <c r="G4581" i="8"/>
  <c r="G1885" i="8"/>
  <c r="F689" i="8"/>
  <c r="F4407" i="8"/>
  <c r="H753" i="8" l="1"/>
  <c r="H689" i="8"/>
  <c r="H2425" i="8"/>
  <c r="H4145" i="8"/>
  <c r="H4406" i="8"/>
  <c r="H4580" i="8"/>
  <c r="H817" i="8"/>
  <c r="H4754" i="8"/>
  <c r="H4667" i="8"/>
  <c r="H4232" i="8"/>
  <c r="H4319" i="8"/>
  <c r="H4493" i="8"/>
  <c r="H4842" i="8"/>
  <c r="B4670" i="8"/>
  <c r="C1887" i="8"/>
  <c r="C4844" i="8"/>
  <c r="B4757" i="8"/>
  <c r="C2247" i="8"/>
  <c r="B4409" i="8"/>
  <c r="C2157" i="8"/>
  <c r="C4583" i="8"/>
  <c r="B4496" i="8"/>
  <c r="C2067" i="8"/>
  <c r="C2337" i="8"/>
  <c r="C4409" i="8"/>
  <c r="B4583" i="8"/>
  <c r="C4670" i="8"/>
  <c r="C1797" i="8"/>
  <c r="B755" i="8"/>
  <c r="B691" i="8"/>
  <c r="C2427" i="8"/>
  <c r="C1977" i="8"/>
  <c r="C4757" i="8"/>
  <c r="B819" i="8"/>
  <c r="B4844" i="8"/>
  <c r="C4496" i="8"/>
  <c r="H4755" i="8" a="1"/>
  <c r="G2246" i="8"/>
  <c r="F4582" i="8"/>
  <c r="H4233" i="8" a="1"/>
  <c r="F4756" i="8"/>
  <c r="G2336" i="8"/>
  <c r="G4582" i="8"/>
  <c r="H754" i="8" a="1"/>
  <c r="G4495" i="8"/>
  <c r="F4408" i="8"/>
  <c r="G4669" i="8"/>
  <c r="H4494" i="8" a="1"/>
  <c r="H690" i="8" a="1"/>
  <c r="F4321" i="8"/>
  <c r="H4581" i="8" a="1"/>
  <c r="G1796" i="8"/>
  <c r="G1976" i="8"/>
  <c r="G4408" i="8"/>
  <c r="H4320" i="8" a="1"/>
  <c r="H4407" i="8" a="1"/>
  <c r="F4844" i="8"/>
  <c r="G4321" i="8"/>
  <c r="F4495" i="8"/>
  <c r="F690" i="8"/>
  <c r="G2427" i="8"/>
  <c r="F754" i="8"/>
  <c r="G4756" i="8"/>
  <c r="G1886" i="8"/>
  <c r="G2156" i="8"/>
  <c r="G2066" i="8"/>
  <c r="F818" i="8"/>
  <c r="H2426" i="8" a="1"/>
  <c r="G4844" i="8"/>
  <c r="G1706" i="8"/>
  <c r="H4668" i="8" a="1"/>
  <c r="H4843" i="8" a="1"/>
  <c r="F4669" i="8"/>
  <c r="H818" i="8" a="1"/>
  <c r="H754" i="8" l="1"/>
  <c r="H4668" i="8"/>
  <c r="H2426" i="8"/>
  <c r="H4407" i="8"/>
  <c r="H4233" i="8"/>
  <c r="H818" i="8"/>
  <c r="H690" i="8"/>
  <c r="H4320" i="8"/>
  <c r="H4843" i="8"/>
  <c r="H4581" i="8"/>
  <c r="H4494" i="8"/>
  <c r="H4755" i="8"/>
  <c r="B756" i="8"/>
  <c r="B692" i="8"/>
  <c r="C2338" i="8"/>
  <c r="C4845" i="8"/>
  <c r="B820" i="8"/>
  <c r="C4758" i="8"/>
  <c r="C4497" i="8"/>
  <c r="C2158" i="8"/>
  <c r="C4671" i="8"/>
  <c r="B4497" i="8"/>
  <c r="B4758" i="8"/>
  <c r="C2068" i="8"/>
  <c r="C4584" i="8"/>
  <c r="C1888" i="8"/>
  <c r="B4671" i="8"/>
  <c r="C2428" i="8"/>
  <c r="B4584" i="8"/>
  <c r="C2248" i="8"/>
  <c r="B4845" i="8"/>
  <c r="C1978" i="8"/>
  <c r="H4669" i="8" a="1"/>
  <c r="F691" i="8"/>
  <c r="G4496" i="8"/>
  <c r="H4756" i="8" a="1"/>
  <c r="G4845" i="8"/>
  <c r="G2247" i="8"/>
  <c r="G2428" i="8"/>
  <c r="F4845" i="8"/>
  <c r="F4670" i="8"/>
  <c r="F4583" i="8"/>
  <c r="F4496" i="8"/>
  <c r="G2337" i="8"/>
  <c r="G1887" i="8"/>
  <c r="H4582" i="8" a="1"/>
  <c r="H4408" i="8" a="1"/>
  <c r="H4495" i="8" a="1"/>
  <c r="F755" i="8"/>
  <c r="H691" i="8" a="1"/>
  <c r="H4321" i="8" a="1"/>
  <c r="F819" i="8"/>
  <c r="G4757" i="8"/>
  <c r="G2067" i="8"/>
  <c r="G4409" i="8"/>
  <c r="G1797" i="8"/>
  <c r="H755" i="8" a="1"/>
  <c r="F4409" i="8"/>
  <c r="G4670" i="8"/>
  <c r="G4583" i="8"/>
  <c r="G1977" i="8"/>
  <c r="H2427" i="8" a="1"/>
  <c r="H4844" i="8" a="1"/>
  <c r="G2157" i="8"/>
  <c r="H819" i="8" a="1"/>
  <c r="F4757" i="8"/>
  <c r="H691" i="8" l="1"/>
  <c r="H4495" i="8"/>
  <c r="H4844" i="8"/>
  <c r="H4408" i="8"/>
  <c r="H4321" i="8"/>
  <c r="H819" i="8"/>
  <c r="H755" i="8"/>
  <c r="H2427" i="8"/>
  <c r="H4582" i="8"/>
  <c r="H4756" i="8"/>
  <c r="H4669" i="8"/>
  <c r="C2429" i="8"/>
  <c r="B821" i="8"/>
  <c r="B4672" i="8"/>
  <c r="B4759" i="8"/>
  <c r="C1979" i="8"/>
  <c r="C2159" i="8"/>
  <c r="B4585" i="8"/>
  <c r="C2249" i="8"/>
  <c r="C4846" i="8"/>
  <c r="C2069" i="8"/>
  <c r="C4672" i="8"/>
  <c r="B4846" i="8"/>
  <c r="C4759" i="8"/>
  <c r="C4585" i="8"/>
  <c r="B757" i="8"/>
  <c r="B693" i="8"/>
  <c r="C2339" i="8"/>
  <c r="H4757" i="8" a="1"/>
  <c r="H820" i="8" a="1"/>
  <c r="F692" i="8"/>
  <c r="G4758" i="8"/>
  <c r="F4758" i="8"/>
  <c r="F820" i="8"/>
  <c r="F4671" i="8"/>
  <c r="H4583" i="8" a="1"/>
  <c r="G2248" i="8"/>
  <c r="H4496" i="8" a="1"/>
  <c r="G2429" i="8"/>
  <c r="H4845" i="8" a="1"/>
  <c r="G2068" i="8"/>
  <c r="G4671" i="8"/>
  <c r="G4497" i="8"/>
  <c r="F4497" i="8"/>
  <c r="G1978" i="8"/>
  <c r="G2338" i="8"/>
  <c r="F4846" i="8"/>
  <c r="G2158" i="8"/>
  <c r="H4409" i="8" a="1"/>
  <c r="F756" i="8"/>
  <c r="G4846" i="8"/>
  <c r="H2428" i="8" a="1"/>
  <c r="H756" i="8" a="1"/>
  <c r="G1888" i="8"/>
  <c r="H4670" i="8" a="1"/>
  <c r="F4584" i="8"/>
  <c r="G4584" i="8"/>
  <c r="H692" i="8" a="1"/>
  <c r="H692" i="8" l="1"/>
  <c r="H756" i="8"/>
  <c r="H4845" i="8"/>
  <c r="H4670" i="8"/>
  <c r="H820" i="8"/>
  <c r="H4583" i="8"/>
  <c r="H4409" i="8"/>
  <c r="H2428" i="8"/>
  <c r="H4496" i="8"/>
  <c r="H4757" i="8"/>
  <c r="C4673" i="8"/>
  <c r="C2160" i="8"/>
  <c r="B822" i="8"/>
  <c r="B4673" i="8"/>
  <c r="C2250" i="8"/>
  <c r="C2340" i="8"/>
  <c r="B4847" i="8"/>
  <c r="C2430" i="8"/>
  <c r="B758" i="8"/>
  <c r="B694" i="8"/>
  <c r="C2070" i="8"/>
  <c r="C4847" i="8"/>
  <c r="C4760" i="8"/>
  <c r="B4760" i="8"/>
  <c r="H4846" i="8" a="1"/>
  <c r="H821" i="8" a="1"/>
  <c r="G2069" i="8"/>
  <c r="H4758" i="8" a="1"/>
  <c r="F4759" i="8"/>
  <c r="H4584" i="8" a="1"/>
  <c r="H4671" i="8" a="1"/>
  <c r="F4847" i="8"/>
  <c r="G2249" i="8"/>
  <c r="G4847" i="8"/>
  <c r="G2159" i="8"/>
  <c r="G4585" i="8"/>
  <c r="G2339" i="8"/>
  <c r="F821" i="8"/>
  <c r="G1979" i="8"/>
  <c r="H2429" i="8" a="1"/>
  <c r="F4672" i="8"/>
  <c r="G2430" i="8"/>
  <c r="H757" i="8" a="1"/>
  <c r="G4672" i="8"/>
  <c r="F757" i="8"/>
  <c r="H4497" i="8" a="1"/>
  <c r="H693" i="8" a="1"/>
  <c r="F4585" i="8"/>
  <c r="G4759" i="8"/>
  <c r="F693" i="8"/>
  <c r="H757" i="8" l="1"/>
  <c r="H4758" i="8"/>
  <c r="H821" i="8"/>
  <c r="H4584" i="8"/>
  <c r="H4497" i="8"/>
  <c r="H693" i="8"/>
  <c r="H2429" i="8"/>
  <c r="H4671" i="8"/>
  <c r="H4846" i="8"/>
  <c r="B4848" i="8"/>
  <c r="C2161" i="8"/>
  <c r="B823" i="8"/>
  <c r="C2341" i="8"/>
  <c r="C2431" i="8"/>
  <c r="C4761" i="8"/>
  <c r="C4848" i="8"/>
  <c r="B4761" i="8"/>
  <c r="C2251" i="8"/>
  <c r="B759" i="8"/>
  <c r="B695" i="8"/>
  <c r="H2430" i="8" a="1"/>
  <c r="G2250" i="8"/>
  <c r="F4760" i="8"/>
  <c r="G2431" i="8"/>
  <c r="F694" i="8"/>
  <c r="F4673" i="8"/>
  <c r="H694" i="8" a="1"/>
  <c r="H758" i="8" a="1"/>
  <c r="F758" i="8"/>
  <c r="G2340" i="8"/>
  <c r="F4848" i="8"/>
  <c r="H4759" i="8" a="1"/>
  <c r="G2070" i="8"/>
  <c r="G4673" i="8"/>
  <c r="G2160" i="8"/>
  <c r="F822" i="8"/>
  <c r="G4760" i="8"/>
  <c r="G4848" i="8"/>
  <c r="H4847" i="8" a="1"/>
  <c r="H4585" i="8" a="1"/>
  <c r="H822" i="8" a="1"/>
  <c r="H4672" i="8" a="1"/>
  <c r="H694" i="8" l="1"/>
  <c r="H4759" i="8"/>
  <c r="H4585" i="8"/>
  <c r="H4847" i="8"/>
  <c r="H822" i="8"/>
  <c r="H758" i="8"/>
  <c r="H4672" i="8"/>
  <c r="H2430" i="8"/>
  <c r="B824" i="8"/>
  <c r="B4849" i="8"/>
  <c r="C2342" i="8"/>
  <c r="B888" i="8"/>
  <c r="C4849" i="8"/>
  <c r="C2432" i="8"/>
  <c r="B760" i="8"/>
  <c r="B696" i="8"/>
  <c r="C2252" i="8"/>
  <c r="F4761" i="8"/>
  <c r="H2431" i="8" a="1"/>
  <c r="G2251" i="8"/>
  <c r="F4849" i="8"/>
  <c r="H823" i="8" a="1"/>
  <c r="G2341" i="8"/>
  <c r="G2432" i="8"/>
  <c r="F823" i="8"/>
  <c r="F695" i="8"/>
  <c r="G4849" i="8"/>
  <c r="F759" i="8"/>
  <c r="G2161" i="8"/>
  <c r="H695" i="8" a="1"/>
  <c r="H4673" i="8" a="1"/>
  <c r="G4761" i="8"/>
  <c r="H4848" i="8" a="1"/>
  <c r="H4760" i="8" a="1"/>
  <c r="H759" i="8" a="1"/>
  <c r="H4848" i="8" l="1"/>
  <c r="H4673" i="8"/>
  <c r="H4760" i="8"/>
  <c r="H759" i="8"/>
  <c r="H695" i="8"/>
  <c r="H823" i="8"/>
  <c r="H2431" i="8"/>
  <c r="B889" i="8"/>
  <c r="C2343" i="8"/>
  <c r="B761" i="8"/>
  <c r="B697" i="8"/>
  <c r="B825" i="8"/>
  <c r="C2433" i="8"/>
  <c r="F696" i="8"/>
  <c r="H824" i="8" a="1"/>
  <c r="H888" i="8" a="1"/>
  <c r="H2432" i="8" a="1"/>
  <c r="F760" i="8"/>
  <c r="G2433" i="8"/>
  <c r="G2342" i="8"/>
  <c r="H4849" i="8" a="1"/>
  <c r="H4761" i="8" a="1"/>
  <c r="H696" i="8" a="1"/>
  <c r="G2252" i="8"/>
  <c r="F824" i="8"/>
  <c r="H760" i="8" a="1"/>
  <c r="F888" i="8"/>
  <c r="H888" i="8" l="1"/>
  <c r="H824" i="8"/>
  <c r="H4849" i="8"/>
  <c r="H760" i="8"/>
  <c r="H2432" i="8"/>
  <c r="H696" i="8"/>
  <c r="H4761" i="8"/>
  <c r="B762" i="8"/>
  <c r="B698" i="8"/>
  <c r="B826" i="8"/>
  <c r="C2434" i="8"/>
  <c r="B890" i="8"/>
  <c r="F697" i="8"/>
  <c r="H697" i="8" a="1"/>
  <c r="F825" i="8"/>
  <c r="H2433" i="8" a="1"/>
  <c r="H889" i="8" a="1"/>
  <c r="H825" i="8" a="1"/>
  <c r="H761" i="8" a="1"/>
  <c r="G2343" i="8"/>
  <c r="G2434" i="8"/>
  <c r="F761" i="8"/>
  <c r="F889" i="8"/>
  <c r="H889" i="8" l="1"/>
  <c r="H761" i="8"/>
  <c r="H825" i="8"/>
  <c r="H2433" i="8"/>
  <c r="H697" i="8"/>
  <c r="B763" i="8"/>
  <c r="B699" i="8"/>
  <c r="B891" i="8"/>
  <c r="B827" i="8"/>
  <c r="H2434" i="8" a="1"/>
  <c r="H826" i="8" a="1"/>
  <c r="F890" i="8"/>
  <c r="H698" i="8" a="1"/>
  <c r="H762" i="8" a="1"/>
  <c r="F698" i="8"/>
  <c r="H890" i="8" a="1"/>
  <c r="F762" i="8"/>
  <c r="F826" i="8"/>
  <c r="H890" i="8" l="1"/>
  <c r="H762" i="8"/>
  <c r="H698" i="8"/>
  <c r="H826" i="8"/>
  <c r="H2434" i="8"/>
  <c r="B764" i="8"/>
  <c r="B700" i="8"/>
  <c r="B828" i="8"/>
  <c r="B892" i="8"/>
  <c r="F891" i="8"/>
  <c r="H891" i="8" a="1"/>
  <c r="F827" i="8"/>
  <c r="F763" i="8"/>
  <c r="H763" i="8" a="1"/>
  <c r="H827" i="8" a="1"/>
  <c r="F699" i="8"/>
  <c r="H699" i="8" a="1"/>
  <c r="H699" i="8" l="1"/>
  <c r="H891" i="8"/>
  <c r="H763" i="8"/>
  <c r="H827" i="8"/>
  <c r="B893" i="8"/>
  <c r="B765" i="8"/>
  <c r="B701" i="8"/>
  <c r="B829" i="8"/>
  <c r="F828" i="8"/>
  <c r="F764" i="8"/>
  <c r="H892" i="8" a="1"/>
  <c r="F700" i="8"/>
  <c r="H828" i="8" a="1"/>
  <c r="H700" i="8" a="1"/>
  <c r="H764" i="8" a="1"/>
  <c r="F892" i="8"/>
  <c r="H892" i="8" l="1"/>
  <c r="H764" i="8"/>
  <c r="H828" i="8"/>
  <c r="H700" i="8"/>
  <c r="B766" i="8"/>
  <c r="B702" i="8"/>
  <c r="B894" i="8"/>
  <c r="B830" i="8"/>
  <c r="F701" i="8"/>
  <c r="F829" i="8"/>
  <c r="H765" i="8" a="1"/>
  <c r="H701" i="8" a="1"/>
  <c r="H829" i="8" a="1"/>
  <c r="F893" i="8"/>
  <c r="F765" i="8"/>
  <c r="H893" i="8" a="1"/>
  <c r="H765" i="8" l="1"/>
  <c r="H701" i="8"/>
  <c r="H893" i="8"/>
  <c r="H829" i="8"/>
  <c r="B831" i="8"/>
  <c r="B895" i="8"/>
  <c r="B767" i="8"/>
  <c r="B703" i="8"/>
  <c r="H702" i="8" a="1"/>
  <c r="F894" i="8"/>
  <c r="H830" i="8" a="1"/>
  <c r="F702" i="8"/>
  <c r="H766" i="8" a="1"/>
  <c r="F766" i="8"/>
  <c r="F830" i="8"/>
  <c r="H894" i="8" a="1"/>
  <c r="H894" i="8" l="1"/>
  <c r="H766" i="8"/>
  <c r="H702" i="8"/>
  <c r="H830" i="8"/>
  <c r="B832" i="8"/>
  <c r="B768" i="8"/>
  <c r="B704" i="8"/>
  <c r="B896" i="8"/>
  <c r="H767" i="8" a="1"/>
  <c r="H831" i="8" a="1"/>
  <c r="F703" i="8"/>
  <c r="F767" i="8"/>
  <c r="F895" i="8"/>
  <c r="H703" i="8" a="1"/>
  <c r="F831" i="8"/>
  <c r="H895" i="8" a="1"/>
  <c r="H703" i="8" l="1"/>
  <c r="H831" i="8"/>
  <c r="H767" i="8"/>
  <c r="H895" i="8"/>
  <c r="B833" i="8"/>
  <c r="B769" i="8"/>
  <c r="B705" i="8"/>
  <c r="B897" i="8"/>
  <c r="F768" i="8"/>
  <c r="F832" i="8"/>
  <c r="H896" i="8" a="1"/>
  <c r="F704" i="8"/>
  <c r="H704" i="8" a="1"/>
  <c r="H768" i="8" a="1"/>
  <c r="H832" i="8" a="1"/>
  <c r="F896" i="8"/>
  <c r="H896" i="8" l="1"/>
  <c r="H832" i="8"/>
  <c r="H768" i="8"/>
  <c r="H704" i="8"/>
  <c r="B898" i="8"/>
  <c r="B770" i="8"/>
  <c r="B834" i="8"/>
  <c r="F769" i="8"/>
  <c r="F833" i="8"/>
  <c r="H769" i="8" a="1"/>
  <c r="F705" i="8"/>
  <c r="F897" i="8"/>
  <c r="H705" i="8" a="1"/>
  <c r="H897" i="8" a="1"/>
  <c r="H833" i="8" a="1"/>
  <c r="H833" i="8" l="1"/>
  <c r="H897" i="8"/>
  <c r="H769" i="8"/>
  <c r="H705" i="8"/>
  <c r="B899" i="8"/>
  <c r="B835" i="8"/>
  <c r="B771" i="8"/>
  <c r="F898" i="8"/>
  <c r="H834" i="8" a="1"/>
  <c r="F770" i="8"/>
  <c r="H898" i="8" a="1"/>
  <c r="F834" i="8"/>
  <c r="H770" i="8" a="1"/>
  <c r="H898" i="8" l="1"/>
  <c r="H770" i="8"/>
  <c r="H834" i="8"/>
  <c r="B836" i="8"/>
  <c r="B772" i="8"/>
  <c r="B900" i="8"/>
  <c r="F899" i="8"/>
  <c r="F771" i="8"/>
  <c r="F835" i="8"/>
  <c r="H771" i="8" a="1"/>
  <c r="H835" i="8" a="1"/>
  <c r="H899" i="8" a="1"/>
  <c r="H835" i="8" l="1"/>
  <c r="H771" i="8"/>
  <c r="H899" i="8"/>
  <c r="B837" i="8"/>
  <c r="B773" i="8"/>
  <c r="B901" i="8"/>
  <c r="H772" i="8" a="1"/>
  <c r="F836" i="8"/>
  <c r="H836" i="8" a="1"/>
  <c r="F900" i="8"/>
  <c r="H900" i="8" a="1"/>
  <c r="F772" i="8"/>
  <c r="H772" i="8" l="1"/>
  <c r="H836" i="8"/>
  <c r="H900" i="8"/>
  <c r="B902" i="8"/>
  <c r="B838" i="8"/>
  <c r="B774" i="8"/>
  <c r="F773" i="8"/>
  <c r="H837" i="8" a="1"/>
  <c r="H773" i="8" a="1"/>
  <c r="F901" i="8"/>
  <c r="H901" i="8" a="1"/>
  <c r="F837" i="8"/>
  <c r="H837" i="8" l="1"/>
  <c r="H773" i="8"/>
  <c r="H901" i="8"/>
  <c r="B839" i="8"/>
  <c r="B775" i="8"/>
  <c r="B903" i="8"/>
  <c r="H774" i="8" a="1"/>
  <c r="H838" i="8" a="1"/>
  <c r="F902" i="8"/>
  <c r="F838" i="8"/>
  <c r="H902" i="8" a="1"/>
  <c r="F774" i="8"/>
  <c r="H838" i="8" l="1"/>
  <c r="H774" i="8"/>
  <c r="H902" i="8"/>
  <c r="B904" i="8"/>
  <c r="B840" i="8"/>
  <c r="B776" i="8"/>
  <c r="F903" i="8"/>
  <c r="H775" i="8" a="1"/>
  <c r="F775" i="8"/>
  <c r="H903" i="8" a="1"/>
  <c r="F839" i="8"/>
  <c r="H839" i="8" a="1"/>
  <c r="H775" i="8" l="1"/>
  <c r="H903" i="8"/>
  <c r="H839" i="8"/>
  <c r="B841" i="8"/>
  <c r="B777" i="8"/>
  <c r="B905" i="8"/>
  <c r="F776" i="8"/>
  <c r="H840" i="8" a="1"/>
  <c r="H776" i="8" a="1"/>
  <c r="F840" i="8"/>
  <c r="H904" i="8" a="1"/>
  <c r="F904" i="8"/>
  <c r="H840" i="8" l="1"/>
  <c r="H776" i="8"/>
  <c r="H904" i="8"/>
  <c r="B842" i="8"/>
  <c r="B778" i="8"/>
  <c r="B906" i="8"/>
  <c r="H841" i="8" a="1"/>
  <c r="H777" i="8" a="1"/>
  <c r="F905" i="8"/>
  <c r="F841" i="8"/>
  <c r="H905" i="8" a="1"/>
  <c r="F777" i="8"/>
  <c r="H777" i="8" l="1"/>
  <c r="H841" i="8"/>
  <c r="H905" i="8"/>
  <c r="B907" i="8"/>
  <c r="B843" i="8"/>
  <c r="B779" i="8"/>
  <c r="F906" i="8"/>
  <c r="F778" i="8"/>
  <c r="H778" i="8" a="1"/>
  <c r="H906" i="8" a="1"/>
  <c r="F842" i="8"/>
  <c r="H842" i="8" a="1"/>
  <c r="H906" i="8" l="1"/>
  <c r="H842" i="8"/>
  <c r="H778" i="8"/>
  <c r="B844" i="8"/>
  <c r="B780" i="8"/>
  <c r="B908" i="8"/>
  <c r="F907" i="8"/>
  <c r="H843" i="8" a="1"/>
  <c r="H779" i="8" a="1"/>
  <c r="F779" i="8"/>
  <c r="H907" i="8" a="1"/>
  <c r="F843" i="8"/>
  <c r="H843" i="8" l="1"/>
  <c r="H779" i="8"/>
  <c r="H907" i="8"/>
  <c r="B845" i="8"/>
  <c r="B781" i="8"/>
  <c r="B909" i="8"/>
  <c r="H780" i="8" a="1"/>
  <c r="F780" i="8"/>
  <c r="F844" i="8"/>
  <c r="H844" i="8" a="1"/>
  <c r="H908" i="8" a="1"/>
  <c r="F908" i="8"/>
  <c r="H844" i="8" l="1"/>
  <c r="H780" i="8"/>
  <c r="H908" i="8"/>
  <c r="B910" i="8"/>
  <c r="B846" i="8"/>
  <c r="B782" i="8"/>
  <c r="F909" i="8"/>
  <c r="H845" i="8" a="1"/>
  <c r="F845" i="8"/>
  <c r="F781" i="8"/>
  <c r="H909" i="8" a="1"/>
  <c r="H781" i="8" a="1"/>
  <c r="H845" i="8" l="1"/>
  <c r="H781" i="8"/>
  <c r="H909" i="8"/>
  <c r="B847" i="8"/>
  <c r="B783" i="8"/>
  <c r="B911" i="8"/>
  <c r="H846" i="8" a="1"/>
  <c r="H910" i="8" a="1"/>
  <c r="H782" i="8" a="1"/>
  <c r="F910" i="8"/>
  <c r="F782" i="8"/>
  <c r="F846" i="8"/>
  <c r="H910" i="8" l="1"/>
  <c r="H846" i="8"/>
  <c r="H782" i="8"/>
  <c r="B848" i="8"/>
  <c r="B784" i="8"/>
  <c r="B912" i="8"/>
  <c r="F847" i="8"/>
  <c r="F911" i="8"/>
  <c r="H847" i="8" a="1"/>
  <c r="H911" i="8" a="1"/>
  <c r="F783" i="8"/>
  <c r="H783" i="8" a="1"/>
  <c r="H911" i="8" l="1"/>
  <c r="H783" i="8"/>
  <c r="H847" i="8"/>
  <c r="B849" i="8"/>
  <c r="B785" i="8"/>
  <c r="B913" i="8"/>
  <c r="F912" i="8"/>
  <c r="H848" i="8" a="1"/>
  <c r="F848" i="8"/>
  <c r="H784" i="8" a="1"/>
  <c r="H912" i="8" a="1"/>
  <c r="F784" i="8"/>
  <c r="H848" i="8" l="1"/>
  <c r="H784" i="8"/>
  <c r="H912" i="8"/>
  <c r="B914" i="8"/>
  <c r="B850" i="8"/>
  <c r="B786" i="8"/>
  <c r="H785" i="8" a="1"/>
  <c r="F849" i="8"/>
  <c r="F913" i="8"/>
  <c r="H913" i="8" a="1"/>
  <c r="H849" i="8" a="1"/>
  <c r="F785" i="8"/>
  <c r="H785" i="8" l="1"/>
  <c r="H913" i="8"/>
  <c r="H849" i="8"/>
  <c r="B915" i="8"/>
  <c r="B979" i="8"/>
  <c r="B851" i="8"/>
  <c r="B787" i="8"/>
  <c r="F786" i="8"/>
  <c r="H786" i="8" a="1"/>
  <c r="H914" i="8" a="1"/>
  <c r="H850" i="8" a="1"/>
  <c r="F914" i="8"/>
  <c r="F850" i="8"/>
  <c r="H786" i="8" l="1"/>
  <c r="H914" i="8"/>
  <c r="H850" i="8"/>
  <c r="B980" i="8"/>
  <c r="B852" i="8"/>
  <c r="B788" i="8"/>
  <c r="B916" i="8"/>
  <c r="H851" i="8" a="1"/>
  <c r="F851" i="8"/>
  <c r="F787" i="8"/>
  <c r="H915" i="8" a="1"/>
  <c r="H979" i="8" a="1"/>
  <c r="H787" i="8" a="1"/>
  <c r="F915" i="8"/>
  <c r="F979" i="8"/>
  <c r="H979" i="8" l="1"/>
  <c r="H851" i="8"/>
  <c r="H915" i="8"/>
  <c r="H787" i="8"/>
  <c r="B853" i="8"/>
  <c r="B789" i="8"/>
  <c r="B917" i="8"/>
  <c r="B981" i="8"/>
  <c r="H980" i="8" a="1"/>
  <c r="F916" i="8"/>
  <c r="H916" i="8" a="1"/>
  <c r="H788" i="8" a="1"/>
  <c r="F788" i="8"/>
  <c r="F980" i="8"/>
  <c r="F852" i="8"/>
  <c r="H852" i="8" a="1"/>
  <c r="H916" i="8" l="1"/>
  <c r="H788" i="8"/>
  <c r="H852" i="8"/>
  <c r="H980" i="8"/>
  <c r="B918" i="8"/>
  <c r="B982" i="8"/>
  <c r="B854" i="8"/>
  <c r="B790" i="8"/>
  <c r="H917" i="8" a="1"/>
  <c r="F981" i="8"/>
  <c r="F789" i="8"/>
  <c r="H789" i="8" a="1"/>
  <c r="H853" i="8" a="1"/>
  <c r="F917" i="8"/>
  <c r="H981" i="8" a="1"/>
  <c r="F853" i="8"/>
  <c r="H789" i="8" l="1"/>
  <c r="H981" i="8"/>
  <c r="H853" i="8"/>
  <c r="H917" i="8"/>
  <c r="B919" i="8"/>
  <c r="B983" i="8"/>
  <c r="B855" i="8"/>
  <c r="B791" i="8"/>
  <c r="H918" i="8" a="1"/>
  <c r="F982" i="8"/>
  <c r="F790" i="8"/>
  <c r="H790" i="8" a="1"/>
  <c r="H854" i="8" a="1"/>
  <c r="F918" i="8"/>
  <c r="H982" i="8" a="1"/>
  <c r="F854" i="8"/>
  <c r="H790" i="8" l="1"/>
  <c r="H982" i="8"/>
  <c r="H854" i="8"/>
  <c r="H918" i="8"/>
  <c r="B920" i="8"/>
  <c r="B984" i="8"/>
  <c r="B856" i="8"/>
  <c r="B792" i="8"/>
  <c r="H919" i="8" a="1"/>
  <c r="F983" i="8"/>
  <c r="F791" i="8"/>
  <c r="H791" i="8" a="1"/>
  <c r="H855" i="8" a="1"/>
  <c r="F919" i="8"/>
  <c r="H983" i="8" a="1"/>
  <c r="F855" i="8"/>
  <c r="H791" i="8" l="1"/>
  <c r="H983" i="8"/>
  <c r="H855" i="8"/>
  <c r="H919" i="8"/>
  <c r="B921" i="8"/>
  <c r="B985" i="8"/>
  <c r="B857" i="8"/>
  <c r="B793" i="8"/>
  <c r="H920" i="8" a="1"/>
  <c r="F984" i="8"/>
  <c r="F792" i="8"/>
  <c r="H792" i="8" a="1"/>
  <c r="H856" i="8" a="1"/>
  <c r="F920" i="8"/>
  <c r="H984" i="8" a="1"/>
  <c r="F856" i="8"/>
  <c r="H792" i="8" l="1"/>
  <c r="H984" i="8"/>
  <c r="H856" i="8"/>
  <c r="H920" i="8"/>
  <c r="B922" i="8"/>
  <c r="B986" i="8"/>
  <c r="B858" i="8"/>
  <c r="B794" i="8"/>
  <c r="F857" i="8"/>
  <c r="H793" i="8" a="1"/>
  <c r="H985" i="8" a="1"/>
  <c r="F793" i="8"/>
  <c r="F985" i="8"/>
  <c r="H857" i="8" a="1"/>
  <c r="H921" i="8" a="1"/>
  <c r="F921" i="8"/>
  <c r="H793" i="8" l="1"/>
  <c r="H985" i="8"/>
  <c r="H857" i="8"/>
  <c r="H921" i="8"/>
  <c r="B923" i="8"/>
  <c r="B987" i="8"/>
  <c r="B859" i="8"/>
  <c r="B795" i="8"/>
  <c r="F858" i="8"/>
  <c r="F986" i="8"/>
  <c r="H858" i="8" a="1"/>
  <c r="H986" i="8" a="1"/>
  <c r="H794" i="8" a="1"/>
  <c r="H922" i="8" a="1"/>
  <c r="F794" i="8"/>
  <c r="F922" i="8"/>
  <c r="H794" i="8" l="1"/>
  <c r="H986" i="8"/>
  <c r="H858" i="8"/>
  <c r="H922" i="8"/>
  <c r="B924" i="8"/>
  <c r="B988" i="8"/>
  <c r="B860" i="8"/>
  <c r="B796" i="8"/>
  <c r="F859" i="8"/>
  <c r="H795" i="8" a="1"/>
  <c r="H859" i="8" a="1"/>
  <c r="H987" i="8" a="1"/>
  <c r="F923" i="8"/>
  <c r="F987" i="8"/>
  <c r="H923" i="8" a="1"/>
  <c r="F795" i="8"/>
  <c r="H795" i="8" l="1"/>
  <c r="H987" i="8"/>
  <c r="H859" i="8"/>
  <c r="H923" i="8"/>
  <c r="B925" i="8"/>
  <c r="B989" i="8"/>
  <c r="B861" i="8"/>
  <c r="F924" i="8"/>
  <c r="H796" i="8" a="1"/>
  <c r="H988" i="8" a="1"/>
  <c r="F988" i="8"/>
  <c r="H860" i="8" a="1"/>
  <c r="F796" i="8"/>
  <c r="F860" i="8"/>
  <c r="H924" i="8" a="1"/>
  <c r="H860" i="8" l="1"/>
  <c r="H988" i="8"/>
  <c r="H796" i="8"/>
  <c r="H924" i="8"/>
  <c r="B926" i="8"/>
  <c r="B862" i="8"/>
  <c r="B990" i="8"/>
  <c r="H861" i="8" a="1"/>
  <c r="F861" i="8"/>
  <c r="F989" i="8"/>
  <c r="H989" i="8" a="1"/>
  <c r="F925" i="8"/>
  <c r="H925" i="8" a="1"/>
  <c r="H989" i="8" l="1"/>
  <c r="H861" i="8"/>
  <c r="H925" i="8"/>
  <c r="B991" i="8"/>
  <c r="B927" i="8"/>
  <c r="B863" i="8"/>
  <c r="H926" i="8" a="1"/>
  <c r="H990" i="8" a="1"/>
  <c r="H862" i="8" a="1"/>
  <c r="F862" i="8"/>
  <c r="F990" i="8"/>
  <c r="F926" i="8"/>
  <c r="H990" i="8" l="1"/>
  <c r="H926" i="8"/>
  <c r="H862" i="8"/>
  <c r="B992" i="8"/>
  <c r="B928" i="8"/>
  <c r="B864" i="8"/>
  <c r="H991" i="8" a="1"/>
  <c r="F927" i="8"/>
  <c r="H927" i="8" a="1"/>
  <c r="F991" i="8"/>
  <c r="F863" i="8"/>
  <c r="H863" i="8" a="1"/>
  <c r="H991" i="8" l="1"/>
  <c r="H863" i="8"/>
  <c r="H927" i="8"/>
  <c r="B929" i="8"/>
  <c r="B865" i="8"/>
  <c r="B993" i="8"/>
  <c r="F992" i="8"/>
  <c r="H928" i="8" a="1"/>
  <c r="F864" i="8"/>
  <c r="H864" i="8" a="1"/>
  <c r="H992" i="8" a="1"/>
  <c r="F928" i="8"/>
  <c r="H928" i="8" l="1"/>
  <c r="H864" i="8"/>
  <c r="H992" i="8"/>
  <c r="B994" i="8"/>
  <c r="B930" i="8"/>
  <c r="B866" i="8"/>
  <c r="H993" i="8" a="1"/>
  <c r="H865" i="8" a="1"/>
  <c r="H929" i="8" a="1"/>
  <c r="F865" i="8"/>
  <c r="F929" i="8"/>
  <c r="F993" i="8"/>
  <c r="H865" i="8" l="1"/>
  <c r="H993" i="8"/>
  <c r="H929" i="8"/>
  <c r="B995" i="8"/>
  <c r="B931" i="8"/>
  <c r="B867" i="8"/>
  <c r="H866" i="8" a="1"/>
  <c r="H994" i="8" a="1"/>
  <c r="F866" i="8"/>
  <c r="F994" i="8"/>
  <c r="F930" i="8"/>
  <c r="H930" i="8" a="1"/>
  <c r="H994" i="8" l="1"/>
  <c r="H866" i="8"/>
  <c r="H930" i="8"/>
  <c r="B932" i="8"/>
  <c r="B868" i="8"/>
  <c r="B996" i="8"/>
  <c r="F995" i="8"/>
  <c r="H931" i="8" a="1"/>
  <c r="H867" i="8" a="1"/>
  <c r="F867" i="8"/>
  <c r="H995" i="8" a="1"/>
  <c r="F931" i="8"/>
  <c r="H931" i="8" l="1"/>
  <c r="H867" i="8"/>
  <c r="H995" i="8"/>
  <c r="B933" i="8"/>
  <c r="B869" i="8"/>
  <c r="B997" i="8"/>
  <c r="H996" i="8" a="1"/>
  <c r="H868" i="8" a="1"/>
  <c r="F996" i="8"/>
  <c r="F868" i="8"/>
  <c r="F932" i="8"/>
  <c r="H932" i="8" a="1"/>
  <c r="H932" i="8" l="1"/>
  <c r="H868" i="8"/>
  <c r="H996" i="8"/>
  <c r="B998" i="8"/>
  <c r="B934" i="8"/>
  <c r="B870" i="8"/>
  <c r="F933" i="8"/>
  <c r="F869" i="8"/>
  <c r="H997" i="8" a="1"/>
  <c r="H933" i="8" a="1"/>
  <c r="F997" i="8"/>
  <c r="H869" i="8" a="1"/>
  <c r="H869" i="8" l="1"/>
  <c r="H997" i="8"/>
  <c r="H933" i="8"/>
  <c r="B999" i="8"/>
  <c r="B935" i="8"/>
  <c r="B871" i="8"/>
  <c r="F934" i="8"/>
  <c r="H934" i="8" a="1"/>
  <c r="H998" i="8" a="1"/>
  <c r="F870" i="8"/>
  <c r="F998" i="8"/>
  <c r="H870" i="8" a="1"/>
  <c r="H870" i="8" l="1"/>
  <c r="H998" i="8"/>
  <c r="H934" i="8"/>
  <c r="B1000" i="8"/>
  <c r="B936" i="8"/>
  <c r="B872" i="8"/>
  <c r="F935" i="8"/>
  <c r="F871" i="8"/>
  <c r="H871" i="8" a="1"/>
  <c r="H935" i="8" a="1"/>
  <c r="F999" i="8"/>
  <c r="H999" i="8" a="1"/>
  <c r="H999" i="8" l="1"/>
  <c r="H871" i="8"/>
  <c r="H935" i="8"/>
  <c r="B937" i="8"/>
  <c r="B873" i="8"/>
  <c r="B1001" i="8"/>
  <c r="H1000" i="8" a="1"/>
  <c r="H872" i="8" a="1"/>
  <c r="F1000" i="8"/>
  <c r="F872" i="8"/>
  <c r="F936" i="8"/>
  <c r="H936" i="8" a="1"/>
  <c r="H936" i="8" l="1"/>
  <c r="H872" i="8"/>
  <c r="H1000" i="8"/>
  <c r="B938" i="8"/>
  <c r="B874" i="8"/>
  <c r="B1002" i="8"/>
  <c r="H1001" i="8" a="1"/>
  <c r="F873" i="8"/>
  <c r="F1001" i="8"/>
  <c r="F937" i="8"/>
  <c r="H873" i="8" a="1"/>
  <c r="H937" i="8" a="1"/>
  <c r="H937" i="8" l="1"/>
  <c r="H873" i="8"/>
  <c r="H1001" i="8"/>
  <c r="B1003" i="8"/>
  <c r="B939" i="8"/>
  <c r="B875" i="8"/>
  <c r="H874" i="8" a="1"/>
  <c r="H1002" i="8" a="1"/>
  <c r="F874" i="8"/>
  <c r="F1002" i="8"/>
  <c r="F938" i="8"/>
  <c r="H938" i="8" a="1"/>
  <c r="H1002" i="8" l="1"/>
  <c r="H874" i="8"/>
  <c r="H938" i="8"/>
  <c r="B940" i="8"/>
  <c r="B876" i="8"/>
  <c r="B1004" i="8"/>
  <c r="F875" i="8"/>
  <c r="H1003" i="8" a="1"/>
  <c r="H939" i="8" a="1"/>
  <c r="F939" i="8"/>
  <c r="F1003" i="8"/>
  <c r="H875" i="8" a="1"/>
  <c r="H939" i="8" l="1"/>
  <c r="H875" i="8"/>
  <c r="H1003" i="8"/>
  <c r="B941" i="8"/>
  <c r="B877" i="8"/>
  <c r="B1005" i="8"/>
  <c r="F1004" i="8"/>
  <c r="H940" i="8" a="1"/>
  <c r="F876" i="8"/>
  <c r="H876" i="8" a="1"/>
  <c r="H1004" i="8" a="1"/>
  <c r="F940" i="8"/>
  <c r="H940" i="8" l="1"/>
  <c r="H876" i="8"/>
  <c r="H1004" i="8"/>
  <c r="B1006" i="8"/>
  <c r="B1070" i="8"/>
  <c r="B942" i="8"/>
  <c r="B878" i="8"/>
  <c r="F877" i="8"/>
  <c r="H1005" i="8" a="1"/>
  <c r="H877" i="8" a="1"/>
  <c r="F941" i="8"/>
  <c r="H941" i="8" a="1"/>
  <c r="F1005" i="8"/>
  <c r="H877" i="8" l="1"/>
  <c r="H941" i="8"/>
  <c r="H1005" i="8"/>
  <c r="B1071" i="8"/>
  <c r="B943" i="8"/>
  <c r="B879" i="8"/>
  <c r="B1007" i="8"/>
  <c r="H942" i="8" a="1"/>
  <c r="H878" i="8" a="1"/>
  <c r="F1070" i="8"/>
  <c r="H1006" i="8" a="1"/>
  <c r="H1070" i="8" a="1"/>
  <c r="F942" i="8"/>
  <c r="F1006" i="8"/>
  <c r="F878" i="8"/>
  <c r="H1070" i="8" l="1"/>
  <c r="H942" i="8"/>
  <c r="H878" i="8"/>
  <c r="H1006" i="8"/>
  <c r="B944" i="8"/>
  <c r="B880" i="8"/>
  <c r="B1008" i="8"/>
  <c r="B1072" i="8"/>
  <c r="H943" i="8" a="1"/>
  <c r="H1007" i="8" a="1"/>
  <c r="F1071" i="8"/>
  <c r="F1007" i="8"/>
  <c r="F943" i="8"/>
  <c r="H1071" i="8" a="1"/>
  <c r="H879" i="8" a="1"/>
  <c r="F879" i="8"/>
  <c r="H879" i="8" l="1"/>
  <c r="H1007" i="8"/>
  <c r="H1071" i="8"/>
  <c r="H943" i="8"/>
  <c r="B1073" i="8"/>
  <c r="B945" i="8"/>
  <c r="B881" i="8"/>
  <c r="B1009" i="8"/>
  <c r="H880" i="8" a="1"/>
  <c r="F944" i="8"/>
  <c r="H944" i="8" a="1"/>
  <c r="F1072" i="8"/>
  <c r="F1008" i="8"/>
  <c r="H1072" i="8" a="1"/>
  <c r="F880" i="8"/>
  <c r="H1008" i="8" a="1"/>
  <c r="H944" i="8" l="1"/>
  <c r="H1008" i="8"/>
  <c r="H880" i="8"/>
  <c r="H1072" i="8"/>
  <c r="B946" i="8"/>
  <c r="B882" i="8"/>
  <c r="B1074" i="8"/>
  <c r="B1010" i="8"/>
  <c r="H945" i="8" a="1"/>
  <c r="F1073" i="8"/>
  <c r="H1073" i="8" a="1"/>
  <c r="H1009" i="8" a="1"/>
  <c r="F1009" i="8"/>
  <c r="F945" i="8"/>
  <c r="H881" i="8" a="1"/>
  <c r="F881" i="8"/>
  <c r="H1073" i="8" l="1"/>
  <c r="H881" i="8"/>
  <c r="H1009" i="8"/>
  <c r="H945" i="8"/>
  <c r="B1075" i="8"/>
  <c r="B947" i="8"/>
  <c r="B883" i="8"/>
  <c r="B1011" i="8"/>
  <c r="F946" i="8"/>
  <c r="F882" i="8"/>
  <c r="H946" i="8" a="1"/>
  <c r="H882" i="8" a="1"/>
  <c r="F1010" i="8"/>
  <c r="H1074" i="8" a="1"/>
  <c r="F1074" i="8"/>
  <c r="H1010" i="8" a="1"/>
  <c r="H946" i="8" l="1"/>
  <c r="H882" i="8"/>
  <c r="H1010" i="8"/>
  <c r="H1074" i="8"/>
  <c r="B1012" i="8"/>
  <c r="B1076" i="8"/>
  <c r="B948" i="8"/>
  <c r="B884" i="8"/>
  <c r="F1011" i="8"/>
  <c r="H1075" i="8" a="1"/>
  <c r="F947" i="8"/>
  <c r="F883" i="8"/>
  <c r="F1075" i="8"/>
  <c r="H947" i="8" a="1"/>
  <c r="H883" i="8" a="1"/>
  <c r="H1011" i="8" a="1"/>
  <c r="H1075" i="8" l="1"/>
  <c r="H947" i="8"/>
  <c r="H1011" i="8"/>
  <c r="H883" i="8"/>
  <c r="B949" i="8"/>
  <c r="B885" i="8"/>
  <c r="B1013" i="8"/>
  <c r="B1077" i="8"/>
  <c r="F1076" i="8"/>
  <c r="H1076" i="8" a="1"/>
  <c r="H1012" i="8" a="1"/>
  <c r="F884" i="8"/>
  <c r="H948" i="8" a="1"/>
  <c r="F1012" i="8"/>
  <c r="F948" i="8"/>
  <c r="H884" i="8" a="1"/>
  <c r="H884" i="8" l="1"/>
  <c r="H1012" i="8"/>
  <c r="H1076" i="8"/>
  <c r="H948" i="8"/>
  <c r="B1078" i="8"/>
  <c r="B950" i="8"/>
  <c r="B886" i="8"/>
  <c r="B1014" i="8"/>
  <c r="H1077" i="8" a="1"/>
  <c r="F1013" i="8"/>
  <c r="F949" i="8"/>
  <c r="F885" i="8"/>
  <c r="H885" i="8" a="1"/>
  <c r="H1013" i="8" a="1"/>
  <c r="F1077" i="8"/>
  <c r="H949" i="8" a="1"/>
  <c r="H949" i="8" l="1"/>
  <c r="H1013" i="8"/>
  <c r="H885" i="8"/>
  <c r="H1077" i="8"/>
  <c r="B951" i="8"/>
  <c r="B887" i="8"/>
  <c r="B1079" i="8"/>
  <c r="B1015" i="8"/>
  <c r="F950" i="8"/>
  <c r="F1014" i="8"/>
  <c r="H950" i="8" a="1"/>
  <c r="F886" i="8"/>
  <c r="H886" i="8" a="1"/>
  <c r="H1014" i="8" a="1"/>
  <c r="F1078" i="8"/>
  <c r="H1078" i="8" a="1"/>
  <c r="H1078" i="8" l="1"/>
  <c r="H886" i="8"/>
  <c r="H950" i="8"/>
  <c r="H1014" i="8"/>
  <c r="B1080" i="8"/>
  <c r="B952" i="8"/>
  <c r="B1016" i="8"/>
  <c r="F1079" i="8"/>
  <c r="F951" i="8"/>
  <c r="H951" i="8" a="1"/>
  <c r="H1015" i="8" a="1"/>
  <c r="F1015" i="8"/>
  <c r="F887" i="8"/>
  <c r="H887" i="8" a="1"/>
  <c r="H1079" i="8" a="1"/>
  <c r="H951" i="8" l="1"/>
  <c r="H1079" i="8"/>
  <c r="H1015" i="8"/>
  <c r="H887" i="8"/>
  <c r="B1017" i="8"/>
  <c r="B953" i="8"/>
  <c r="B1081" i="8"/>
  <c r="F1080" i="8"/>
  <c r="H1080" i="8" a="1"/>
  <c r="H952" i="8" a="1"/>
  <c r="H1016" i="8" a="1"/>
  <c r="F1016" i="8"/>
  <c r="F952" i="8"/>
  <c r="H952" i="8" l="1"/>
  <c r="H1016" i="8"/>
  <c r="H1080" i="8"/>
  <c r="B1018" i="8"/>
  <c r="B954" i="8"/>
  <c r="B1082" i="8"/>
  <c r="H1017" i="8" a="1"/>
  <c r="H1081" i="8" a="1"/>
  <c r="H953" i="8" a="1"/>
  <c r="F1017" i="8"/>
  <c r="F953" i="8"/>
  <c r="F1081" i="8"/>
  <c r="H1017" i="8" l="1"/>
  <c r="H953" i="8"/>
  <c r="H1081" i="8"/>
  <c r="B1083" i="8"/>
  <c r="B1019" i="8"/>
  <c r="B955" i="8"/>
  <c r="F1018" i="8"/>
  <c r="H1018" i="8" a="1"/>
  <c r="H1082" i="8" a="1"/>
  <c r="F954" i="8"/>
  <c r="F1082" i="8"/>
  <c r="H954" i="8" a="1"/>
  <c r="H954" i="8" l="1"/>
  <c r="H1082" i="8"/>
  <c r="H1018" i="8"/>
  <c r="B1020" i="8"/>
  <c r="B956" i="8"/>
  <c r="B1084" i="8"/>
  <c r="H955" i="8" a="1"/>
  <c r="F1019" i="8"/>
  <c r="H1019" i="8" a="1"/>
  <c r="H1083" i="8" a="1"/>
  <c r="F1083" i="8"/>
  <c r="F955" i="8"/>
  <c r="H1019" i="8" l="1"/>
  <c r="H955" i="8"/>
  <c r="H1083" i="8"/>
  <c r="B1021" i="8"/>
  <c r="B957" i="8"/>
  <c r="B1085" i="8"/>
  <c r="F1020" i="8"/>
  <c r="H1084" i="8" a="1"/>
  <c r="H956" i="8" a="1"/>
  <c r="F956" i="8"/>
  <c r="F1084" i="8"/>
  <c r="H1020" i="8" a="1"/>
  <c r="H1020" i="8" l="1"/>
  <c r="H956" i="8"/>
  <c r="H1084" i="8"/>
  <c r="B1086" i="8"/>
  <c r="B1022" i="8"/>
  <c r="B958" i="8"/>
  <c r="F1085" i="8"/>
  <c r="F1021" i="8"/>
  <c r="H1085" i="8" a="1"/>
  <c r="H1021" i="8" a="1"/>
  <c r="F957" i="8"/>
  <c r="H957" i="8" a="1"/>
  <c r="H1085" i="8" l="1"/>
  <c r="H957" i="8"/>
  <c r="H1021" i="8"/>
  <c r="B1023" i="8"/>
  <c r="B959" i="8"/>
  <c r="B1087" i="8"/>
  <c r="F958" i="8"/>
  <c r="H1086" i="8" a="1"/>
  <c r="H1022" i="8" a="1"/>
  <c r="H958" i="8" a="1"/>
  <c r="F1086" i="8"/>
  <c r="F1022" i="8"/>
  <c r="H1022" i="8" l="1"/>
  <c r="H958" i="8"/>
  <c r="H1086" i="8"/>
  <c r="B1024" i="8"/>
  <c r="B960" i="8"/>
  <c r="B1088" i="8"/>
  <c r="H1023" i="8" a="1"/>
  <c r="H1087" i="8" a="1"/>
  <c r="H959" i="8" a="1"/>
  <c r="F959" i="8"/>
  <c r="F1087" i="8"/>
  <c r="F1023" i="8"/>
  <c r="H1023" i="8" l="1"/>
  <c r="H959" i="8"/>
  <c r="H1087" i="8"/>
  <c r="B1089" i="8"/>
  <c r="B1025" i="8"/>
  <c r="B961" i="8"/>
  <c r="F1088" i="8"/>
  <c r="F1024" i="8"/>
  <c r="F960" i="8"/>
  <c r="H1088" i="8" a="1"/>
  <c r="H1024" i="8" a="1"/>
  <c r="H960" i="8" a="1"/>
  <c r="H1088" i="8" l="1"/>
  <c r="H960" i="8"/>
  <c r="H1024" i="8"/>
  <c r="B1026" i="8"/>
  <c r="B962" i="8"/>
  <c r="B1090" i="8"/>
  <c r="H1025" i="8" a="1"/>
  <c r="H1089" i="8" a="1"/>
  <c r="F1025" i="8"/>
  <c r="F961" i="8"/>
  <c r="F1089" i="8"/>
  <c r="H961" i="8" a="1"/>
  <c r="H1025" i="8" l="1"/>
  <c r="H961" i="8"/>
  <c r="H1089" i="8"/>
  <c r="B1027" i="8"/>
  <c r="B963" i="8"/>
  <c r="B1091" i="8"/>
  <c r="H1026" i="8" a="1"/>
  <c r="H1090" i="8" a="1"/>
  <c r="H962" i="8" a="1"/>
  <c r="F1026" i="8"/>
  <c r="F1090" i="8"/>
  <c r="F962" i="8"/>
  <c r="H1026" i="8" l="1"/>
  <c r="H962" i="8"/>
  <c r="H1090" i="8"/>
  <c r="B1092" i="8"/>
  <c r="B1028" i="8"/>
  <c r="B964" i="8"/>
  <c r="F1091" i="8"/>
  <c r="F1027" i="8"/>
  <c r="H1091" i="8" a="1"/>
  <c r="H1027" i="8" a="1"/>
  <c r="F963" i="8"/>
  <c r="H963" i="8" a="1"/>
  <c r="H1091" i="8" l="1"/>
  <c r="H963" i="8"/>
  <c r="H1027" i="8"/>
  <c r="B1029" i="8"/>
  <c r="B965" i="8"/>
  <c r="B1093" i="8"/>
  <c r="F964" i="8"/>
  <c r="H1092" i="8" a="1"/>
  <c r="H1028" i="8" a="1"/>
  <c r="H964" i="8" a="1"/>
  <c r="F1028" i="8"/>
  <c r="F1092" i="8"/>
  <c r="H1028" i="8" l="1"/>
  <c r="H964" i="8"/>
  <c r="H1092" i="8"/>
  <c r="B1030" i="8"/>
  <c r="B966" i="8"/>
  <c r="B1094" i="8"/>
  <c r="H1029" i="8" a="1"/>
  <c r="H1093" i="8" a="1"/>
  <c r="H965" i="8" a="1"/>
  <c r="F965" i="8"/>
  <c r="F1093" i="8"/>
  <c r="F1029" i="8"/>
  <c r="H1029" i="8" l="1"/>
  <c r="H965" i="8"/>
  <c r="H1093" i="8"/>
  <c r="B1095" i="8"/>
  <c r="B1031" i="8"/>
  <c r="B967" i="8"/>
  <c r="F1094" i="8"/>
  <c r="F1030" i="8"/>
  <c r="F966" i="8"/>
  <c r="H1094" i="8" a="1"/>
  <c r="H1030" i="8" a="1"/>
  <c r="H966" i="8" a="1"/>
  <c r="H1094" i="8" l="1"/>
  <c r="H966" i="8"/>
  <c r="H1030" i="8"/>
  <c r="B1032" i="8"/>
  <c r="B968" i="8"/>
  <c r="B1096" i="8"/>
  <c r="H967" i="8" a="1"/>
  <c r="H1095" i="8" a="1"/>
  <c r="F1031" i="8"/>
  <c r="F967" i="8"/>
  <c r="F1095" i="8"/>
  <c r="H1031" i="8" a="1"/>
  <c r="H1031" i="8" l="1"/>
  <c r="H967" i="8"/>
  <c r="H1095" i="8"/>
  <c r="B1033" i="8"/>
  <c r="B969" i="8"/>
  <c r="B1161" i="8"/>
  <c r="B1097" i="8"/>
  <c r="F1032" i="8"/>
  <c r="F1096" i="8"/>
  <c r="H1096" i="8" a="1"/>
  <c r="F968" i="8"/>
  <c r="H968" i="8" a="1"/>
  <c r="H1032" i="8" a="1"/>
  <c r="H968" i="8" l="1"/>
  <c r="H1096" i="8"/>
  <c r="H1032" i="8"/>
  <c r="B1162" i="8"/>
  <c r="B1098" i="8"/>
  <c r="B1034" i="8"/>
  <c r="B970" i="8"/>
  <c r="F1161" i="8"/>
  <c r="H1097" i="8" a="1"/>
  <c r="F969" i="8"/>
  <c r="H1033" i="8" a="1"/>
  <c r="H969" i="8" a="1"/>
  <c r="F1033" i="8"/>
  <c r="F1097" i="8"/>
  <c r="H1161" i="8" a="1"/>
  <c r="H1161" i="8" l="1"/>
  <c r="H1033" i="8"/>
  <c r="H1097" i="8"/>
  <c r="H969" i="8"/>
  <c r="B1099" i="8"/>
  <c r="B1035" i="8"/>
  <c r="B971" i="8"/>
  <c r="B1163" i="8"/>
  <c r="H1162" i="8" a="1"/>
  <c r="F1162" i="8"/>
  <c r="H1034" i="8" a="1"/>
  <c r="F1034" i="8"/>
  <c r="H1098" i="8" a="1"/>
  <c r="F970" i="8"/>
  <c r="H970" i="8" a="1"/>
  <c r="F1098" i="8"/>
  <c r="H1098" i="8" l="1"/>
  <c r="H1034" i="8"/>
  <c r="H970" i="8"/>
  <c r="H1162" i="8"/>
  <c r="B1036" i="8"/>
  <c r="B972" i="8"/>
  <c r="B1100" i="8"/>
  <c r="B1164" i="8"/>
  <c r="F1163" i="8"/>
  <c r="H1035" i="8" a="1"/>
  <c r="F971" i="8"/>
  <c r="H1099" i="8" a="1"/>
  <c r="F1099" i="8"/>
  <c r="H1163" i="8" a="1"/>
  <c r="F1035" i="8"/>
  <c r="H971" i="8" a="1"/>
  <c r="H971" i="8" l="1"/>
  <c r="H1099" i="8"/>
  <c r="H1163" i="8"/>
  <c r="H1035" i="8"/>
  <c r="B1165" i="8"/>
  <c r="B1037" i="8"/>
  <c r="B973" i="8"/>
  <c r="B1101" i="8"/>
  <c r="H1164" i="8" a="1"/>
  <c r="H1036" i="8" a="1"/>
  <c r="F1100" i="8"/>
  <c r="F1036" i="8"/>
  <c r="F1164" i="8"/>
  <c r="F972" i="8"/>
  <c r="H972" i="8" a="1"/>
  <c r="H1100" i="8" a="1"/>
  <c r="H1036" i="8" l="1"/>
  <c r="H1100" i="8"/>
  <c r="H972" i="8"/>
  <c r="H1164" i="8"/>
  <c r="B1038" i="8"/>
  <c r="B974" i="8"/>
  <c r="B1166" i="8"/>
  <c r="B1102" i="8"/>
  <c r="F1037" i="8"/>
  <c r="F1165" i="8"/>
  <c r="F973" i="8"/>
  <c r="F1101" i="8"/>
  <c r="H1101" i="8" a="1"/>
  <c r="H973" i="8" a="1"/>
  <c r="H1037" i="8" a="1"/>
  <c r="H1165" i="8" a="1"/>
  <c r="H1165" i="8" l="1"/>
  <c r="H973" i="8"/>
  <c r="H1101" i="8"/>
  <c r="H1037" i="8"/>
  <c r="B1167" i="8"/>
  <c r="B1039" i="8"/>
  <c r="B975" i="8"/>
  <c r="B1103" i="8"/>
  <c r="H1166" i="8" a="1"/>
  <c r="H974" i="8" a="1"/>
  <c r="H1102" i="8" a="1"/>
  <c r="F1102" i="8"/>
  <c r="F974" i="8"/>
  <c r="H1038" i="8" a="1"/>
  <c r="F1166" i="8"/>
  <c r="F1038" i="8"/>
  <c r="H1038" i="8" l="1"/>
  <c r="H974" i="8"/>
  <c r="H1102" i="8"/>
  <c r="H1166" i="8"/>
  <c r="B1104" i="8"/>
  <c r="B1168" i="8"/>
  <c r="B1040" i="8"/>
  <c r="B976" i="8"/>
  <c r="F1103" i="8"/>
  <c r="H1039" i="8" a="1"/>
  <c r="F975" i="8"/>
  <c r="H1103" i="8" a="1"/>
  <c r="H975" i="8" a="1"/>
  <c r="F1167" i="8"/>
  <c r="F1039" i="8"/>
  <c r="H1167" i="8" a="1"/>
  <c r="H1167" i="8" l="1"/>
  <c r="H1039" i="8"/>
  <c r="H1103" i="8"/>
  <c r="H975" i="8"/>
  <c r="B1041" i="8"/>
  <c r="B977" i="8"/>
  <c r="B1105" i="8"/>
  <c r="B1169" i="8"/>
  <c r="F1168" i="8"/>
  <c r="H1040" i="8" a="1"/>
  <c r="F976" i="8"/>
  <c r="H1104" i="8" a="1"/>
  <c r="F1104" i="8"/>
  <c r="H1168" i="8" a="1"/>
  <c r="F1040" i="8"/>
  <c r="H976" i="8" a="1"/>
  <c r="H976" i="8" l="1"/>
  <c r="H1104" i="8"/>
  <c r="H1168" i="8"/>
  <c r="H1040" i="8"/>
  <c r="B1170" i="8"/>
  <c r="B1042" i="8"/>
  <c r="B978" i="8"/>
  <c r="B1106" i="8"/>
  <c r="H1169" i="8" a="1"/>
  <c r="H1041" i="8" a="1"/>
  <c r="F1041" i="8"/>
  <c r="F1105" i="8"/>
  <c r="F1169" i="8"/>
  <c r="F977" i="8"/>
  <c r="H977" i="8" a="1"/>
  <c r="H1105" i="8" a="1"/>
  <c r="H1041" i="8" l="1"/>
  <c r="H1105" i="8"/>
  <c r="H977" i="8"/>
  <c r="H1169" i="8"/>
  <c r="B1043" i="8"/>
  <c r="B1171" i="8"/>
  <c r="B1107" i="8"/>
  <c r="F1042" i="8"/>
  <c r="H1106" i="8" a="1"/>
  <c r="H978" i="8" a="1"/>
  <c r="H1042" i="8" a="1"/>
  <c r="F978" i="8"/>
  <c r="F1170" i="8"/>
  <c r="F1106" i="8"/>
  <c r="H1170" i="8" a="1"/>
  <c r="H1170" i="8" l="1"/>
  <c r="H1042" i="8"/>
  <c r="H978" i="8"/>
  <c r="H1106" i="8"/>
  <c r="B1172" i="8"/>
  <c r="B1108" i="8"/>
  <c r="B1044" i="8"/>
  <c r="H1043" i="8" a="1"/>
  <c r="F1107" i="8"/>
  <c r="H1171" i="8" a="1"/>
  <c r="F1171" i="8"/>
  <c r="F1043" i="8"/>
  <c r="H1107" i="8" a="1"/>
  <c r="H1043" i="8" l="1"/>
  <c r="H1171" i="8"/>
  <c r="H1107" i="8"/>
  <c r="B1109" i="8"/>
  <c r="B1045" i="8"/>
  <c r="B1173" i="8"/>
  <c r="H1108" i="8" a="1"/>
  <c r="F1044" i="8"/>
  <c r="H1044" i="8" a="1"/>
  <c r="H1172" i="8" a="1"/>
  <c r="F1172" i="8"/>
  <c r="F1108" i="8"/>
  <c r="H1108" i="8" l="1"/>
  <c r="H1044" i="8"/>
  <c r="H1172" i="8"/>
  <c r="B1174" i="8"/>
  <c r="B1110" i="8"/>
  <c r="B1046" i="8"/>
  <c r="H1173" i="8" a="1"/>
  <c r="H1045" i="8" a="1"/>
  <c r="F1045" i="8"/>
  <c r="F1173" i="8"/>
  <c r="F1109" i="8"/>
  <c r="H1109" i="8" a="1"/>
  <c r="H1045" i="8" l="1"/>
  <c r="H1173" i="8"/>
  <c r="H1109" i="8"/>
  <c r="B1111" i="8"/>
  <c r="B1047" i="8"/>
  <c r="B1175" i="8"/>
  <c r="H1046" i="8" a="1"/>
  <c r="H1110" i="8" a="1"/>
  <c r="F1046" i="8"/>
  <c r="F1110" i="8"/>
  <c r="F1174" i="8"/>
  <c r="H1174" i="8" a="1"/>
  <c r="H1110" i="8" l="1"/>
  <c r="H1046" i="8"/>
  <c r="H1174" i="8"/>
  <c r="B1112" i="8"/>
  <c r="B1048" i="8"/>
  <c r="B1176" i="8"/>
  <c r="H1111" i="8" a="1"/>
  <c r="H1175" i="8" a="1"/>
  <c r="H1047" i="8" a="1"/>
  <c r="F1111" i="8"/>
  <c r="F1175" i="8"/>
  <c r="F1047" i="8"/>
  <c r="H1111" i="8" l="1"/>
  <c r="H1047" i="8"/>
  <c r="H1175" i="8"/>
  <c r="B1177" i="8"/>
  <c r="B1113" i="8"/>
  <c r="B1049" i="8"/>
  <c r="F1176" i="8"/>
  <c r="F1112" i="8"/>
  <c r="H1176" i="8" a="1"/>
  <c r="H1112" i="8" a="1"/>
  <c r="F1048" i="8"/>
  <c r="H1048" i="8" a="1"/>
  <c r="H1176" i="8" l="1"/>
  <c r="H1048" i="8"/>
  <c r="H1112" i="8"/>
  <c r="B1114" i="8"/>
  <c r="B1050" i="8"/>
  <c r="B1178" i="8"/>
  <c r="H1113" i="8" a="1"/>
  <c r="H1177" i="8" a="1"/>
  <c r="F1049" i="8"/>
  <c r="F1113" i="8"/>
  <c r="F1177" i="8"/>
  <c r="H1049" i="8" a="1"/>
  <c r="H1113" i="8" l="1"/>
  <c r="H1049" i="8"/>
  <c r="H1177" i="8"/>
  <c r="B1115" i="8"/>
  <c r="B1051" i="8"/>
  <c r="B1179" i="8"/>
  <c r="F1050" i="8"/>
  <c r="F1114" i="8"/>
  <c r="H1114" i="8" a="1"/>
  <c r="H1050" i="8" a="1"/>
  <c r="H1178" i="8" a="1"/>
  <c r="F1178" i="8"/>
  <c r="H1114" i="8" l="1"/>
  <c r="H1050" i="8"/>
  <c r="H1178" i="8"/>
  <c r="B1180" i="8"/>
  <c r="B1116" i="8"/>
  <c r="B1052" i="8"/>
  <c r="F1179" i="8"/>
  <c r="F1115" i="8"/>
  <c r="H1179" i="8" a="1"/>
  <c r="H1115" i="8" a="1"/>
  <c r="F1051" i="8"/>
  <c r="H1051" i="8" a="1"/>
  <c r="H1179" i="8" l="1"/>
  <c r="H1051" i="8"/>
  <c r="H1115" i="8"/>
  <c r="B1117" i="8"/>
  <c r="B1053" i="8"/>
  <c r="B1181" i="8"/>
  <c r="H1116" i="8" a="1"/>
  <c r="H1180" i="8" a="1"/>
  <c r="F1116" i="8"/>
  <c r="F1052" i="8"/>
  <c r="F1180" i="8"/>
  <c r="H1052" i="8" a="1"/>
  <c r="H1116" i="8" l="1"/>
  <c r="H1052" i="8"/>
  <c r="H1180" i="8"/>
  <c r="B1118" i="8"/>
  <c r="B1054" i="8"/>
  <c r="B1182" i="8"/>
  <c r="F1117" i="8"/>
  <c r="H1181" i="8" a="1"/>
  <c r="H1117" i="8" a="1"/>
  <c r="H1053" i="8" a="1"/>
  <c r="F1181" i="8"/>
  <c r="F1053" i="8"/>
  <c r="H1117" i="8" l="1"/>
  <c r="H1053" i="8"/>
  <c r="H1181" i="8"/>
  <c r="B1183" i="8"/>
  <c r="B1119" i="8"/>
  <c r="B1055" i="8"/>
  <c r="F1182" i="8"/>
  <c r="F1118" i="8"/>
  <c r="H1054" i="8" a="1"/>
  <c r="H1118" i="8" a="1"/>
  <c r="F1054" i="8"/>
  <c r="H1182" i="8" a="1"/>
  <c r="H1054" i="8" l="1"/>
  <c r="H1182" i="8"/>
  <c r="H1118" i="8"/>
  <c r="B1120" i="8"/>
  <c r="B1056" i="8"/>
  <c r="B1184" i="8"/>
  <c r="H1119" i="8" a="1"/>
  <c r="H1183" i="8" a="1"/>
  <c r="F1055" i="8"/>
  <c r="F1119" i="8"/>
  <c r="F1183" i="8"/>
  <c r="H1055" i="8" a="1"/>
  <c r="H1119" i="8" l="1"/>
  <c r="H1055" i="8"/>
  <c r="H1183" i="8"/>
  <c r="B1121" i="8"/>
  <c r="B1057" i="8"/>
  <c r="B1185" i="8"/>
  <c r="F1184" i="8"/>
  <c r="H1184" i="8" a="1"/>
  <c r="F1120" i="8"/>
  <c r="F1056" i="8"/>
  <c r="H1056" i="8" a="1"/>
  <c r="H1120" i="8" a="1"/>
  <c r="H1056" i="8" l="1"/>
  <c r="H1120" i="8"/>
  <c r="H1184" i="8"/>
  <c r="B1186" i="8"/>
  <c r="B1122" i="8"/>
  <c r="B1058" i="8"/>
  <c r="F1185" i="8"/>
  <c r="F1121" i="8"/>
  <c r="F1057" i="8"/>
  <c r="H1057" i="8" a="1"/>
  <c r="H1121" i="8" a="1"/>
  <c r="H1185" i="8" a="1"/>
  <c r="H1057" i="8" l="1"/>
  <c r="H1121" i="8"/>
  <c r="H1185" i="8"/>
  <c r="B1123" i="8"/>
  <c r="B1059" i="8"/>
  <c r="B1187" i="8"/>
  <c r="F1058" i="8"/>
  <c r="H1186" i="8" a="1"/>
  <c r="H1122" i="8" a="1"/>
  <c r="F1122" i="8"/>
  <c r="F1186" i="8"/>
  <c r="H1058" i="8" a="1"/>
  <c r="H1122" i="8" l="1"/>
  <c r="H1058" i="8"/>
  <c r="H1186" i="8"/>
  <c r="B1124" i="8"/>
  <c r="B1060" i="8"/>
  <c r="B1252" i="8"/>
  <c r="B1188" i="8"/>
  <c r="F1123" i="8"/>
  <c r="F1187" i="8"/>
  <c r="F1059" i="8"/>
  <c r="H1059" i="8" a="1"/>
  <c r="H1123" i="8" a="1"/>
  <c r="H1187" i="8" a="1"/>
  <c r="H1059" i="8" l="1"/>
  <c r="H1187" i="8"/>
  <c r="H1123" i="8"/>
  <c r="B1189" i="8"/>
  <c r="B1253" i="8"/>
  <c r="B1125" i="8"/>
  <c r="B1061" i="8"/>
  <c r="F1124" i="8"/>
  <c r="F1060" i="8"/>
  <c r="H1124" i="8" a="1"/>
  <c r="H1252" i="8" a="1"/>
  <c r="F1188" i="8"/>
  <c r="F1252" i="8"/>
  <c r="H1060" i="8" a="1"/>
  <c r="H1188" i="8" a="1"/>
  <c r="H1124" i="8" l="1"/>
  <c r="H1188" i="8"/>
  <c r="H1060" i="8"/>
  <c r="H1252" i="8"/>
  <c r="B1254" i="8"/>
  <c r="B1190" i="8"/>
  <c r="B1126" i="8"/>
  <c r="B1062" i="8"/>
  <c r="F1125" i="8"/>
  <c r="H1189" i="8" a="1"/>
  <c r="H1061" i="8" a="1"/>
  <c r="H1125" i="8" a="1"/>
  <c r="F1189" i="8"/>
  <c r="F1253" i="8"/>
  <c r="F1061" i="8"/>
  <c r="H1253" i="8" a="1"/>
  <c r="H1253" i="8" l="1"/>
  <c r="H1189" i="8"/>
  <c r="H1125" i="8"/>
  <c r="H1061" i="8"/>
  <c r="B1127" i="8"/>
  <c r="B1063" i="8"/>
  <c r="B1255" i="8"/>
  <c r="B1191" i="8"/>
  <c r="F1126" i="8"/>
  <c r="F1254" i="8"/>
  <c r="H1254" i="8" a="1"/>
  <c r="H1126" i="8" a="1"/>
  <c r="H1062" i="8" a="1"/>
  <c r="F1062" i="8"/>
  <c r="H1190" i="8" a="1"/>
  <c r="F1190" i="8"/>
  <c r="H1190" i="8" l="1"/>
  <c r="H1254" i="8"/>
  <c r="H1126" i="8"/>
  <c r="H1062" i="8"/>
  <c r="B1256" i="8"/>
  <c r="B1128" i="8"/>
  <c r="B1064" i="8"/>
  <c r="B1192" i="8"/>
  <c r="H1255" i="8" a="1"/>
  <c r="F1127" i="8"/>
  <c r="H1191" i="8" a="1"/>
  <c r="F1255" i="8"/>
  <c r="F1063" i="8"/>
  <c r="F1191" i="8"/>
  <c r="H1127" i="8" a="1"/>
  <c r="H1063" i="8" a="1"/>
  <c r="H1127" i="8" l="1"/>
  <c r="H1063" i="8"/>
  <c r="H1191" i="8"/>
  <c r="H1255" i="8"/>
  <c r="B1193" i="8"/>
  <c r="B1257" i="8"/>
  <c r="B1129" i="8"/>
  <c r="B1065" i="8"/>
  <c r="F1192" i="8"/>
  <c r="H1128" i="8" a="1"/>
  <c r="H1192" i="8" a="1"/>
  <c r="H1064" i="8" a="1"/>
  <c r="F1128" i="8"/>
  <c r="F1064" i="8"/>
  <c r="H1256" i="8" a="1"/>
  <c r="F1256" i="8"/>
  <c r="H1256" i="8" l="1"/>
  <c r="H1128" i="8"/>
  <c r="H1064" i="8"/>
  <c r="H1192" i="8"/>
  <c r="B1130" i="8"/>
  <c r="B1066" i="8"/>
  <c r="B1194" i="8"/>
  <c r="B1258" i="8"/>
  <c r="F1065" i="8"/>
  <c r="H1193" i="8" a="1"/>
  <c r="H1129" i="8" a="1"/>
  <c r="F1129" i="8"/>
  <c r="H1257" i="8" a="1"/>
  <c r="F1257" i="8"/>
  <c r="H1065" i="8" a="1"/>
  <c r="F1193" i="8"/>
  <c r="H1065" i="8" l="1"/>
  <c r="H1193" i="8"/>
  <c r="H1257" i="8"/>
  <c r="H1129" i="8"/>
  <c r="B1259" i="8"/>
  <c r="B1131" i="8"/>
  <c r="B1067" i="8"/>
  <c r="B1195" i="8"/>
  <c r="H1258" i="8" a="1"/>
  <c r="H1130" i="8" a="1"/>
  <c r="F1130" i="8"/>
  <c r="F1194" i="8"/>
  <c r="F1258" i="8"/>
  <c r="F1066" i="8"/>
  <c r="H1066" i="8" a="1"/>
  <c r="H1194" i="8" a="1"/>
  <c r="H1130" i="8" l="1"/>
  <c r="H1194" i="8"/>
  <c r="H1066" i="8"/>
  <c r="H1258" i="8"/>
  <c r="B1132" i="8"/>
  <c r="B1068" i="8"/>
  <c r="B1260" i="8"/>
  <c r="B1196" i="8"/>
  <c r="F1131" i="8"/>
  <c r="H1259" i="8" a="1"/>
  <c r="F1195" i="8"/>
  <c r="F1067" i="8"/>
  <c r="H1195" i="8" a="1"/>
  <c r="H1131" i="8" a="1"/>
  <c r="F1259" i="8"/>
  <c r="H1067" i="8" a="1"/>
  <c r="H1259" i="8" l="1"/>
  <c r="H1067" i="8"/>
  <c r="H1195" i="8"/>
  <c r="H1131" i="8"/>
  <c r="B1261" i="8"/>
  <c r="B1133" i="8"/>
  <c r="B1069" i="8"/>
  <c r="B1197" i="8"/>
  <c r="H1260" i="8" a="1"/>
  <c r="H1132" i="8" a="1"/>
  <c r="H1196" i="8" a="1"/>
  <c r="F1196" i="8"/>
  <c r="F1068" i="8"/>
  <c r="F1132" i="8"/>
  <c r="F1260" i="8"/>
  <c r="H1068" i="8" a="1"/>
  <c r="H1132" i="8" l="1"/>
  <c r="H1196" i="8"/>
  <c r="H1068" i="8"/>
  <c r="H1260" i="8"/>
  <c r="B1198" i="8"/>
  <c r="B1262" i="8"/>
  <c r="B1134" i="8"/>
  <c r="H1133" i="8" a="1"/>
  <c r="F1133" i="8"/>
  <c r="H1261" i="8" a="1"/>
  <c r="H1197" i="8" a="1"/>
  <c r="F1069" i="8"/>
  <c r="F1261" i="8"/>
  <c r="F1197" i="8"/>
  <c r="H1069" i="8" a="1"/>
  <c r="H1133" i="8" l="1"/>
  <c r="H1197" i="8"/>
  <c r="H1261" i="8"/>
  <c r="H1069" i="8"/>
  <c r="B1199" i="8"/>
  <c r="B1135" i="8"/>
  <c r="B1263" i="8"/>
  <c r="F1198" i="8"/>
  <c r="F1262" i="8"/>
  <c r="H1262" i="8" a="1"/>
  <c r="H1134" i="8" a="1"/>
  <c r="H1198" i="8" a="1"/>
  <c r="F1134" i="8"/>
  <c r="H1198" i="8" l="1"/>
  <c r="H1134" i="8"/>
  <c r="H1262" i="8"/>
  <c r="B1200" i="8"/>
  <c r="B1136" i="8"/>
  <c r="B1264" i="8"/>
  <c r="H1199" i="8" a="1"/>
  <c r="H1263" i="8" a="1"/>
  <c r="H1135" i="8" a="1"/>
  <c r="F1199" i="8"/>
  <c r="F1263" i="8"/>
  <c r="F1135" i="8"/>
  <c r="H1199" i="8" l="1"/>
  <c r="H1135" i="8"/>
  <c r="H1263" i="8"/>
  <c r="B1265" i="8"/>
  <c r="B1201" i="8"/>
  <c r="B1137" i="8"/>
  <c r="F1264" i="8"/>
  <c r="F1200" i="8"/>
  <c r="H1136" i="8" a="1"/>
  <c r="H1264" i="8" a="1"/>
  <c r="H1200" i="8" a="1"/>
  <c r="F1136" i="8"/>
  <c r="H1264" i="8" l="1"/>
  <c r="H1136" i="8"/>
  <c r="H1200" i="8"/>
  <c r="B1202" i="8"/>
  <c r="B1138" i="8"/>
  <c r="B1266" i="8"/>
  <c r="H1201" i="8" a="1"/>
  <c r="H1265" i="8" a="1"/>
  <c r="F1137" i="8"/>
  <c r="F1201" i="8"/>
  <c r="F1265" i="8"/>
  <c r="H1137" i="8" a="1"/>
  <c r="H1201" i="8" l="1"/>
  <c r="H1137" i="8"/>
  <c r="H1265" i="8"/>
  <c r="B1203" i="8"/>
  <c r="B1139" i="8"/>
  <c r="B1267" i="8"/>
  <c r="H1202" i="8" a="1"/>
  <c r="F1138" i="8"/>
  <c r="H1138" i="8" a="1"/>
  <c r="H1266" i="8" a="1"/>
  <c r="F1266" i="8"/>
  <c r="F1202" i="8"/>
  <c r="H1202" i="8" l="1"/>
  <c r="H1138" i="8"/>
  <c r="H1266" i="8"/>
  <c r="B1268" i="8"/>
  <c r="B1204" i="8"/>
  <c r="B1140" i="8"/>
  <c r="F1267" i="8"/>
  <c r="F1203" i="8"/>
  <c r="H1267" i="8" a="1"/>
  <c r="H1203" i="8" a="1"/>
  <c r="F1139" i="8"/>
  <c r="H1139" i="8" a="1"/>
  <c r="H1267" i="8" l="1"/>
  <c r="H1139" i="8"/>
  <c r="H1203" i="8"/>
  <c r="B1205" i="8"/>
  <c r="B1141" i="8"/>
  <c r="B1269" i="8"/>
  <c r="H1204" i="8" a="1"/>
  <c r="H1268" i="8" a="1"/>
  <c r="F1140" i="8"/>
  <c r="F1204" i="8"/>
  <c r="F1268" i="8"/>
  <c r="H1140" i="8" a="1"/>
  <c r="H1204" i="8" l="1"/>
  <c r="H1140" i="8"/>
  <c r="H1268" i="8"/>
  <c r="B1206" i="8"/>
  <c r="B1142" i="8"/>
  <c r="B1270" i="8"/>
  <c r="H1205" i="8" a="1"/>
  <c r="F1141" i="8"/>
  <c r="H1141" i="8" a="1"/>
  <c r="H1269" i="8" a="1"/>
  <c r="F1269" i="8"/>
  <c r="F1205" i="8"/>
  <c r="H1205" i="8" l="1"/>
  <c r="H1141" i="8"/>
  <c r="H1269" i="8"/>
  <c r="B1271" i="8"/>
  <c r="B1207" i="8"/>
  <c r="B1143" i="8"/>
  <c r="F1270" i="8"/>
  <c r="F1206" i="8"/>
  <c r="H1270" i="8" a="1"/>
  <c r="H1206" i="8" a="1"/>
  <c r="F1142" i="8"/>
  <c r="H1142" i="8" a="1"/>
  <c r="H1270" i="8" l="1"/>
  <c r="H1142" i="8"/>
  <c r="H1206" i="8"/>
  <c r="B1208" i="8"/>
  <c r="B1144" i="8"/>
  <c r="B1272" i="8"/>
  <c r="H1207" i="8" a="1"/>
  <c r="H1271" i="8" a="1"/>
  <c r="F1207" i="8"/>
  <c r="F1143" i="8"/>
  <c r="F1271" i="8"/>
  <c r="H1143" i="8" a="1"/>
  <c r="H1207" i="8" l="1"/>
  <c r="H1143" i="8"/>
  <c r="H1271" i="8"/>
  <c r="B1209" i="8"/>
  <c r="B1145" i="8"/>
  <c r="B1273" i="8"/>
  <c r="H1208" i="8" a="1"/>
  <c r="H1144" i="8" a="1"/>
  <c r="F1208" i="8"/>
  <c r="F1144" i="8"/>
  <c r="H1272" i="8" a="1"/>
  <c r="F1272" i="8"/>
  <c r="H1208" i="8" l="1"/>
  <c r="H1144" i="8"/>
  <c r="H1272" i="8"/>
  <c r="B1274" i="8"/>
  <c r="B1210" i="8"/>
  <c r="B1146" i="8"/>
  <c r="F1273" i="8"/>
  <c r="F1209" i="8"/>
  <c r="H1273" i="8" a="1"/>
  <c r="H1209" i="8" a="1"/>
  <c r="F1145" i="8"/>
  <c r="H1145" i="8" a="1"/>
  <c r="H1273" i="8" l="1"/>
  <c r="H1145" i="8"/>
  <c r="H1209" i="8"/>
  <c r="B1211" i="8"/>
  <c r="B1147" i="8"/>
  <c r="B1275" i="8"/>
  <c r="H1210" i="8" a="1"/>
  <c r="H1274" i="8" a="1"/>
  <c r="F1210" i="8"/>
  <c r="F1146" i="8"/>
  <c r="F1274" i="8"/>
  <c r="H1146" i="8" a="1"/>
  <c r="H1210" i="8" l="1"/>
  <c r="H1146" i="8"/>
  <c r="H1274" i="8"/>
  <c r="B1212" i="8"/>
  <c r="B1148" i="8"/>
  <c r="B1276" i="8"/>
  <c r="F1211" i="8"/>
  <c r="H1275" i="8" a="1"/>
  <c r="H1147" i="8" a="1"/>
  <c r="F1147" i="8"/>
  <c r="F1275" i="8"/>
  <c r="H1211" i="8" a="1"/>
  <c r="H1211" i="8" l="1"/>
  <c r="H1147" i="8"/>
  <c r="H1275" i="8"/>
  <c r="B1277" i="8"/>
  <c r="B1213" i="8"/>
  <c r="B1149" i="8"/>
  <c r="F1276" i="8"/>
  <c r="F1212" i="8"/>
  <c r="H1148" i="8" a="1"/>
  <c r="H1212" i="8" a="1"/>
  <c r="F1148" i="8"/>
  <c r="H1276" i="8" a="1"/>
  <c r="H1148" i="8" l="1"/>
  <c r="H1276" i="8"/>
  <c r="H1212" i="8"/>
  <c r="B1214" i="8"/>
  <c r="B1150" i="8"/>
  <c r="B1278" i="8"/>
  <c r="H1213" i="8" a="1"/>
  <c r="H1149" i="8" a="1"/>
  <c r="F1149" i="8"/>
  <c r="H1277" i="8" a="1"/>
  <c r="F1213" i="8"/>
  <c r="F1277" i="8"/>
  <c r="H1213" i="8" l="1"/>
  <c r="H1149" i="8"/>
  <c r="H1277" i="8"/>
  <c r="B1215" i="8"/>
  <c r="B1151" i="8"/>
  <c r="B1343" i="8"/>
  <c r="B1279" i="8"/>
  <c r="F1214" i="8"/>
  <c r="F1278" i="8"/>
  <c r="H1278" i="8" a="1"/>
  <c r="F1150" i="8"/>
  <c r="H1150" i="8" a="1"/>
  <c r="H1214" i="8" a="1"/>
  <c r="H1150" i="8" l="1"/>
  <c r="H1278" i="8"/>
  <c r="H1214" i="8"/>
  <c r="B1344" i="8"/>
  <c r="B1280" i="8"/>
  <c r="B1216" i="8"/>
  <c r="B1152" i="8"/>
  <c r="F1343" i="8"/>
  <c r="H1279" i="8" a="1"/>
  <c r="F1151" i="8"/>
  <c r="H1215" i="8" a="1"/>
  <c r="H1151" i="8" a="1"/>
  <c r="F1215" i="8"/>
  <c r="F1279" i="8"/>
  <c r="H1343" i="8" a="1"/>
  <c r="H1343" i="8" l="1"/>
  <c r="H1215" i="8"/>
  <c r="H1279" i="8"/>
  <c r="H1151" i="8"/>
  <c r="B1281" i="8"/>
  <c r="B1217" i="8"/>
  <c r="B1153" i="8"/>
  <c r="B1345" i="8"/>
  <c r="H1344" i="8" a="1"/>
  <c r="F1152" i="8"/>
  <c r="H1216" i="8" a="1"/>
  <c r="F1216" i="8"/>
  <c r="F1280" i="8"/>
  <c r="F1344" i="8"/>
  <c r="H1152" i="8" a="1"/>
  <c r="H1280" i="8" a="1"/>
  <c r="H1216" i="8" l="1"/>
  <c r="H1280" i="8"/>
  <c r="H1152" i="8"/>
  <c r="H1344" i="8"/>
  <c r="B1218" i="8"/>
  <c r="B1154" i="8"/>
  <c r="B1282" i="8"/>
  <c r="B1346" i="8"/>
  <c r="F1345" i="8"/>
  <c r="H1281" i="8" a="1"/>
  <c r="H1345" i="8" a="1"/>
  <c r="F1153" i="8"/>
  <c r="H1153" i="8" a="1"/>
  <c r="F1281" i="8"/>
  <c r="H1217" i="8" a="1"/>
  <c r="F1217" i="8"/>
  <c r="H1153" i="8" l="1"/>
  <c r="H1281" i="8"/>
  <c r="H1345" i="8"/>
  <c r="H1217" i="8"/>
  <c r="B1347" i="8"/>
  <c r="B1219" i="8"/>
  <c r="B1155" i="8"/>
  <c r="B1283" i="8"/>
  <c r="H1346" i="8" a="1"/>
  <c r="H1218" i="8" a="1"/>
  <c r="F1282" i="8"/>
  <c r="F1218" i="8"/>
  <c r="F1346" i="8"/>
  <c r="F1154" i="8"/>
  <c r="H1154" i="8" a="1"/>
  <c r="H1282" i="8" a="1"/>
  <c r="H1218" i="8" l="1"/>
  <c r="H1282" i="8"/>
  <c r="H1154" i="8"/>
  <c r="H1346" i="8"/>
  <c r="B1220" i="8"/>
  <c r="B1156" i="8"/>
  <c r="B1348" i="8"/>
  <c r="B1284" i="8"/>
  <c r="F1219" i="8"/>
  <c r="H1347" i="8" a="1"/>
  <c r="F1283" i="8"/>
  <c r="F1155" i="8"/>
  <c r="H1155" i="8" a="1"/>
  <c r="H1283" i="8" a="1"/>
  <c r="H1219" i="8" a="1"/>
  <c r="F1347" i="8"/>
  <c r="H1347" i="8" l="1"/>
  <c r="H1155" i="8"/>
  <c r="H1283" i="8"/>
  <c r="H1219" i="8"/>
  <c r="B1349" i="8"/>
  <c r="B1221" i="8"/>
  <c r="B1157" i="8"/>
  <c r="B1285" i="8"/>
  <c r="H1348" i="8" a="1"/>
  <c r="H1156" i="8" a="1"/>
  <c r="F1284" i="8"/>
  <c r="H1284" i="8" a="1"/>
  <c r="H1220" i="8" a="1"/>
  <c r="F1220" i="8"/>
  <c r="F1156" i="8"/>
  <c r="F1348" i="8"/>
  <c r="H1220" i="8" l="1"/>
  <c r="H1156" i="8"/>
  <c r="H1284" i="8"/>
  <c r="H1348" i="8"/>
  <c r="B1286" i="8"/>
  <c r="B1350" i="8"/>
  <c r="B1222" i="8"/>
  <c r="B1158" i="8"/>
  <c r="F1285" i="8"/>
  <c r="H1221" i="8" a="1"/>
  <c r="H1285" i="8" a="1"/>
  <c r="F1221" i="8"/>
  <c r="H1349" i="8" a="1"/>
  <c r="F1157" i="8"/>
  <c r="F1349" i="8"/>
  <c r="H1157" i="8" a="1"/>
  <c r="H1349" i="8" l="1"/>
  <c r="H1221" i="8"/>
  <c r="H1285" i="8"/>
  <c r="H1157" i="8"/>
  <c r="B1223" i="8"/>
  <c r="B1159" i="8"/>
  <c r="B1287" i="8"/>
  <c r="B1351" i="8"/>
  <c r="F1350" i="8"/>
  <c r="F1158" i="8"/>
  <c r="F1222" i="8"/>
  <c r="F1286" i="8"/>
  <c r="H1286" i="8" a="1"/>
  <c r="H1158" i="8" a="1"/>
  <c r="H1222" i="8" a="1"/>
  <c r="H1350" i="8" a="1"/>
  <c r="H1158" i="8" l="1"/>
  <c r="H1286" i="8"/>
  <c r="H1350" i="8"/>
  <c r="H1222" i="8"/>
  <c r="B1352" i="8"/>
  <c r="B1224" i="8"/>
  <c r="B1160" i="8"/>
  <c r="B1288" i="8"/>
  <c r="H1351" i="8" a="1"/>
  <c r="F1351" i="8"/>
  <c r="F1159" i="8"/>
  <c r="H1223" i="8" a="1"/>
  <c r="H1287" i="8" a="1"/>
  <c r="H1159" i="8" a="1"/>
  <c r="F1287" i="8"/>
  <c r="F1223" i="8"/>
  <c r="H1287" i="8" l="1"/>
  <c r="H1223" i="8"/>
  <c r="H1159" i="8"/>
  <c r="H1351" i="8"/>
  <c r="B1225" i="8"/>
  <c r="B1289" i="8"/>
  <c r="B1353" i="8"/>
  <c r="H1352" i="8" a="1"/>
  <c r="H1224" i="8" a="1"/>
  <c r="F1352" i="8"/>
  <c r="F1224" i="8"/>
  <c r="F1160" i="8"/>
  <c r="H1160" i="8" a="1"/>
  <c r="H1288" i="8" a="1"/>
  <c r="F1288" i="8"/>
  <c r="H1352" i="8" l="1"/>
  <c r="H1160" i="8"/>
  <c r="H1224" i="8"/>
  <c r="H1288" i="8"/>
  <c r="B1354" i="8"/>
  <c r="B1290" i="8"/>
  <c r="B1226" i="8"/>
  <c r="H1225" i="8" a="1"/>
  <c r="F1289" i="8"/>
  <c r="H1353" i="8" a="1"/>
  <c r="F1225" i="8"/>
  <c r="H1289" i="8" a="1"/>
  <c r="F1353" i="8"/>
  <c r="H1225" i="8" l="1"/>
  <c r="H1353" i="8"/>
  <c r="H1289" i="8"/>
  <c r="B1291" i="8"/>
  <c r="B1227" i="8"/>
  <c r="B1355" i="8"/>
  <c r="H1290" i="8" a="1"/>
  <c r="H1354" i="8" a="1"/>
  <c r="F1290" i="8"/>
  <c r="F1226" i="8"/>
  <c r="F1354" i="8"/>
  <c r="H1226" i="8" a="1"/>
  <c r="H1290" i="8" l="1"/>
  <c r="H1226" i="8"/>
  <c r="H1354" i="8"/>
  <c r="B1356" i="8"/>
  <c r="B1292" i="8"/>
  <c r="B1228" i="8"/>
  <c r="F1227" i="8"/>
  <c r="H1291" i="8" a="1"/>
  <c r="H1227" i="8" a="1"/>
  <c r="F1291" i="8"/>
  <c r="F1355" i="8"/>
  <c r="H1355" i="8" a="1"/>
  <c r="H1227" i="8" l="1"/>
  <c r="H1291" i="8"/>
  <c r="H1355" i="8"/>
  <c r="B1293" i="8"/>
  <c r="B1229" i="8"/>
  <c r="B1357" i="8"/>
  <c r="F1228" i="8"/>
  <c r="H1356" i="8" a="1"/>
  <c r="H1292" i="8" a="1"/>
  <c r="F1292" i="8"/>
  <c r="F1356" i="8"/>
  <c r="H1228" i="8" a="1"/>
  <c r="H1292" i="8" l="1"/>
  <c r="H1228" i="8"/>
  <c r="H1356" i="8"/>
  <c r="B1294" i="8"/>
  <c r="B1230" i="8"/>
  <c r="B1358" i="8"/>
  <c r="H1293" i="8" a="1"/>
  <c r="H1357" i="8" a="1"/>
  <c r="H1229" i="8" a="1"/>
  <c r="F1229" i="8"/>
  <c r="F1293" i="8"/>
  <c r="F1357" i="8"/>
  <c r="H1293" i="8" l="1"/>
  <c r="H1229" i="8"/>
  <c r="H1357" i="8"/>
  <c r="B1359" i="8"/>
  <c r="B1295" i="8"/>
  <c r="B1231" i="8"/>
  <c r="F1358" i="8"/>
  <c r="H1294" i="8" a="1"/>
  <c r="H1358" i="8" a="1"/>
  <c r="F1294" i="8"/>
  <c r="F1230" i="8"/>
  <c r="H1230" i="8" a="1"/>
  <c r="H1358" i="8" l="1"/>
  <c r="H1230" i="8"/>
  <c r="H1294" i="8"/>
  <c r="B1296" i="8"/>
  <c r="B1232" i="8"/>
  <c r="B1360" i="8"/>
  <c r="H1295" i="8" a="1"/>
  <c r="H1359" i="8" a="1"/>
  <c r="F1295" i="8"/>
  <c r="F1231" i="8"/>
  <c r="F1359" i="8"/>
  <c r="H1231" i="8" a="1"/>
  <c r="H1295" i="8" l="1"/>
  <c r="H1231" i="8"/>
  <c r="H1359" i="8"/>
  <c r="B1297" i="8"/>
  <c r="B1233" i="8"/>
  <c r="B1361" i="8"/>
  <c r="H1296" i="8" a="1"/>
  <c r="H1360" i="8" a="1"/>
  <c r="H1232" i="8" a="1"/>
  <c r="F1232" i="8"/>
  <c r="F1360" i="8"/>
  <c r="F1296" i="8"/>
  <c r="H1296" i="8" l="1"/>
  <c r="H1232" i="8"/>
  <c r="H1360" i="8"/>
  <c r="B1362" i="8"/>
  <c r="B1298" i="8"/>
  <c r="B1234" i="8"/>
  <c r="F1361" i="8"/>
  <c r="H1297" i="8" a="1"/>
  <c r="H1361" i="8" a="1"/>
  <c r="F1297" i="8"/>
  <c r="F1233" i="8"/>
  <c r="H1233" i="8" a="1"/>
  <c r="H1361" i="8" l="1"/>
  <c r="H1233" i="8"/>
  <c r="H1297" i="8"/>
  <c r="B1299" i="8"/>
  <c r="B1235" i="8"/>
  <c r="B1363" i="8"/>
  <c r="H1298" i="8" a="1"/>
  <c r="H1362" i="8" a="1"/>
  <c r="F1234" i="8"/>
  <c r="F1298" i="8"/>
  <c r="F1362" i="8"/>
  <c r="H1234" i="8" a="1"/>
  <c r="H1298" i="8" l="1"/>
  <c r="H1234" i="8"/>
  <c r="H1362" i="8"/>
  <c r="B1300" i="8"/>
  <c r="B1236" i="8"/>
  <c r="B1364" i="8"/>
  <c r="H1299" i="8" a="1"/>
  <c r="H1363" i="8" a="1"/>
  <c r="H1235" i="8" a="1"/>
  <c r="F1299" i="8"/>
  <c r="F1363" i="8"/>
  <c r="F1235" i="8"/>
  <c r="H1299" i="8" l="1"/>
  <c r="H1235" i="8"/>
  <c r="H1363" i="8"/>
  <c r="B1365" i="8"/>
  <c r="B1301" i="8"/>
  <c r="B1237" i="8"/>
  <c r="F1364" i="8"/>
  <c r="F1300" i="8"/>
  <c r="H1236" i="8" a="1"/>
  <c r="H1300" i="8" a="1"/>
  <c r="F1236" i="8"/>
  <c r="H1364" i="8" a="1"/>
  <c r="H1236" i="8" l="1"/>
  <c r="H1364" i="8"/>
  <c r="H1300" i="8"/>
  <c r="B1302" i="8"/>
  <c r="B1238" i="8"/>
  <c r="B1366" i="8"/>
  <c r="H1301" i="8" a="1"/>
  <c r="H1365" i="8" a="1"/>
  <c r="F1301" i="8"/>
  <c r="F1237" i="8"/>
  <c r="F1365" i="8"/>
  <c r="H1237" i="8" a="1"/>
  <c r="H1301" i="8" l="1"/>
  <c r="H1237" i="8"/>
  <c r="H1365" i="8"/>
  <c r="B1303" i="8"/>
  <c r="B1239" i="8"/>
  <c r="B1367" i="8"/>
  <c r="H1302" i="8" a="1"/>
  <c r="H1366" i="8" a="1"/>
  <c r="H1238" i="8" a="1"/>
  <c r="F1302" i="8"/>
  <c r="F1366" i="8"/>
  <c r="F1238" i="8"/>
  <c r="H1302" i="8" l="1"/>
  <c r="H1238" i="8"/>
  <c r="H1366" i="8"/>
  <c r="B1368" i="8"/>
  <c r="B1304" i="8"/>
  <c r="B1240" i="8"/>
  <c r="F1367" i="8"/>
  <c r="F1303" i="8"/>
  <c r="H1367" i="8" a="1"/>
  <c r="H1303" i="8" a="1"/>
  <c r="F1239" i="8"/>
  <c r="H1239" i="8" a="1"/>
  <c r="H1367" i="8" l="1"/>
  <c r="H1239" i="8"/>
  <c r="H1303" i="8"/>
  <c r="B1305" i="8"/>
  <c r="B1241" i="8"/>
  <c r="B1369" i="8"/>
  <c r="H1304" i="8" a="1"/>
  <c r="H1368" i="8" a="1"/>
  <c r="F1304" i="8"/>
  <c r="F1240" i="8"/>
  <c r="F1368" i="8"/>
  <c r="H1240" i="8" a="1"/>
  <c r="H1304" i="8" l="1"/>
  <c r="H1240" i="8"/>
  <c r="H1368" i="8"/>
  <c r="B1306" i="8"/>
  <c r="B1242" i="8"/>
  <c r="B1434" i="8"/>
  <c r="B1370" i="8"/>
  <c r="F1305" i="8"/>
  <c r="F1369" i="8"/>
  <c r="H1369" i="8" a="1"/>
  <c r="F1241" i="8"/>
  <c r="H1241" i="8" a="1"/>
  <c r="H1305" i="8" a="1"/>
  <c r="H1241" i="8" l="1"/>
  <c r="H1369" i="8"/>
  <c r="H1305" i="8"/>
  <c r="B1435" i="8"/>
  <c r="B1371" i="8"/>
  <c r="B1307" i="8"/>
  <c r="B1243" i="8"/>
  <c r="F1434" i="8"/>
  <c r="H1370" i="8" a="1"/>
  <c r="F1242" i="8"/>
  <c r="H1306" i="8" a="1"/>
  <c r="H1242" i="8" a="1"/>
  <c r="F1306" i="8"/>
  <c r="F1370" i="8"/>
  <c r="H1434" i="8" a="1"/>
  <c r="H1434" i="8" l="1"/>
  <c r="H1306" i="8"/>
  <c r="H1370" i="8"/>
  <c r="H1242" i="8"/>
  <c r="B1372" i="8"/>
  <c r="B1308" i="8"/>
  <c r="B1244" i="8"/>
  <c r="B1436" i="8"/>
  <c r="H1435" i="8" a="1"/>
  <c r="H1371" i="8" a="1"/>
  <c r="F1371" i="8"/>
  <c r="F1307" i="8"/>
  <c r="F1435" i="8"/>
  <c r="F1243" i="8"/>
  <c r="H1243" i="8" a="1"/>
  <c r="H1307" i="8" a="1"/>
  <c r="H1371" i="8" l="1"/>
  <c r="H1307" i="8"/>
  <c r="H1243" i="8"/>
  <c r="H1435" i="8"/>
  <c r="B1373" i="8"/>
  <c r="B1309" i="8"/>
  <c r="B1245" i="8"/>
  <c r="B1437" i="8"/>
  <c r="F1436" i="8"/>
  <c r="F1244" i="8"/>
  <c r="H1436" i="8" a="1"/>
  <c r="H1372" i="8" a="1"/>
  <c r="H1244" i="8" a="1"/>
  <c r="F1372" i="8"/>
  <c r="F1308" i="8"/>
  <c r="H1308" i="8" a="1"/>
  <c r="H1372" i="8" l="1"/>
  <c r="H1436" i="8"/>
  <c r="H1244" i="8"/>
  <c r="H1308" i="8"/>
  <c r="B1310" i="8"/>
  <c r="B1246" i="8"/>
  <c r="B1438" i="8"/>
  <c r="B1374" i="8"/>
  <c r="H1437" i="8" a="1"/>
  <c r="F1245" i="8"/>
  <c r="F1437" i="8"/>
  <c r="H1373" i="8" a="1"/>
  <c r="H1245" i="8" a="1"/>
  <c r="F1373" i="8"/>
  <c r="F1309" i="8"/>
  <c r="H1309" i="8" a="1"/>
  <c r="H1309" i="8" l="1"/>
  <c r="H1373" i="8"/>
  <c r="H1245" i="8"/>
  <c r="H1437" i="8"/>
  <c r="B1311" i="8"/>
  <c r="B1247" i="8"/>
  <c r="B1439" i="8"/>
  <c r="B1375" i="8"/>
  <c r="H1438" i="8" a="1"/>
  <c r="F1246" i="8"/>
  <c r="H1310" i="8" a="1"/>
  <c r="H1246" i="8" a="1"/>
  <c r="F1374" i="8"/>
  <c r="F1310" i="8"/>
  <c r="F1438" i="8"/>
  <c r="H1374" i="8" a="1"/>
  <c r="H1374" i="8" l="1"/>
  <c r="H1246" i="8"/>
  <c r="H1310" i="8"/>
  <c r="H1438" i="8"/>
  <c r="B1312" i="8"/>
  <c r="B1248" i="8"/>
  <c r="B1440" i="8"/>
  <c r="B1376" i="8"/>
  <c r="H1439" i="8" a="1"/>
  <c r="H1247" i="8" a="1"/>
  <c r="F1311" i="8"/>
  <c r="H1375" i="8" a="1"/>
  <c r="H1311" i="8" a="1"/>
  <c r="F1439" i="8"/>
  <c r="F1375" i="8"/>
  <c r="F1247" i="8"/>
  <c r="H1311" i="8" l="1"/>
  <c r="H1247" i="8"/>
  <c r="H1375" i="8"/>
  <c r="H1439" i="8"/>
  <c r="B1441" i="8"/>
  <c r="B1313" i="8"/>
  <c r="B1249" i="8"/>
  <c r="B1377" i="8"/>
  <c r="H1440" i="8" a="1"/>
  <c r="F1312" i="8"/>
  <c r="F1376" i="8"/>
  <c r="F1440" i="8"/>
  <c r="H1376" i="8" a="1"/>
  <c r="H1312" i="8" a="1"/>
  <c r="F1248" i="8"/>
  <c r="H1248" i="8" a="1"/>
  <c r="H1312" i="8" l="1"/>
  <c r="H1376" i="8"/>
  <c r="H1248" i="8"/>
  <c r="H1440" i="8"/>
  <c r="B1378" i="8"/>
  <c r="B1442" i="8"/>
  <c r="B1314" i="8"/>
  <c r="B1250" i="8"/>
  <c r="F1377" i="8"/>
  <c r="H1313" i="8" a="1"/>
  <c r="H1377" i="8" a="1"/>
  <c r="H1249" i="8" a="1"/>
  <c r="F1313" i="8"/>
  <c r="F1441" i="8"/>
  <c r="F1249" i="8"/>
  <c r="H1441" i="8" a="1"/>
  <c r="H1441" i="8" l="1"/>
  <c r="H1313" i="8"/>
  <c r="H1377" i="8"/>
  <c r="H1249" i="8"/>
  <c r="B1315" i="8"/>
  <c r="B1251" i="8"/>
  <c r="B1379" i="8"/>
  <c r="B1443" i="8"/>
  <c r="F1442" i="8"/>
  <c r="H1314" i="8" a="1"/>
  <c r="H1442" i="8" a="1"/>
  <c r="F1250" i="8"/>
  <c r="F1378" i="8"/>
  <c r="F1314" i="8"/>
  <c r="H1378" i="8" a="1"/>
  <c r="H1250" i="8" a="1"/>
  <c r="H1250" i="8" l="1"/>
  <c r="H1378" i="8"/>
  <c r="H1442" i="8"/>
  <c r="H1314" i="8"/>
  <c r="B1444" i="8"/>
  <c r="B1316" i="8"/>
  <c r="B1380" i="8"/>
  <c r="H1315" i="8" a="1"/>
  <c r="F1251" i="8"/>
  <c r="H1251" i="8" a="1"/>
  <c r="H1443" i="8" a="1"/>
  <c r="F1379" i="8"/>
  <c r="F1315" i="8"/>
  <c r="F1443" i="8"/>
  <c r="H1379" i="8" a="1"/>
  <c r="H1251" i="8" l="1"/>
  <c r="H1315" i="8"/>
  <c r="H1379" i="8"/>
  <c r="H1443" i="8"/>
  <c r="B1381" i="8"/>
  <c r="B1317" i="8"/>
  <c r="B1445" i="8"/>
  <c r="F1444" i="8"/>
  <c r="H1444" i="8" a="1"/>
  <c r="H1316" i="8" a="1"/>
  <c r="F1316" i="8"/>
  <c r="F1380" i="8"/>
  <c r="H1380" i="8" a="1"/>
  <c r="H1316" i="8" l="1"/>
  <c r="H1380" i="8"/>
  <c r="H1444" i="8"/>
  <c r="B1382" i="8"/>
  <c r="B1318" i="8"/>
  <c r="B1446" i="8"/>
  <c r="F1381" i="8"/>
  <c r="H1445" i="8" a="1"/>
  <c r="H1317" i="8" a="1"/>
  <c r="F1317" i="8"/>
  <c r="F1445" i="8"/>
  <c r="H1381" i="8" a="1"/>
  <c r="H1381" i="8" l="1"/>
  <c r="H1317" i="8"/>
  <c r="H1445" i="8"/>
  <c r="B1447" i="8"/>
  <c r="B1383" i="8"/>
  <c r="B1319" i="8"/>
  <c r="F1446" i="8"/>
  <c r="H1382" i="8" a="1"/>
  <c r="H1318" i="8" a="1"/>
  <c r="F1382" i="8"/>
  <c r="F1318" i="8"/>
  <c r="H1446" i="8" a="1"/>
  <c r="H1318" i="8" l="1"/>
  <c r="H1446" i="8"/>
  <c r="H1382" i="8"/>
  <c r="B1384" i="8"/>
  <c r="B1320" i="8"/>
  <c r="B1448" i="8"/>
  <c r="H1383" i="8" a="1"/>
  <c r="H1447" i="8" a="1"/>
  <c r="F1319" i="8"/>
  <c r="F1383" i="8"/>
  <c r="F1447" i="8"/>
  <c r="H1319" i="8" a="1"/>
  <c r="H1383" i="8" l="1"/>
  <c r="H1319" i="8"/>
  <c r="H1447" i="8"/>
  <c r="B1385" i="8"/>
  <c r="B1321" i="8"/>
  <c r="B1449" i="8"/>
  <c r="F1384" i="8"/>
  <c r="H1448" i="8" a="1"/>
  <c r="H1320" i="8" a="1"/>
  <c r="F1320" i="8"/>
  <c r="F1448" i="8"/>
  <c r="H1384" i="8" a="1"/>
  <c r="H1384" i="8" l="1"/>
  <c r="H1320" i="8"/>
  <c r="H1448" i="8"/>
  <c r="B1450" i="8"/>
  <c r="B1386" i="8"/>
  <c r="B1322" i="8"/>
  <c r="F1449" i="8"/>
  <c r="F1385" i="8"/>
  <c r="H1449" i="8" a="1"/>
  <c r="H1385" i="8" a="1"/>
  <c r="F1321" i="8"/>
  <c r="H1321" i="8" a="1"/>
  <c r="H1449" i="8" l="1"/>
  <c r="H1321" i="8"/>
  <c r="H1385" i="8"/>
  <c r="B1387" i="8"/>
  <c r="B1323" i="8"/>
  <c r="B1451" i="8"/>
  <c r="H1386" i="8" a="1"/>
  <c r="H1450" i="8" a="1"/>
  <c r="F1322" i="8"/>
  <c r="F1386" i="8"/>
  <c r="F1450" i="8"/>
  <c r="H1322" i="8" a="1"/>
  <c r="H1386" i="8" l="1"/>
  <c r="H1322" i="8"/>
  <c r="H1450" i="8"/>
  <c r="B1388" i="8"/>
  <c r="B1324" i="8"/>
  <c r="B1452" i="8"/>
  <c r="F1323" i="8"/>
  <c r="F1387" i="8"/>
  <c r="H1323" i="8" a="1"/>
  <c r="H1451" i="8" a="1"/>
  <c r="F1451" i="8"/>
  <c r="H1387" i="8" a="1"/>
  <c r="H1387" i="8" l="1"/>
  <c r="H1323" i="8"/>
  <c r="H1451" i="8"/>
  <c r="B1453" i="8"/>
  <c r="B1389" i="8"/>
  <c r="B1325" i="8"/>
  <c r="F1452" i="8"/>
  <c r="F1388" i="8"/>
  <c r="H1324" i="8" a="1"/>
  <c r="H1388" i="8" a="1"/>
  <c r="F1324" i="8"/>
  <c r="H1452" i="8" a="1"/>
  <c r="H1324" i="8" l="1"/>
  <c r="H1452" i="8"/>
  <c r="H1388" i="8"/>
  <c r="B1390" i="8"/>
  <c r="B1326" i="8"/>
  <c r="B1454" i="8"/>
  <c r="H1389" i="8" a="1"/>
  <c r="H1453" i="8" a="1"/>
  <c r="F1389" i="8"/>
  <c r="F1325" i="8"/>
  <c r="F1453" i="8"/>
  <c r="H1325" i="8" a="1"/>
  <c r="H1389" i="8" l="1"/>
  <c r="H1325" i="8"/>
  <c r="H1453" i="8"/>
  <c r="B1391" i="8"/>
  <c r="B1327" i="8"/>
  <c r="B1455" i="8"/>
  <c r="F1390" i="8"/>
  <c r="H1454" i="8" a="1"/>
  <c r="H1326" i="8" a="1"/>
  <c r="F1326" i="8"/>
  <c r="F1454" i="8"/>
  <c r="H1390" i="8" a="1"/>
  <c r="H1390" i="8" l="1"/>
  <c r="H1326" i="8"/>
  <c r="H1454" i="8"/>
  <c r="B1456" i="8"/>
  <c r="B1392" i="8"/>
  <c r="B1328" i="8"/>
  <c r="F1455" i="8"/>
  <c r="F1391" i="8"/>
  <c r="H1455" i="8" a="1"/>
  <c r="H1391" i="8" a="1"/>
  <c r="F1327" i="8"/>
  <c r="H1327" i="8" a="1"/>
  <c r="H1455" i="8" l="1"/>
  <c r="H1327" i="8"/>
  <c r="H1391" i="8"/>
  <c r="B1393" i="8"/>
  <c r="B1329" i="8"/>
  <c r="B1457" i="8"/>
  <c r="H1392" i="8" a="1"/>
  <c r="H1456" i="8" a="1"/>
  <c r="F1328" i="8"/>
  <c r="F1392" i="8"/>
  <c r="F1456" i="8"/>
  <c r="H1328" i="8" a="1"/>
  <c r="H1392" i="8" l="1"/>
  <c r="H1328" i="8"/>
  <c r="H1456" i="8"/>
  <c r="B1394" i="8"/>
  <c r="B1330" i="8"/>
  <c r="B1458" i="8"/>
  <c r="H1393" i="8" a="1"/>
  <c r="F1393" i="8"/>
  <c r="H1329" i="8" a="1"/>
  <c r="H1457" i="8" a="1"/>
  <c r="F1457" i="8"/>
  <c r="F1329" i="8"/>
  <c r="H1393" i="8" l="1"/>
  <c r="H1329" i="8"/>
  <c r="H1457" i="8"/>
  <c r="B1459" i="8"/>
  <c r="B1395" i="8"/>
  <c r="B1331" i="8"/>
  <c r="H1458" i="8" a="1"/>
  <c r="F1458" i="8"/>
  <c r="F1394" i="8"/>
  <c r="H1394" i="8" a="1"/>
  <c r="F1330" i="8"/>
  <c r="H1330" i="8" a="1"/>
  <c r="H1458" i="8" l="1"/>
  <c r="H1330" i="8"/>
  <c r="H1394" i="8"/>
  <c r="B1396" i="8"/>
  <c r="B1332" i="8"/>
  <c r="B1460" i="8"/>
  <c r="H1395" i="8" a="1"/>
  <c r="H1459" i="8" a="1"/>
  <c r="F1395" i="8"/>
  <c r="F1331" i="8"/>
  <c r="F1459" i="8"/>
  <c r="H1331" i="8" a="1"/>
  <c r="H1395" i="8" l="1"/>
  <c r="H1331" i="8"/>
  <c r="H1459" i="8"/>
  <c r="B1397" i="8"/>
  <c r="B1333" i="8"/>
  <c r="B1525" i="8"/>
  <c r="B1461" i="8"/>
  <c r="F1396" i="8"/>
  <c r="F1460" i="8"/>
  <c r="H1460" i="8" a="1"/>
  <c r="F1332" i="8"/>
  <c r="H1332" i="8" a="1"/>
  <c r="H1396" i="8" a="1"/>
  <c r="H1332" i="8" l="1"/>
  <c r="H1460" i="8"/>
  <c r="H1396" i="8"/>
  <c r="B1526" i="8"/>
  <c r="B1462" i="8"/>
  <c r="B1398" i="8"/>
  <c r="B1334" i="8"/>
  <c r="H1397" i="8" a="1"/>
  <c r="F1333" i="8"/>
  <c r="H1525" i="8" a="1"/>
  <c r="H1461" i="8" a="1"/>
  <c r="F1461" i="8"/>
  <c r="F1397" i="8"/>
  <c r="F1525" i="8"/>
  <c r="H1333" i="8" a="1"/>
  <c r="H1333" i="8" l="1"/>
  <c r="H1525" i="8"/>
  <c r="H1397" i="8"/>
  <c r="H1461" i="8"/>
  <c r="B1463" i="8"/>
  <c r="B1399" i="8"/>
  <c r="B1335" i="8"/>
  <c r="B1527" i="8"/>
  <c r="H1526" i="8" a="1"/>
  <c r="F1526" i="8"/>
  <c r="F1398" i="8"/>
  <c r="H1398" i="8" a="1"/>
  <c r="H1462" i="8" a="1"/>
  <c r="H1334" i="8" a="1"/>
  <c r="F1462" i="8"/>
  <c r="F1334" i="8"/>
  <c r="H1462" i="8" l="1"/>
  <c r="H1398" i="8"/>
  <c r="H1334" i="8"/>
  <c r="H1526" i="8"/>
  <c r="B1400" i="8"/>
  <c r="B1336" i="8"/>
  <c r="B1464" i="8"/>
  <c r="B1528" i="8"/>
  <c r="F1527" i="8"/>
  <c r="F1463" i="8"/>
  <c r="H1399" i="8" a="1"/>
  <c r="H1335" i="8" a="1"/>
  <c r="H1527" i="8" a="1"/>
  <c r="F1335" i="8"/>
  <c r="H1463" i="8" a="1"/>
  <c r="F1399" i="8"/>
  <c r="H1463" i="8" l="1"/>
  <c r="H1335" i="8"/>
  <c r="H1527" i="8"/>
  <c r="H1399" i="8"/>
  <c r="B1401" i="8"/>
  <c r="B1337" i="8"/>
  <c r="B1529" i="8"/>
  <c r="B1465" i="8"/>
  <c r="F1528" i="8"/>
  <c r="H1464" i="8" a="1"/>
  <c r="F1336" i="8"/>
  <c r="H1400" i="8" a="1"/>
  <c r="F1400" i="8"/>
  <c r="H1528" i="8" a="1"/>
  <c r="F1464" i="8"/>
  <c r="H1336" i="8" a="1"/>
  <c r="H1336" i="8" l="1"/>
  <c r="H1400" i="8"/>
  <c r="H1528" i="8"/>
  <c r="H1464" i="8"/>
  <c r="B1530" i="8"/>
  <c r="B1402" i="8"/>
  <c r="B1338" i="8"/>
  <c r="B1466" i="8"/>
  <c r="F1529" i="8"/>
  <c r="F1337" i="8"/>
  <c r="H1337" i="8" a="1"/>
  <c r="F1401" i="8"/>
  <c r="F1465" i="8"/>
  <c r="H1401" i="8" a="1"/>
  <c r="H1465" i="8" a="1"/>
  <c r="H1529" i="8" a="1"/>
  <c r="H1401" i="8" l="1"/>
  <c r="H1529" i="8"/>
  <c r="H1337" i="8"/>
  <c r="H1465" i="8"/>
  <c r="B1403" i="8"/>
  <c r="B1339" i="8"/>
  <c r="B1531" i="8"/>
  <c r="B1467" i="8"/>
  <c r="F1530" i="8"/>
  <c r="H1466" i="8" a="1"/>
  <c r="H1402" i="8" a="1"/>
  <c r="F1338" i="8"/>
  <c r="F1402" i="8"/>
  <c r="F1466" i="8"/>
  <c r="H1338" i="8" a="1"/>
  <c r="H1530" i="8" a="1"/>
  <c r="H1338" i="8" l="1"/>
  <c r="H1402" i="8"/>
  <c r="H1530" i="8"/>
  <c r="H1466" i="8"/>
  <c r="B1532" i="8"/>
  <c r="B1404" i="8"/>
  <c r="B1340" i="8"/>
  <c r="B1468" i="8"/>
  <c r="F1531" i="8"/>
  <c r="F1339" i="8"/>
  <c r="H1531" i="8" a="1"/>
  <c r="H1403" i="8" a="1"/>
  <c r="H1339" i="8" a="1"/>
  <c r="F1403" i="8"/>
  <c r="F1467" i="8"/>
  <c r="H1467" i="8" a="1"/>
  <c r="H1403" i="8" l="1"/>
  <c r="H1531" i="8"/>
  <c r="H1339" i="8"/>
  <c r="H1467" i="8"/>
  <c r="B1405" i="8"/>
  <c r="B1341" i="8"/>
  <c r="B1533" i="8"/>
  <c r="B1469" i="8"/>
  <c r="F1532" i="8"/>
  <c r="H1404" i="8" a="1"/>
  <c r="H1532" i="8" a="1"/>
  <c r="F1340" i="8"/>
  <c r="F1404" i="8"/>
  <c r="H1340" i="8" a="1"/>
  <c r="H1468" i="8" a="1"/>
  <c r="F1468" i="8"/>
  <c r="H1340" i="8" l="1"/>
  <c r="H1404" i="8"/>
  <c r="H1532" i="8"/>
  <c r="H1468" i="8"/>
  <c r="B1534" i="8"/>
  <c r="B1406" i="8"/>
  <c r="B1342" i="8"/>
  <c r="B1470" i="8"/>
  <c r="F1533" i="8"/>
  <c r="F1341" i="8"/>
  <c r="H1341" i="8" a="1"/>
  <c r="F1405" i="8"/>
  <c r="F1469" i="8"/>
  <c r="H1405" i="8" a="1"/>
  <c r="H1469" i="8" a="1"/>
  <c r="H1533" i="8" a="1"/>
  <c r="H1405" i="8" l="1"/>
  <c r="H1533" i="8"/>
  <c r="H1341" i="8"/>
  <c r="H1469" i="8"/>
  <c r="B1407" i="8"/>
  <c r="B1535" i="8"/>
  <c r="B1471" i="8"/>
  <c r="H1406" i="8" a="1"/>
  <c r="F1470" i="8"/>
  <c r="H1342" i="8" a="1"/>
  <c r="H1534" i="8" a="1"/>
  <c r="F1342" i="8"/>
  <c r="F1406" i="8"/>
  <c r="F1534" i="8"/>
  <c r="H1470" i="8" a="1"/>
  <c r="H1470" i="8" l="1"/>
  <c r="H1406" i="8"/>
  <c r="H1342" i="8"/>
  <c r="H1534" i="8"/>
  <c r="B1536" i="8"/>
  <c r="B1472" i="8"/>
  <c r="B1408" i="8"/>
  <c r="H1407" i="8" a="1"/>
  <c r="F1471" i="8"/>
  <c r="H1535" i="8" a="1"/>
  <c r="F1535" i="8"/>
  <c r="F1407" i="8"/>
  <c r="H1471" i="8" a="1"/>
  <c r="H1407" i="8" l="1"/>
  <c r="H1535" i="8"/>
  <c r="H1471" i="8"/>
  <c r="B1473" i="8"/>
  <c r="B1409" i="8"/>
  <c r="B1537" i="8"/>
  <c r="H1472" i="8" a="1"/>
  <c r="F1408" i="8"/>
  <c r="H1408" i="8" a="1"/>
  <c r="H1536" i="8" a="1"/>
  <c r="F1536" i="8"/>
  <c r="F1472" i="8"/>
  <c r="H1472" i="8" l="1"/>
  <c r="H1408" i="8"/>
  <c r="H1536" i="8"/>
  <c r="B1538" i="8"/>
  <c r="B1474" i="8"/>
  <c r="B1410" i="8"/>
  <c r="H1409" i="8" a="1"/>
  <c r="F1473" i="8"/>
  <c r="F1537" i="8"/>
  <c r="H1473" i="8" a="1"/>
  <c r="F1409" i="8"/>
  <c r="H1537" i="8" a="1"/>
  <c r="H1409" i="8" l="1"/>
  <c r="H1537" i="8"/>
  <c r="H1473" i="8"/>
  <c r="B1475" i="8"/>
  <c r="B1411" i="8"/>
  <c r="B1539" i="8"/>
  <c r="H1410" i="8" a="1"/>
  <c r="F1474" i="8"/>
  <c r="F1538" i="8"/>
  <c r="H1538" i="8" a="1"/>
  <c r="F1410" i="8"/>
  <c r="H1474" i="8" a="1"/>
  <c r="H1474" i="8" l="1"/>
  <c r="H1410" i="8"/>
  <c r="H1538" i="8"/>
  <c r="B1476" i="8"/>
  <c r="B1412" i="8"/>
  <c r="B1540" i="8"/>
  <c r="F1475" i="8"/>
  <c r="H1539" i="8" a="1"/>
  <c r="H1475" i="8" a="1"/>
  <c r="F1411" i="8"/>
  <c r="H1411" i="8" a="1"/>
  <c r="F1539" i="8"/>
  <c r="H1411" i="8" l="1"/>
  <c r="H1475" i="8"/>
  <c r="H1539" i="8"/>
  <c r="B1541" i="8"/>
  <c r="B1477" i="8"/>
  <c r="B1413" i="8"/>
  <c r="H1476" i="8" a="1"/>
  <c r="F1476" i="8"/>
  <c r="H1412" i="8" a="1"/>
  <c r="H1540" i="8" a="1"/>
  <c r="F1412" i="8"/>
  <c r="F1540" i="8"/>
  <c r="H1476" i="8" l="1"/>
  <c r="H1412" i="8"/>
  <c r="H1540" i="8"/>
  <c r="B1478" i="8"/>
  <c r="B1414" i="8"/>
  <c r="B1542" i="8"/>
  <c r="F1541" i="8"/>
  <c r="H1541" i="8" a="1"/>
  <c r="F1477" i="8"/>
  <c r="F1413" i="8"/>
  <c r="H1413" i="8" a="1"/>
  <c r="H1477" i="8" a="1"/>
  <c r="H1413" i="8" l="1"/>
  <c r="H1477" i="8"/>
  <c r="H1541" i="8"/>
  <c r="B1543" i="8"/>
  <c r="B1415" i="8"/>
  <c r="B1479" i="8"/>
  <c r="H1478" i="8" a="1"/>
  <c r="H1542" i="8" a="1"/>
  <c r="F1542" i="8"/>
  <c r="F1414" i="8"/>
  <c r="F1478" i="8"/>
  <c r="H1414" i="8" a="1"/>
  <c r="H1478" i="8" l="1"/>
  <c r="H1414" i="8"/>
  <c r="H1542" i="8"/>
  <c r="B1544" i="8"/>
  <c r="B1480" i="8"/>
  <c r="B1416" i="8"/>
  <c r="H1415" i="8" a="1"/>
  <c r="H1479" i="8" a="1"/>
  <c r="H1543" i="8" a="1"/>
  <c r="F1479" i="8"/>
  <c r="F1543" i="8"/>
  <c r="F1415" i="8"/>
  <c r="H1415" i="8" l="1"/>
  <c r="H1543" i="8"/>
  <c r="H1479" i="8"/>
  <c r="B1481" i="8"/>
  <c r="B1417" i="8"/>
  <c r="B1545" i="8"/>
  <c r="F1416" i="8"/>
  <c r="H1544" i="8" a="1"/>
  <c r="H1480" i="8" a="1"/>
  <c r="F1544" i="8"/>
  <c r="F1480" i="8"/>
  <c r="H1416" i="8" a="1"/>
  <c r="H1480" i="8" l="1"/>
  <c r="H1416" i="8"/>
  <c r="H1544" i="8"/>
  <c r="B1418" i="8"/>
  <c r="B1482" i="8"/>
  <c r="B1546" i="8"/>
  <c r="F1481" i="8"/>
  <c r="F1545" i="8"/>
  <c r="H1481" i="8" a="1"/>
  <c r="F1417" i="8"/>
  <c r="H1417" i="8" a="1"/>
  <c r="H1545" i="8" a="1"/>
  <c r="H1481" i="8" l="1"/>
  <c r="H1417" i="8"/>
  <c r="H1545" i="8"/>
  <c r="B1483" i="8"/>
  <c r="B1419" i="8"/>
  <c r="B1547" i="8"/>
  <c r="F1482" i="8"/>
  <c r="H1546" i="8" a="1"/>
  <c r="H1418" i="8" a="1"/>
  <c r="F1418" i="8"/>
  <c r="F1546" i="8"/>
  <c r="H1482" i="8" a="1"/>
  <c r="H1482" i="8" l="1"/>
  <c r="H1418" i="8"/>
  <c r="H1546" i="8"/>
  <c r="B1548" i="8"/>
  <c r="B1484" i="8"/>
  <c r="B1420" i="8"/>
  <c r="F1419" i="8"/>
  <c r="H1419" i="8" a="1"/>
  <c r="F1483" i="8"/>
  <c r="H1483" i="8" a="1"/>
  <c r="F1547" i="8"/>
  <c r="H1547" i="8" a="1"/>
  <c r="H1547" i="8" l="1"/>
  <c r="H1419" i="8"/>
  <c r="H1483" i="8"/>
  <c r="B1485" i="8"/>
  <c r="B1421" i="8"/>
  <c r="B1549" i="8"/>
  <c r="H1484" i="8" a="1"/>
  <c r="F1548" i="8"/>
  <c r="F1420" i="8"/>
  <c r="F1484" i="8"/>
  <c r="H1548" i="8" a="1"/>
  <c r="H1420" i="8" a="1"/>
  <c r="H1484" i="8" l="1"/>
  <c r="H1420" i="8"/>
  <c r="H1548" i="8"/>
  <c r="B1422" i="8"/>
  <c r="B1486" i="8"/>
  <c r="B1550" i="8"/>
  <c r="H1485" i="8" a="1"/>
  <c r="F1549" i="8"/>
  <c r="F1485" i="8"/>
  <c r="H1421" i="8" a="1"/>
  <c r="F1421" i="8"/>
  <c r="H1549" i="8" a="1"/>
  <c r="H1485" i="8" l="1"/>
  <c r="H1421" i="8"/>
  <c r="H1549" i="8"/>
  <c r="B1423" i="8"/>
  <c r="B1487" i="8"/>
  <c r="B1551" i="8"/>
  <c r="H1486" i="8" a="1"/>
  <c r="F1422" i="8"/>
  <c r="F1486" i="8"/>
  <c r="H1422" i="8" a="1"/>
  <c r="F1550" i="8"/>
  <c r="H1550" i="8" a="1"/>
  <c r="H1486" i="8" l="1"/>
  <c r="H1422" i="8"/>
  <c r="H1550" i="8"/>
  <c r="B1488" i="8"/>
  <c r="B1424" i="8"/>
  <c r="B1616" i="8"/>
  <c r="B1552" i="8"/>
  <c r="F1487" i="8"/>
  <c r="F1551" i="8"/>
  <c r="H1551" i="8" a="1"/>
  <c r="F1423" i="8"/>
  <c r="H1423" i="8" a="1"/>
  <c r="H1487" i="8" a="1"/>
  <c r="H1423" i="8" l="1"/>
  <c r="H1551" i="8"/>
  <c r="H1487" i="8"/>
  <c r="B1617" i="8"/>
  <c r="B1553" i="8"/>
  <c r="B1489" i="8"/>
  <c r="B1425" i="8"/>
  <c r="F1616" i="8"/>
  <c r="H1552" i="8" a="1"/>
  <c r="F1424" i="8"/>
  <c r="H1488" i="8" a="1"/>
  <c r="H1424" i="8" a="1"/>
  <c r="F1488" i="8"/>
  <c r="F1552" i="8"/>
  <c r="H1616" i="8" a="1"/>
  <c r="H1616" i="8" l="1"/>
  <c r="H1488" i="8"/>
  <c r="H1552" i="8"/>
  <c r="H1424" i="8"/>
  <c r="B1554" i="8"/>
  <c r="B1426" i="8"/>
  <c r="B1490" i="8"/>
  <c r="B1618" i="8"/>
  <c r="H1617" i="8" a="1"/>
  <c r="H1553" i="8" a="1"/>
  <c r="H1489" i="8" a="1"/>
  <c r="F1489" i="8"/>
  <c r="F1553" i="8"/>
  <c r="F1617" i="8"/>
  <c r="H1425" i="8" a="1"/>
  <c r="F1425" i="8"/>
  <c r="H1553" i="8" l="1"/>
  <c r="H1489" i="8"/>
  <c r="H1425" i="8"/>
  <c r="H1617" i="8"/>
  <c r="B1555" i="8"/>
  <c r="B1491" i="8"/>
  <c r="B1427" i="8"/>
  <c r="B1619" i="8"/>
  <c r="H1618" i="8" a="1"/>
  <c r="H1554" i="8" a="1"/>
  <c r="F1490" i="8"/>
  <c r="F1554" i="8"/>
  <c r="F1426" i="8"/>
  <c r="F1618" i="8"/>
  <c r="H1426" i="8" a="1"/>
  <c r="H1490" i="8" a="1"/>
  <c r="H1554" i="8" l="1"/>
  <c r="H1490" i="8"/>
  <c r="H1426" i="8"/>
  <c r="H1618" i="8"/>
  <c r="B1492" i="8"/>
  <c r="B1428" i="8"/>
  <c r="B1556" i="8"/>
  <c r="B1620" i="8"/>
  <c r="F1619" i="8"/>
  <c r="F1491" i="8"/>
  <c r="H1619" i="8" a="1"/>
  <c r="F1427" i="8"/>
  <c r="F1555" i="8"/>
  <c r="H1427" i="8" a="1"/>
  <c r="H1491" i="8" a="1"/>
  <c r="H1555" i="8" a="1"/>
  <c r="H1427" i="8" l="1"/>
  <c r="H1555" i="8"/>
  <c r="H1619" i="8"/>
  <c r="H1491" i="8"/>
  <c r="B1621" i="8"/>
  <c r="B1493" i="8"/>
  <c r="B1429" i="8"/>
  <c r="B1557" i="8"/>
  <c r="H1620" i="8" a="1"/>
  <c r="H1492" i="8" a="1"/>
  <c r="F1556" i="8"/>
  <c r="H1556" i="8" a="1"/>
  <c r="F1620" i="8"/>
  <c r="F1428" i="8"/>
  <c r="H1428" i="8" a="1"/>
  <c r="F1492" i="8"/>
  <c r="H1492" i="8" l="1"/>
  <c r="H1556" i="8"/>
  <c r="H1428" i="8"/>
  <c r="H1620" i="8"/>
  <c r="B1430" i="8"/>
  <c r="B1494" i="8"/>
  <c r="B1622" i="8"/>
  <c r="B1558" i="8"/>
  <c r="F1493" i="8"/>
  <c r="H1557" i="8" a="1"/>
  <c r="H1429" i="8" a="1"/>
  <c r="H1493" i="8" a="1"/>
  <c r="H1621" i="8" a="1"/>
  <c r="F1557" i="8"/>
  <c r="F1429" i="8"/>
  <c r="F1621" i="8"/>
  <c r="H1621" i="8" l="1"/>
  <c r="H1429" i="8"/>
  <c r="H1557" i="8"/>
  <c r="H1493" i="8"/>
  <c r="B1623" i="8"/>
  <c r="B1559" i="8"/>
  <c r="B1431" i="8"/>
  <c r="B1495" i="8"/>
  <c r="F1494" i="8"/>
  <c r="F1622" i="8"/>
  <c r="F1558" i="8"/>
  <c r="H1622" i="8" a="1"/>
  <c r="H1558" i="8" a="1"/>
  <c r="H1430" i="8" a="1"/>
  <c r="H1494" i="8" a="1"/>
  <c r="F1430" i="8"/>
  <c r="H1430" i="8" l="1"/>
  <c r="H1622" i="8"/>
  <c r="H1558" i="8"/>
  <c r="H1494" i="8"/>
  <c r="B1624" i="8"/>
  <c r="B1560" i="8"/>
  <c r="B1496" i="8"/>
  <c r="B1432" i="8"/>
  <c r="F1495" i="8"/>
  <c r="H1559" i="8" a="1"/>
  <c r="H1431" i="8" a="1"/>
  <c r="H1495" i="8" a="1"/>
  <c r="F1559" i="8"/>
  <c r="F1623" i="8"/>
  <c r="F1431" i="8"/>
  <c r="H1623" i="8" a="1"/>
  <c r="H1623" i="8" l="1"/>
  <c r="H1559" i="8"/>
  <c r="H1495" i="8"/>
  <c r="H1431" i="8"/>
  <c r="B1497" i="8"/>
  <c r="B1433" i="8"/>
  <c r="B1625" i="8"/>
  <c r="B1561" i="8"/>
  <c r="F1496" i="8"/>
  <c r="F1624" i="8"/>
  <c r="F1560" i="8"/>
  <c r="F1432" i="8"/>
  <c r="H1432" i="8" a="1"/>
  <c r="H1560" i="8" a="1"/>
  <c r="H1496" i="8" a="1"/>
  <c r="H1624" i="8" a="1"/>
  <c r="H1624" i="8" l="1"/>
  <c r="H1432" i="8"/>
  <c r="H1560" i="8"/>
  <c r="H1496" i="8"/>
  <c r="B1626" i="8"/>
  <c r="B1498" i="8"/>
  <c r="B1562" i="8"/>
  <c r="F1625" i="8"/>
  <c r="F1497" i="8"/>
  <c r="H1625" i="8" a="1"/>
  <c r="H1433" i="8" a="1"/>
  <c r="F1561" i="8"/>
  <c r="H1561" i="8" a="1"/>
  <c r="H1497" i="8" a="1"/>
  <c r="F1433" i="8"/>
  <c r="H1625" i="8" l="1"/>
  <c r="H1561" i="8"/>
  <c r="H1497" i="8"/>
  <c r="H1433" i="8"/>
  <c r="B1627" i="8"/>
  <c r="B1563" i="8"/>
  <c r="B1499" i="8"/>
  <c r="F1626" i="8"/>
  <c r="H1626" i="8" a="1"/>
  <c r="F1562" i="8"/>
  <c r="H1562" i="8" a="1"/>
  <c r="H1498" i="8" a="1"/>
  <c r="F1498" i="8"/>
  <c r="H1562" i="8" l="1"/>
  <c r="H1498" i="8"/>
  <c r="H1626" i="8"/>
  <c r="B1628" i="8"/>
  <c r="B1564" i="8"/>
  <c r="B1500" i="8"/>
  <c r="F1627" i="8"/>
  <c r="F1563" i="8"/>
  <c r="F1499" i="8"/>
  <c r="H1627" i="8" a="1"/>
  <c r="H1563" i="8" a="1"/>
  <c r="H1499" i="8" a="1"/>
  <c r="H1627" i="8" l="1"/>
  <c r="H1563" i="8"/>
  <c r="H1499" i="8"/>
  <c r="B1629" i="8"/>
  <c r="B1565" i="8"/>
  <c r="B1501" i="8"/>
  <c r="F1500" i="8"/>
  <c r="H1628" i="8" a="1"/>
  <c r="H1564" i="8" a="1"/>
  <c r="H1500" i="8" a="1"/>
  <c r="F1564" i="8"/>
  <c r="F1628" i="8"/>
  <c r="H1564" i="8" l="1"/>
  <c r="H1500" i="8"/>
  <c r="H1628" i="8"/>
  <c r="B1566" i="8"/>
  <c r="B1502" i="8"/>
  <c r="B1630" i="8"/>
  <c r="H1565" i="8" a="1"/>
  <c r="F1501" i="8"/>
  <c r="H1501" i="8" a="1"/>
  <c r="F1565" i="8"/>
  <c r="F1629" i="8"/>
  <c r="H1629" i="8" a="1"/>
  <c r="H1565" i="8" l="1"/>
  <c r="H1501" i="8"/>
  <c r="H1629" i="8"/>
  <c r="B1631" i="8"/>
  <c r="B1567" i="8"/>
  <c r="B1503" i="8"/>
  <c r="F1630" i="8"/>
  <c r="F1502" i="8"/>
  <c r="H1630" i="8" a="1"/>
  <c r="H1502" i="8" a="1"/>
  <c r="F1566" i="8"/>
  <c r="H1566" i="8" a="1"/>
  <c r="H1502" i="8" l="1"/>
  <c r="H1630" i="8"/>
  <c r="H1566" i="8"/>
  <c r="B1568" i="8"/>
  <c r="B1504" i="8"/>
  <c r="B1632" i="8"/>
  <c r="H1567" i="8" a="1"/>
  <c r="H1631" i="8" a="1"/>
  <c r="F1503" i="8"/>
  <c r="F1567" i="8"/>
  <c r="F1631" i="8"/>
  <c r="H1503" i="8" a="1"/>
  <c r="H1567" i="8" l="1"/>
  <c r="H1503" i="8"/>
  <c r="H1631" i="8"/>
  <c r="B1569" i="8"/>
  <c r="B1505" i="8"/>
  <c r="B1633" i="8"/>
  <c r="H1568" i="8" a="1"/>
  <c r="H1632" i="8" a="1"/>
  <c r="H1504" i="8" a="1"/>
  <c r="F1504" i="8"/>
  <c r="F1632" i="8"/>
  <c r="F1568" i="8"/>
  <c r="H1568" i="8" l="1"/>
  <c r="H1504" i="8"/>
  <c r="H1632" i="8"/>
  <c r="B1634" i="8"/>
  <c r="B1570" i="8"/>
  <c r="B1506" i="8"/>
  <c r="H1633" i="8" a="1"/>
  <c r="H1505" i="8" a="1"/>
  <c r="F1505" i="8"/>
  <c r="F1633" i="8"/>
  <c r="F1569" i="8"/>
  <c r="H1569" i="8" a="1"/>
  <c r="H1505" i="8" l="1"/>
  <c r="H1633" i="8"/>
  <c r="H1569" i="8"/>
  <c r="B1571" i="8"/>
  <c r="B1507" i="8"/>
  <c r="B1635" i="8"/>
  <c r="H1506" i="8" a="1"/>
  <c r="H1634" i="8" a="1"/>
  <c r="F1570" i="8"/>
  <c r="F1506" i="8"/>
  <c r="F1634" i="8"/>
  <c r="H1570" i="8" a="1"/>
  <c r="H1570" i="8" l="1"/>
  <c r="H1506" i="8"/>
  <c r="H1634" i="8"/>
  <c r="B1572" i="8"/>
  <c r="B1508" i="8"/>
  <c r="B1636" i="8"/>
  <c r="H1571" i="8" a="1"/>
  <c r="F1507" i="8"/>
  <c r="H1507" i="8" a="1"/>
  <c r="F1571" i="8"/>
  <c r="F1635" i="8"/>
  <c r="H1635" i="8" a="1"/>
  <c r="H1571" i="8" l="1"/>
  <c r="H1507" i="8"/>
  <c r="H1635" i="8"/>
  <c r="B1637" i="8"/>
  <c r="B1573" i="8"/>
  <c r="B1509" i="8"/>
  <c r="H1636" i="8" a="1"/>
  <c r="F1508" i="8"/>
  <c r="F1636" i="8"/>
  <c r="H1572" i="8" a="1"/>
  <c r="F1572" i="8"/>
  <c r="H1508" i="8" a="1"/>
  <c r="H1508" i="8" l="1"/>
  <c r="H1636" i="8"/>
  <c r="H1572" i="8"/>
  <c r="B1574" i="8"/>
  <c r="B1510" i="8"/>
  <c r="B1638" i="8"/>
  <c r="H1509" i="8" a="1"/>
  <c r="H1637" i="8" a="1"/>
  <c r="F1509" i="8"/>
  <c r="F1573" i="8"/>
  <c r="F1637" i="8"/>
  <c r="H1573" i="8" a="1"/>
  <c r="H1573" i="8" l="1"/>
  <c r="H1509" i="8"/>
  <c r="H1637" i="8"/>
  <c r="B1575" i="8"/>
  <c r="B1511" i="8"/>
  <c r="B1639" i="8"/>
  <c r="F1574" i="8"/>
  <c r="H1510" i="8" a="1"/>
  <c r="F1510" i="8"/>
  <c r="F1638" i="8"/>
  <c r="H1574" i="8" a="1"/>
  <c r="H1638" i="8" a="1"/>
  <c r="H1574" i="8" l="1"/>
  <c r="H1510" i="8"/>
  <c r="H1638" i="8"/>
  <c r="B1640" i="8"/>
  <c r="B1576" i="8"/>
  <c r="B1512" i="8"/>
  <c r="F1639" i="8"/>
  <c r="H1575" i="8" a="1"/>
  <c r="F1575" i="8"/>
  <c r="H1639" i="8" a="1"/>
  <c r="F1511" i="8"/>
  <c r="H1511" i="8" a="1"/>
  <c r="H1511" i="8" l="1"/>
  <c r="H1639" i="8"/>
  <c r="H1575" i="8"/>
  <c r="B1577" i="8"/>
  <c r="B1513" i="8"/>
  <c r="B1641" i="8"/>
  <c r="H1512" i="8" a="1"/>
  <c r="F1576" i="8"/>
  <c r="H1576" i="8" a="1"/>
  <c r="H1640" i="8" a="1"/>
  <c r="F1640" i="8"/>
  <c r="F1512" i="8"/>
  <c r="H1576" i="8" l="1"/>
  <c r="H1512" i="8"/>
  <c r="H1640" i="8"/>
  <c r="B1578" i="8"/>
  <c r="B1514" i="8"/>
  <c r="B1642" i="8"/>
  <c r="H1577" i="8" a="1"/>
  <c r="H1641" i="8" a="1"/>
  <c r="H1513" i="8" a="1"/>
  <c r="F1513" i="8"/>
  <c r="F1641" i="8"/>
  <c r="F1577" i="8"/>
  <c r="H1577" i="8" l="1"/>
  <c r="H1513" i="8"/>
  <c r="H1641" i="8"/>
  <c r="B1643" i="8"/>
  <c r="B1707" i="8"/>
  <c r="B1579" i="8"/>
  <c r="B1515" i="8"/>
  <c r="H1514" i="8" a="1"/>
  <c r="F1642" i="8"/>
  <c r="H1578" i="8" a="1"/>
  <c r="F1514" i="8"/>
  <c r="H1642" i="8" a="1"/>
  <c r="F1578" i="8"/>
  <c r="H1514" i="8" l="1"/>
  <c r="H1578" i="8"/>
  <c r="H1642" i="8"/>
  <c r="B1708" i="8"/>
  <c r="B1580" i="8"/>
  <c r="B1516" i="8"/>
  <c r="B1644" i="8"/>
  <c r="H1579" i="8" a="1"/>
  <c r="H1515" i="8" a="1"/>
  <c r="F1707" i="8"/>
  <c r="H1707" i="8" a="1"/>
  <c r="H1643" i="8" a="1"/>
  <c r="F1515" i="8"/>
  <c r="F1643" i="8"/>
  <c r="F1579" i="8"/>
  <c r="H1707" i="8" l="1"/>
  <c r="H1579" i="8"/>
  <c r="H1515" i="8"/>
  <c r="H1643" i="8"/>
  <c r="B1709" i="8"/>
  <c r="B1581" i="8"/>
  <c r="B1517" i="8"/>
  <c r="B1645" i="8"/>
  <c r="H1708" i="8" a="1"/>
  <c r="H1516" i="8" a="1"/>
  <c r="F1644" i="8"/>
  <c r="H1644" i="8" a="1"/>
  <c r="H1580" i="8" a="1"/>
  <c r="F1580" i="8"/>
  <c r="F1516" i="8"/>
  <c r="F1708" i="8"/>
  <c r="H1580" i="8" l="1"/>
  <c r="H1516" i="8"/>
  <c r="H1644" i="8"/>
  <c r="H1708" i="8"/>
  <c r="B1646" i="8"/>
  <c r="B1710" i="8"/>
  <c r="B1582" i="8"/>
  <c r="B1518" i="8"/>
  <c r="F1645" i="8"/>
  <c r="H1581" i="8" a="1"/>
  <c r="H1517" i="8" a="1"/>
  <c r="H1645" i="8" a="1"/>
  <c r="F1581" i="8"/>
  <c r="F1709" i="8"/>
  <c r="F1517" i="8"/>
  <c r="H1709" i="8" a="1"/>
  <c r="H1709" i="8" l="1"/>
  <c r="H1581" i="8"/>
  <c r="H1645" i="8"/>
  <c r="H1517" i="8"/>
  <c r="B1583" i="8"/>
  <c r="B1519" i="8"/>
  <c r="B1647" i="8"/>
  <c r="B1711" i="8"/>
  <c r="F1710" i="8"/>
  <c r="H1582" i="8" a="1"/>
  <c r="H1646" i="8" a="1"/>
  <c r="F1518" i="8"/>
  <c r="F1646" i="8"/>
  <c r="H1710" i="8" a="1"/>
  <c r="F1582" i="8"/>
  <c r="H1518" i="8" a="1"/>
  <c r="H1518" i="8" l="1"/>
  <c r="H1646" i="8"/>
  <c r="H1710" i="8"/>
  <c r="H1582" i="8"/>
  <c r="B1712" i="8"/>
  <c r="B1584" i="8"/>
  <c r="B1520" i="8"/>
  <c r="B1648" i="8"/>
  <c r="H1711" i="8" a="1"/>
  <c r="H1583" i="8" a="1"/>
  <c r="F1647" i="8"/>
  <c r="F1583" i="8"/>
  <c r="F1711" i="8"/>
  <c r="F1519" i="8"/>
  <c r="H1519" i="8" a="1"/>
  <c r="H1647" i="8" a="1"/>
  <c r="H1583" i="8" l="1"/>
  <c r="H1647" i="8"/>
  <c r="H1519" i="8"/>
  <c r="H1711" i="8"/>
  <c r="B1585" i="8"/>
  <c r="B1521" i="8"/>
  <c r="B1713" i="8"/>
  <c r="B1649" i="8"/>
  <c r="F1584" i="8"/>
  <c r="H1584" i="8" a="1"/>
  <c r="H1520" i="8" a="1"/>
  <c r="F1520" i="8"/>
  <c r="F1648" i="8"/>
  <c r="H1648" i="8" a="1"/>
  <c r="F1712" i="8"/>
  <c r="H1712" i="8" a="1"/>
  <c r="H1712" i="8" l="1"/>
  <c r="H1520" i="8"/>
  <c r="H1648" i="8"/>
  <c r="H1584" i="8"/>
  <c r="B1714" i="8"/>
  <c r="B1586" i="8"/>
  <c r="B1522" i="8"/>
  <c r="B1650" i="8"/>
  <c r="H1713" i="8" a="1"/>
  <c r="H1521" i="8" a="1"/>
  <c r="F1713" i="8"/>
  <c r="H1649" i="8" a="1"/>
  <c r="H1585" i="8" a="1"/>
  <c r="F1585" i="8"/>
  <c r="F1521" i="8"/>
  <c r="F1649" i="8"/>
  <c r="H1585" i="8" l="1"/>
  <c r="H1521" i="8"/>
  <c r="H1649" i="8"/>
  <c r="H1713" i="8"/>
  <c r="B1651" i="8"/>
  <c r="B1715" i="8"/>
  <c r="B1587" i="8"/>
  <c r="B1523" i="8"/>
  <c r="F1650" i="8"/>
  <c r="H1586" i="8" a="1"/>
  <c r="H1522" i="8" a="1"/>
  <c r="H1650" i="8" a="1"/>
  <c r="F1586" i="8"/>
  <c r="F1714" i="8"/>
  <c r="F1522" i="8"/>
  <c r="H1714" i="8" a="1"/>
  <c r="H1714" i="8" l="1"/>
  <c r="H1586" i="8"/>
  <c r="H1650" i="8"/>
  <c r="H1522" i="8"/>
  <c r="B1588" i="8"/>
  <c r="B1524" i="8"/>
  <c r="B1652" i="8"/>
  <c r="B1716" i="8"/>
  <c r="F1715" i="8"/>
  <c r="H1651" i="8" a="1"/>
  <c r="H1715" i="8" a="1"/>
  <c r="F1523" i="8"/>
  <c r="F1651" i="8"/>
  <c r="H1523" i="8" a="1"/>
  <c r="H1587" i="8" a="1"/>
  <c r="F1587" i="8"/>
  <c r="H1523" i="8" l="1"/>
  <c r="H1651" i="8"/>
  <c r="H1715" i="8"/>
  <c r="H1587" i="8"/>
  <c r="B1717" i="8"/>
  <c r="B1589" i="8"/>
  <c r="B1653" i="8"/>
  <c r="F1524" i="8"/>
  <c r="H1716" i="8" a="1"/>
  <c r="H1588" i="8" a="1"/>
  <c r="F1716" i="8"/>
  <c r="H1652" i="8" a="1"/>
  <c r="F1588" i="8"/>
  <c r="F1652" i="8"/>
  <c r="H1524" i="8" a="1"/>
  <c r="H1524" i="8" l="1"/>
  <c r="H1652" i="8"/>
  <c r="H1588" i="8"/>
  <c r="H1716" i="8"/>
  <c r="B1654" i="8"/>
  <c r="B1590" i="8"/>
  <c r="B1718" i="8"/>
  <c r="F1717" i="8"/>
  <c r="H1717" i="8" a="1"/>
  <c r="H1589" i="8" a="1"/>
  <c r="F1589" i="8"/>
  <c r="F1653" i="8"/>
  <c r="H1653" i="8" a="1"/>
  <c r="H1589" i="8" l="1"/>
  <c r="H1653" i="8"/>
  <c r="H1717" i="8"/>
  <c r="B1655" i="8"/>
  <c r="B1591" i="8"/>
  <c r="B1719" i="8"/>
  <c r="H1654" i="8" a="1"/>
  <c r="F1590" i="8"/>
  <c r="H1590" i="8" a="1"/>
  <c r="H1718" i="8" a="1"/>
  <c r="F1718" i="8"/>
  <c r="F1654" i="8"/>
  <c r="H1654" i="8" l="1"/>
  <c r="H1590" i="8"/>
  <c r="H1718" i="8"/>
  <c r="B1720" i="8"/>
  <c r="B1656" i="8"/>
  <c r="B1592" i="8"/>
  <c r="F1591" i="8"/>
  <c r="H1655" i="8" a="1"/>
  <c r="H1719" i="8" a="1"/>
  <c r="F1655" i="8"/>
  <c r="H1591" i="8" a="1"/>
  <c r="F1719" i="8"/>
  <c r="H1719" i="8" l="1"/>
  <c r="H1591" i="8"/>
  <c r="H1655" i="8"/>
  <c r="B1657" i="8"/>
  <c r="B1593" i="8"/>
  <c r="B1721" i="8"/>
  <c r="H1592" i="8" a="1"/>
  <c r="F1656" i="8"/>
  <c r="F1592" i="8"/>
  <c r="H1720" i="8" a="1"/>
  <c r="F1720" i="8"/>
  <c r="H1656" i="8" a="1"/>
  <c r="H1656" i="8" l="1"/>
  <c r="H1592" i="8"/>
  <c r="H1720" i="8"/>
  <c r="B1658" i="8"/>
  <c r="B1594" i="8"/>
  <c r="B1722" i="8"/>
  <c r="H1657" i="8" a="1"/>
  <c r="H1721" i="8" a="1"/>
  <c r="H1593" i="8" a="1"/>
  <c r="F1657" i="8"/>
  <c r="F1721" i="8"/>
  <c r="F1593" i="8"/>
  <c r="H1657" i="8" l="1"/>
  <c r="H1593" i="8"/>
  <c r="H1721" i="8"/>
  <c r="B1723" i="8"/>
  <c r="B1659" i="8"/>
  <c r="B1595" i="8"/>
  <c r="F1722" i="8"/>
  <c r="F1658" i="8"/>
  <c r="H1594" i="8" a="1"/>
  <c r="H1658" i="8" a="1"/>
  <c r="F1594" i="8"/>
  <c r="H1722" i="8" a="1"/>
  <c r="H1594" i="8" l="1"/>
  <c r="H1722" i="8"/>
  <c r="H1658" i="8"/>
  <c r="B1660" i="8"/>
  <c r="B1596" i="8"/>
  <c r="B1724" i="8"/>
  <c r="H1595" i="8" a="1"/>
  <c r="F1723" i="8"/>
  <c r="H1723" i="8" a="1"/>
  <c r="F1659" i="8"/>
  <c r="F1595" i="8"/>
  <c r="H1659" i="8" a="1"/>
  <c r="H1659" i="8" l="1"/>
  <c r="H1595" i="8"/>
  <c r="H1723" i="8"/>
  <c r="B1661" i="8"/>
  <c r="B1597" i="8"/>
  <c r="B1725" i="8"/>
  <c r="H1724" i="8" a="1"/>
  <c r="F1596" i="8"/>
  <c r="F1724" i="8"/>
  <c r="F1660" i="8"/>
  <c r="H1596" i="8" a="1"/>
  <c r="H1660" i="8" a="1"/>
  <c r="H1660" i="8" l="1"/>
  <c r="H1596" i="8"/>
  <c r="H1724" i="8"/>
  <c r="B1726" i="8"/>
  <c r="B1662" i="8"/>
  <c r="B1598" i="8"/>
  <c r="F1725" i="8"/>
  <c r="H1661" i="8" a="1"/>
  <c r="F1661" i="8"/>
  <c r="H1725" i="8" a="1"/>
  <c r="F1597" i="8"/>
  <c r="H1597" i="8" a="1"/>
  <c r="H1597" i="8" l="1"/>
  <c r="H1725" i="8"/>
  <c r="H1661" i="8"/>
  <c r="B1663" i="8"/>
  <c r="B1599" i="8"/>
  <c r="B1727" i="8"/>
  <c r="F1598" i="8"/>
  <c r="F1726" i="8"/>
  <c r="H1598" i="8" a="1"/>
  <c r="H1726" i="8" a="1"/>
  <c r="F1662" i="8"/>
  <c r="H1662" i="8" a="1"/>
  <c r="H1662" i="8" l="1"/>
  <c r="H1598" i="8"/>
  <c r="H1726" i="8"/>
  <c r="B1664" i="8"/>
  <c r="B1600" i="8"/>
  <c r="B1728" i="8"/>
  <c r="H1663" i="8" a="1"/>
  <c r="H1727" i="8" a="1"/>
  <c r="H1599" i="8" a="1"/>
  <c r="F1663" i="8"/>
  <c r="F1727" i="8"/>
  <c r="F1599" i="8"/>
  <c r="H1663" i="8" l="1"/>
  <c r="H1599" i="8"/>
  <c r="H1727" i="8"/>
  <c r="B1729" i="8"/>
  <c r="B1665" i="8"/>
  <c r="B1601" i="8"/>
  <c r="F1728" i="8"/>
  <c r="F1664" i="8"/>
  <c r="F1600" i="8"/>
  <c r="H1728" i="8" a="1"/>
  <c r="H1664" i="8" a="1"/>
  <c r="H1600" i="8" a="1"/>
  <c r="H1728" i="8" l="1"/>
  <c r="H1600" i="8"/>
  <c r="H1664" i="8"/>
  <c r="B1666" i="8"/>
  <c r="B1602" i="8"/>
  <c r="B1730" i="8"/>
  <c r="H1601" i="8" a="1"/>
  <c r="H1729" i="8" a="1"/>
  <c r="F1601" i="8"/>
  <c r="F1665" i="8"/>
  <c r="F1729" i="8"/>
  <c r="H1665" i="8" a="1"/>
  <c r="H1665" i="8" l="1"/>
  <c r="H1601" i="8"/>
  <c r="H1729" i="8"/>
  <c r="B1667" i="8"/>
  <c r="B1603" i="8"/>
  <c r="B1731" i="8"/>
  <c r="H1666" i="8" a="1"/>
  <c r="H1730" i="8" a="1"/>
  <c r="H1602" i="8" a="1"/>
  <c r="F1666" i="8"/>
  <c r="F1730" i="8"/>
  <c r="F1602" i="8"/>
  <c r="H1666" i="8" l="1"/>
  <c r="H1602" i="8"/>
  <c r="H1730" i="8"/>
  <c r="B1732" i="8"/>
  <c r="B1668" i="8"/>
  <c r="B1604" i="8"/>
  <c r="F1731" i="8"/>
  <c r="F1667" i="8"/>
  <c r="F1603" i="8"/>
  <c r="H1603" i="8" a="1"/>
  <c r="H1667" i="8" a="1"/>
  <c r="H1731" i="8" a="1"/>
  <c r="H1603" i="8" l="1"/>
  <c r="H1731" i="8"/>
  <c r="H1667" i="8"/>
  <c r="B1669" i="8"/>
  <c r="B1605" i="8"/>
  <c r="B1733" i="8"/>
  <c r="H1668" i="8" a="1"/>
  <c r="H1732" i="8" a="1"/>
  <c r="F1668" i="8"/>
  <c r="F1604" i="8"/>
  <c r="F1732" i="8"/>
  <c r="H1604" i="8" a="1"/>
  <c r="H1668" i="8" l="1"/>
  <c r="H1604" i="8"/>
  <c r="H1732" i="8"/>
  <c r="B1670" i="8"/>
  <c r="B1606" i="8"/>
  <c r="B1798" i="8"/>
  <c r="B1734" i="8"/>
  <c r="H1669" i="8" a="1"/>
  <c r="F1733" i="8"/>
  <c r="F1669" i="8"/>
  <c r="H1733" i="8" a="1"/>
  <c r="F1605" i="8"/>
  <c r="H1605" i="8" a="1"/>
  <c r="H1669" i="8" l="1"/>
  <c r="H1605" i="8"/>
  <c r="H1733" i="8"/>
  <c r="B1735" i="8"/>
  <c r="B1799" i="8"/>
  <c r="B1671" i="8"/>
  <c r="B1607" i="8"/>
  <c r="H1734" i="8" a="1"/>
  <c r="F1606" i="8"/>
  <c r="H1670" i="8" a="1"/>
  <c r="F1670" i="8"/>
  <c r="F1734" i="8"/>
  <c r="H1798" i="8" a="1"/>
  <c r="H1606" i="8" a="1"/>
  <c r="F1798" i="8"/>
  <c r="H1670" i="8" l="1"/>
  <c r="H1734" i="8"/>
  <c r="H1606" i="8"/>
  <c r="H1798" i="8"/>
  <c r="B1736" i="8"/>
  <c r="B1800" i="8"/>
  <c r="B1672" i="8"/>
  <c r="B1608" i="8"/>
  <c r="F1735" i="8"/>
  <c r="H1671" i="8" a="1"/>
  <c r="H1799" i="8" a="1"/>
  <c r="H1735" i="8" a="1"/>
  <c r="H1607" i="8" a="1"/>
  <c r="F1607" i="8"/>
  <c r="F1671" i="8"/>
  <c r="F1799" i="8"/>
  <c r="H1607" i="8" l="1"/>
  <c r="H1799" i="8"/>
  <c r="H1671" i="8"/>
  <c r="H1735" i="8"/>
  <c r="B1673" i="8"/>
  <c r="B1609" i="8"/>
  <c r="B1737" i="8"/>
  <c r="B1801" i="8"/>
  <c r="F1800" i="8"/>
  <c r="H1736" i="8" a="1"/>
  <c r="H1800" i="8" a="1"/>
  <c r="F1608" i="8"/>
  <c r="F1736" i="8"/>
  <c r="H1608" i="8" a="1"/>
  <c r="H1672" i="8" a="1"/>
  <c r="F1672" i="8"/>
  <c r="H1608" i="8" l="1"/>
  <c r="H1736" i="8"/>
  <c r="H1800" i="8"/>
  <c r="H1672" i="8"/>
  <c r="B1802" i="8"/>
  <c r="B1674" i="8"/>
  <c r="B1610" i="8"/>
  <c r="B1738" i="8"/>
  <c r="H1801" i="8" a="1"/>
  <c r="H1673" i="8" a="1"/>
  <c r="F1737" i="8"/>
  <c r="H1737" i="8" a="1"/>
  <c r="F1801" i="8"/>
  <c r="F1609" i="8"/>
  <c r="H1609" i="8" a="1"/>
  <c r="F1673" i="8"/>
  <c r="H1673" i="8" l="1"/>
  <c r="H1737" i="8"/>
  <c r="H1609" i="8"/>
  <c r="H1801" i="8"/>
  <c r="B1675" i="8"/>
  <c r="B1611" i="8"/>
  <c r="B1803" i="8"/>
  <c r="B1739" i="8"/>
  <c r="F1674" i="8"/>
  <c r="F1802" i="8"/>
  <c r="F1738" i="8"/>
  <c r="F1610" i="8"/>
  <c r="H1610" i="8" a="1"/>
  <c r="H1738" i="8" a="1"/>
  <c r="H1674" i="8" a="1"/>
  <c r="H1802" i="8" a="1"/>
  <c r="H1802" i="8" l="1"/>
  <c r="H1610" i="8"/>
  <c r="H1738" i="8"/>
  <c r="H1674" i="8"/>
  <c r="B1804" i="8"/>
  <c r="B1676" i="8"/>
  <c r="B1612" i="8"/>
  <c r="B1740" i="8"/>
  <c r="H1803" i="8" a="1"/>
  <c r="H1675" i="8" a="1"/>
  <c r="F1739" i="8"/>
  <c r="H1739" i="8" a="1"/>
  <c r="F1675" i="8"/>
  <c r="F1803" i="8"/>
  <c r="H1611" i="8" a="1"/>
  <c r="F1611" i="8"/>
  <c r="H1675" i="8" l="1"/>
  <c r="H1739" i="8"/>
  <c r="H1611" i="8"/>
  <c r="H1803" i="8"/>
  <c r="B1741" i="8"/>
  <c r="B1805" i="8"/>
  <c r="B1677" i="8"/>
  <c r="B1613" i="8"/>
  <c r="F1740" i="8"/>
  <c r="H1676" i="8" a="1"/>
  <c r="H1612" i="8" a="1"/>
  <c r="H1740" i="8" a="1"/>
  <c r="F1676" i="8"/>
  <c r="F1612" i="8"/>
  <c r="F1804" i="8"/>
  <c r="H1804" i="8" a="1"/>
  <c r="H1804" i="8" l="1"/>
  <c r="H1676" i="8"/>
  <c r="H1740" i="8"/>
  <c r="H1612" i="8"/>
  <c r="B1678" i="8"/>
  <c r="B1614" i="8"/>
  <c r="B1742" i="8"/>
  <c r="B1806" i="8"/>
  <c r="F1805" i="8"/>
  <c r="H1677" i="8" a="1"/>
  <c r="F1613" i="8"/>
  <c r="H1741" i="8" a="1"/>
  <c r="F1741" i="8"/>
  <c r="H1805" i="8" a="1"/>
  <c r="F1677" i="8"/>
  <c r="H1613" i="8" a="1"/>
  <c r="H1613" i="8" l="1"/>
  <c r="H1741" i="8"/>
  <c r="H1805" i="8"/>
  <c r="H1677" i="8"/>
  <c r="B1807" i="8"/>
  <c r="B1679" i="8"/>
  <c r="B1615" i="8"/>
  <c r="B1743" i="8"/>
  <c r="H1806" i="8" a="1"/>
  <c r="H1614" i="8" a="1"/>
  <c r="F1742" i="8"/>
  <c r="F1806" i="8"/>
  <c r="F1614" i="8"/>
  <c r="H1678" i="8" a="1"/>
  <c r="F1678" i="8"/>
  <c r="H1742" i="8" a="1"/>
  <c r="H1678" i="8" l="1"/>
  <c r="H1742" i="8"/>
  <c r="H1614" i="8"/>
  <c r="H1806" i="8"/>
  <c r="B1680" i="8"/>
  <c r="B1808" i="8"/>
  <c r="B1744" i="8"/>
  <c r="F1679" i="8"/>
  <c r="H1743" i="8" a="1"/>
  <c r="H1807" i="8" a="1"/>
  <c r="H1615" i="8" a="1"/>
  <c r="F1615" i="8"/>
  <c r="F1743" i="8"/>
  <c r="H1679" i="8" a="1"/>
  <c r="F1807" i="8"/>
  <c r="H1807" i="8" l="1"/>
  <c r="H1615" i="8"/>
  <c r="H1743" i="8"/>
  <c r="H1679" i="8"/>
  <c r="B1809" i="8"/>
  <c r="B1745" i="8"/>
  <c r="B1681" i="8"/>
  <c r="H1680" i="8" a="1"/>
  <c r="F1744" i="8"/>
  <c r="H1808" i="8" a="1"/>
  <c r="F1680" i="8"/>
  <c r="H1744" i="8" a="1"/>
  <c r="F1808" i="8"/>
  <c r="H1680" i="8" l="1"/>
  <c r="H1808" i="8"/>
  <c r="H1744" i="8"/>
  <c r="B1746" i="8"/>
  <c r="B1682" i="8"/>
  <c r="B1810" i="8"/>
  <c r="H1745" i="8" a="1"/>
  <c r="H1809" i="8" a="1"/>
  <c r="H1681" i="8" a="1"/>
  <c r="F1745" i="8"/>
  <c r="F1809" i="8"/>
  <c r="F1681" i="8"/>
  <c r="H1745" i="8" l="1"/>
  <c r="H1681" i="8"/>
  <c r="H1809" i="8"/>
  <c r="B1811" i="8"/>
  <c r="B1747" i="8"/>
  <c r="B1683" i="8"/>
  <c r="F1810" i="8"/>
  <c r="F1746" i="8"/>
  <c r="H1682" i="8" a="1"/>
  <c r="H1746" i="8" a="1"/>
  <c r="F1682" i="8"/>
  <c r="H1810" i="8" a="1"/>
  <c r="H1682" i="8" l="1"/>
  <c r="H1810" i="8"/>
  <c r="H1746" i="8"/>
  <c r="B1748" i="8"/>
  <c r="B1684" i="8"/>
  <c r="B1812" i="8"/>
  <c r="H1747" i="8" a="1"/>
  <c r="H1811" i="8" a="1"/>
  <c r="F1683" i="8"/>
  <c r="F1747" i="8"/>
  <c r="F1811" i="8"/>
  <c r="H1683" i="8" a="1"/>
  <c r="H1747" i="8" l="1"/>
  <c r="H1683" i="8"/>
  <c r="H1811" i="8"/>
  <c r="B1749" i="8"/>
  <c r="B1685" i="8"/>
  <c r="B1813" i="8"/>
  <c r="H1748" i="8" a="1"/>
  <c r="F1748" i="8"/>
  <c r="H1684" i="8" a="1"/>
  <c r="H1812" i="8" a="1"/>
  <c r="F1812" i="8"/>
  <c r="F1684" i="8"/>
  <c r="H1748" i="8" l="1"/>
  <c r="H1684" i="8"/>
  <c r="H1812" i="8"/>
  <c r="B1814" i="8"/>
  <c r="B1750" i="8"/>
  <c r="B1686" i="8"/>
  <c r="F1813" i="8"/>
  <c r="F1749" i="8"/>
  <c r="H1813" i="8" a="1"/>
  <c r="H1749" i="8" a="1"/>
  <c r="F1685" i="8"/>
  <c r="H1685" i="8" a="1"/>
  <c r="H1813" i="8" l="1"/>
  <c r="H1685" i="8"/>
  <c r="H1749" i="8"/>
  <c r="B1751" i="8"/>
  <c r="B1687" i="8"/>
  <c r="B1815" i="8"/>
  <c r="H1750" i="8" a="1"/>
  <c r="H1814" i="8" a="1"/>
  <c r="F1750" i="8"/>
  <c r="F1686" i="8"/>
  <c r="F1814" i="8"/>
  <c r="H1686" i="8" a="1"/>
  <c r="H1750" i="8" l="1"/>
  <c r="H1686" i="8"/>
  <c r="H1814" i="8"/>
  <c r="B1752" i="8"/>
  <c r="B1688" i="8"/>
  <c r="B1816" i="8"/>
  <c r="H1751" i="8" a="1"/>
  <c r="F1751" i="8"/>
  <c r="F1815" i="8"/>
  <c r="H1687" i="8" a="1"/>
  <c r="H1815" i="8" a="1"/>
  <c r="F1687" i="8"/>
  <c r="H1751" i="8" l="1"/>
  <c r="H1687" i="8"/>
  <c r="H1815" i="8"/>
  <c r="B1817" i="8"/>
  <c r="B1753" i="8"/>
  <c r="B1689" i="8"/>
  <c r="F1816" i="8"/>
  <c r="H1752" i="8" a="1"/>
  <c r="F1688" i="8"/>
  <c r="H1688" i="8" a="1"/>
  <c r="F1752" i="8"/>
  <c r="H1816" i="8" a="1"/>
  <c r="H1688" i="8" l="1"/>
  <c r="H1816" i="8"/>
  <c r="H1752" i="8"/>
  <c r="B1754" i="8"/>
  <c r="B1690" i="8"/>
  <c r="B1818" i="8"/>
  <c r="H1753" i="8" a="1"/>
  <c r="H1817" i="8" a="1"/>
  <c r="H1689" i="8" a="1"/>
  <c r="F1753" i="8"/>
  <c r="F1689" i="8"/>
  <c r="F1817" i="8"/>
  <c r="H1753" i="8" l="1"/>
  <c r="H1689" i="8"/>
  <c r="H1817" i="8"/>
  <c r="B1755" i="8"/>
  <c r="B1691" i="8"/>
  <c r="B1819" i="8"/>
  <c r="F1690" i="8"/>
  <c r="F1754" i="8"/>
  <c r="H1818" i="8" a="1"/>
  <c r="H1690" i="8" a="1"/>
  <c r="F1818" i="8"/>
  <c r="H1754" i="8" a="1"/>
  <c r="H1754" i="8" l="1"/>
  <c r="H1690" i="8"/>
  <c r="H1818" i="8"/>
  <c r="B1820" i="8"/>
  <c r="B1756" i="8"/>
  <c r="B1692" i="8"/>
  <c r="F1819" i="8"/>
  <c r="H1755" i="8" a="1"/>
  <c r="H1819" i="8" a="1"/>
  <c r="H1691" i="8" a="1"/>
  <c r="F1755" i="8"/>
  <c r="F1691" i="8"/>
  <c r="H1691" i="8" l="1"/>
  <c r="H1819" i="8"/>
  <c r="H1755" i="8"/>
  <c r="B1757" i="8"/>
  <c r="B1693" i="8"/>
  <c r="B1821" i="8"/>
  <c r="H1756" i="8" a="1"/>
  <c r="H1692" i="8" a="1"/>
  <c r="F1692" i="8"/>
  <c r="F1820" i="8"/>
  <c r="F1756" i="8"/>
  <c r="H1820" i="8" a="1"/>
  <c r="H1756" i="8" l="1"/>
  <c r="H1692" i="8"/>
  <c r="H1820" i="8"/>
  <c r="B1758" i="8"/>
  <c r="B1694" i="8"/>
  <c r="B1822" i="8"/>
  <c r="H1757" i="8" a="1"/>
  <c r="H1693" i="8" a="1"/>
  <c r="F1693" i="8"/>
  <c r="H1821" i="8" a="1"/>
  <c r="F1821" i="8"/>
  <c r="F1757" i="8"/>
  <c r="H1757" i="8" l="1"/>
  <c r="H1693" i="8"/>
  <c r="H1821" i="8"/>
  <c r="B1823" i="8"/>
  <c r="B1759" i="8"/>
  <c r="B1695" i="8"/>
  <c r="F1822" i="8"/>
  <c r="F1694" i="8"/>
  <c r="H1822" i="8" a="1"/>
  <c r="H1758" i="8" a="1"/>
  <c r="F1758" i="8"/>
  <c r="H1694" i="8" a="1"/>
  <c r="H1822" i="8" l="1"/>
  <c r="H1694" i="8"/>
  <c r="H1758" i="8"/>
  <c r="B1760" i="8"/>
  <c r="B1696" i="8"/>
  <c r="B1824" i="8"/>
  <c r="F1695" i="8"/>
  <c r="H1823" i="8" a="1"/>
  <c r="H1759" i="8" a="1"/>
  <c r="F1823" i="8"/>
  <c r="H1695" i="8" a="1"/>
  <c r="F1759" i="8"/>
  <c r="H1759" i="8" l="1"/>
  <c r="H1695" i="8"/>
  <c r="H1823" i="8"/>
  <c r="B1761" i="8"/>
  <c r="B1697" i="8"/>
  <c r="B1889" i="8"/>
  <c r="B1825" i="8"/>
  <c r="F1760" i="8"/>
  <c r="F1824" i="8"/>
  <c r="H1760" i="8" a="1"/>
  <c r="F1696" i="8"/>
  <c r="H1824" i="8" a="1"/>
  <c r="H1696" i="8" a="1"/>
  <c r="H1696" i="8" l="1"/>
  <c r="H1824" i="8"/>
  <c r="H1760" i="8"/>
  <c r="B1890" i="8"/>
  <c r="B1826" i="8"/>
  <c r="B1762" i="8"/>
  <c r="B1698" i="8"/>
  <c r="F1889" i="8"/>
  <c r="H1825" i="8" a="1"/>
  <c r="H1761" i="8" a="1"/>
  <c r="H1889" i="8" a="1"/>
  <c r="H1697" i="8" a="1"/>
  <c r="F1697" i="8"/>
  <c r="F1761" i="8"/>
  <c r="F1825" i="8"/>
  <c r="H1889" i="8" l="1"/>
  <c r="H1761" i="8"/>
  <c r="H1825" i="8"/>
  <c r="H1697" i="8"/>
  <c r="B1827" i="8"/>
  <c r="B1763" i="8"/>
  <c r="B1699" i="8"/>
  <c r="B1891" i="8"/>
  <c r="H1890" i="8" a="1"/>
  <c r="F1698" i="8"/>
  <c r="H1698" i="8" a="1"/>
  <c r="H1826" i="8" a="1"/>
  <c r="F1762" i="8"/>
  <c r="H1762" i="8" a="1"/>
  <c r="F1890" i="8"/>
  <c r="F1826" i="8"/>
  <c r="H1762" i="8" l="1"/>
  <c r="H1826" i="8"/>
  <c r="H1698" i="8"/>
  <c r="H1890" i="8"/>
  <c r="B1764" i="8"/>
  <c r="B1700" i="8"/>
  <c r="B1828" i="8"/>
  <c r="B1892" i="8"/>
  <c r="F1891" i="8"/>
  <c r="F1827" i="8"/>
  <c r="H1827" i="8" a="1"/>
  <c r="F1699" i="8"/>
  <c r="H1699" i="8" a="1"/>
  <c r="F1763" i="8"/>
  <c r="H1891" i="8" a="1"/>
  <c r="H1763" i="8" a="1"/>
  <c r="H1699" i="8" l="1"/>
  <c r="H1827" i="8"/>
  <c r="H1891" i="8"/>
  <c r="H1763" i="8"/>
  <c r="B1893" i="8"/>
  <c r="B1765" i="8"/>
  <c r="B1701" i="8"/>
  <c r="B1829" i="8"/>
  <c r="H1892" i="8" a="1"/>
  <c r="H1764" i="8" a="1"/>
  <c r="H1828" i="8" a="1"/>
  <c r="F1828" i="8"/>
  <c r="F1764" i="8"/>
  <c r="F1892" i="8"/>
  <c r="F1700" i="8"/>
  <c r="H1700" i="8" a="1"/>
  <c r="H1764" i="8" l="1"/>
  <c r="H1828" i="8"/>
  <c r="H1700" i="8"/>
  <c r="H1892" i="8"/>
  <c r="B1766" i="8"/>
  <c r="B1702" i="8"/>
  <c r="B1894" i="8"/>
  <c r="B1830" i="8"/>
  <c r="F1765" i="8"/>
  <c r="H1765" i="8" a="1"/>
  <c r="F1893" i="8"/>
  <c r="H1893" i="8" a="1"/>
  <c r="F1701" i="8"/>
  <c r="H1829" i="8" a="1"/>
  <c r="F1829" i="8"/>
  <c r="H1701" i="8" a="1"/>
  <c r="H1701" i="8" l="1"/>
  <c r="H1829" i="8"/>
  <c r="H1893" i="8"/>
  <c r="H1765" i="8"/>
  <c r="B1767" i="8"/>
  <c r="B1703" i="8"/>
  <c r="B1895" i="8"/>
  <c r="B1831" i="8"/>
  <c r="H1894" i="8" a="1"/>
  <c r="F1702" i="8"/>
  <c r="H1702" i="8" a="1"/>
  <c r="H1766" i="8" a="1"/>
  <c r="F1830" i="8"/>
  <c r="H1830" i="8" a="1"/>
  <c r="F1766" i="8"/>
  <c r="F1894" i="8"/>
  <c r="H1830" i="8" l="1"/>
  <c r="H1702" i="8"/>
  <c r="H1766" i="8"/>
  <c r="H1894" i="8"/>
  <c r="B1768" i="8"/>
  <c r="B1704" i="8"/>
  <c r="B1896" i="8"/>
  <c r="B1832" i="8"/>
  <c r="H1895" i="8" a="1"/>
  <c r="H1831" i="8" a="1"/>
  <c r="H1767" i="8" a="1"/>
  <c r="F1831" i="8"/>
  <c r="F1767" i="8"/>
  <c r="F1703" i="8"/>
  <c r="F1895" i="8"/>
  <c r="H1703" i="8" a="1"/>
  <c r="H1767" i="8" l="1"/>
  <c r="H1703" i="8"/>
  <c r="H1831" i="8"/>
  <c r="H1895" i="8"/>
  <c r="B1897" i="8"/>
  <c r="B1769" i="8"/>
  <c r="B1705" i="8"/>
  <c r="B1833" i="8"/>
  <c r="H1896" i="8" a="1"/>
  <c r="H1768" i="8" a="1"/>
  <c r="F1832" i="8"/>
  <c r="F1768" i="8"/>
  <c r="H1832" i="8" a="1"/>
  <c r="F1704" i="8"/>
  <c r="H1704" i="8" a="1"/>
  <c r="F1896" i="8"/>
  <c r="H1704" i="8" l="1"/>
  <c r="H1768" i="8"/>
  <c r="H1832" i="8"/>
  <c r="H1896" i="8"/>
  <c r="B1834" i="8"/>
  <c r="B1898" i="8"/>
  <c r="B1770" i="8"/>
  <c r="B1706" i="8"/>
  <c r="F1833" i="8"/>
  <c r="F1897" i="8"/>
  <c r="F1705" i="8"/>
  <c r="H1897" i="8" a="1"/>
  <c r="F1769" i="8"/>
  <c r="H1705" i="8" a="1"/>
  <c r="H1833" i="8" a="1"/>
  <c r="H1769" i="8" a="1"/>
  <c r="H1897" i="8" l="1"/>
  <c r="H1769" i="8"/>
  <c r="H1833" i="8"/>
  <c r="H1705" i="8"/>
  <c r="B1771" i="8"/>
  <c r="B1835" i="8"/>
  <c r="B1899" i="8"/>
  <c r="H1706" i="8" a="1"/>
  <c r="F1770" i="8"/>
  <c r="H1834" i="8" a="1"/>
  <c r="F1834" i="8"/>
  <c r="H1770" i="8" a="1"/>
  <c r="H1898" i="8" a="1"/>
  <c r="F1898" i="8"/>
  <c r="F1706" i="8"/>
  <c r="H1770" i="8" l="1"/>
  <c r="H1706" i="8"/>
  <c r="H1834" i="8"/>
  <c r="H1898" i="8"/>
  <c r="B1900" i="8"/>
  <c r="B1836" i="8"/>
  <c r="B1772" i="8"/>
  <c r="F1771" i="8"/>
  <c r="H1899" i="8" a="1"/>
  <c r="H1835" i="8" a="1"/>
  <c r="F1835" i="8"/>
  <c r="H1771" i="8" a="1"/>
  <c r="F1899" i="8"/>
  <c r="H1835" i="8" l="1"/>
  <c r="H1771" i="8"/>
  <c r="H1899" i="8"/>
  <c r="B1837" i="8"/>
  <c r="B1773" i="8"/>
  <c r="B1901" i="8"/>
  <c r="F1772" i="8"/>
  <c r="F1900" i="8"/>
  <c r="F1836" i="8"/>
  <c r="H1772" i="8" a="1"/>
  <c r="H1836" i="8" a="1"/>
  <c r="H1900" i="8" a="1"/>
  <c r="H1900" i="8" l="1"/>
  <c r="H1772" i="8"/>
  <c r="H1836" i="8"/>
  <c r="B1902" i="8"/>
  <c r="B1838" i="8"/>
  <c r="B1774" i="8"/>
  <c r="H1773" i="8" a="1"/>
  <c r="H1901" i="8" a="1"/>
  <c r="F1837" i="8"/>
  <c r="F1901" i="8"/>
  <c r="H1837" i="8" a="1"/>
  <c r="F1773" i="8"/>
  <c r="H1773" i="8" l="1"/>
  <c r="H1837" i="8"/>
  <c r="H1901" i="8"/>
  <c r="B1839" i="8"/>
  <c r="B1775" i="8"/>
  <c r="B1903" i="8"/>
  <c r="H1838" i="8" a="1"/>
  <c r="F1838" i="8"/>
  <c r="H1774" i="8" a="1"/>
  <c r="F1774" i="8"/>
  <c r="H1902" i="8" a="1"/>
  <c r="F1902" i="8"/>
  <c r="H1838" i="8" l="1"/>
  <c r="H1774" i="8"/>
  <c r="H1902" i="8"/>
  <c r="B1904" i="8"/>
  <c r="B1840" i="8"/>
  <c r="B1776" i="8"/>
  <c r="H1903" i="8" a="1"/>
  <c r="H1775" i="8" a="1"/>
  <c r="F1775" i="8"/>
  <c r="F1839" i="8"/>
  <c r="F1903" i="8"/>
  <c r="H1839" i="8" a="1"/>
  <c r="H1775" i="8" l="1"/>
  <c r="H1903" i="8"/>
  <c r="H1839" i="8"/>
  <c r="B1841" i="8"/>
  <c r="B1777" i="8"/>
  <c r="B1905" i="8"/>
  <c r="H1776" i="8" a="1"/>
  <c r="F1776" i="8"/>
  <c r="H1840" i="8" a="1"/>
  <c r="F1840" i="8"/>
  <c r="H1904" i="8" a="1"/>
  <c r="F1904" i="8"/>
  <c r="H1840" i="8" l="1"/>
  <c r="H1776" i="8"/>
  <c r="H1904" i="8"/>
  <c r="B1842" i="8"/>
  <c r="B1778" i="8"/>
  <c r="B1906" i="8"/>
  <c r="H1841" i="8" a="1"/>
  <c r="H1905" i="8" a="1"/>
  <c r="H1777" i="8" a="1"/>
  <c r="F1841" i="8"/>
  <c r="F1777" i="8"/>
  <c r="F1905" i="8"/>
  <c r="H1841" i="8" l="1"/>
  <c r="H1777" i="8"/>
  <c r="H1905" i="8"/>
  <c r="B1907" i="8"/>
  <c r="B1843" i="8"/>
  <c r="B1779" i="8"/>
  <c r="F1906" i="8"/>
  <c r="H1778" i="8" a="1"/>
  <c r="H1906" i="8" a="1"/>
  <c r="H1842" i="8" a="1"/>
  <c r="F1842" i="8"/>
  <c r="F1778" i="8"/>
  <c r="H1906" i="8" l="1"/>
  <c r="H1778" i="8"/>
  <c r="H1842" i="8"/>
  <c r="B1844" i="8"/>
  <c r="B1780" i="8"/>
  <c r="B1908" i="8"/>
  <c r="H1843" i="8" a="1"/>
  <c r="H1907" i="8" a="1"/>
  <c r="F1779" i="8"/>
  <c r="H1779" i="8" a="1"/>
  <c r="F1843" i="8"/>
  <c r="F1907" i="8"/>
  <c r="H1843" i="8" l="1"/>
  <c r="H1779" i="8"/>
  <c r="H1907" i="8"/>
  <c r="B1845" i="8"/>
  <c r="B1781" i="8"/>
  <c r="B1909" i="8"/>
  <c r="H1844" i="8" a="1"/>
  <c r="F1908" i="8"/>
  <c r="H1780" i="8" a="1"/>
  <c r="F1844" i="8"/>
  <c r="F1780" i="8"/>
  <c r="H1908" i="8" a="1"/>
  <c r="H1844" i="8" l="1"/>
  <c r="H1780" i="8"/>
  <c r="H1908" i="8"/>
  <c r="B1910" i="8"/>
  <c r="B1846" i="8"/>
  <c r="B1782" i="8"/>
  <c r="H1781" i="8" a="1"/>
  <c r="F1909" i="8"/>
  <c r="F1845" i="8"/>
  <c r="F1781" i="8"/>
  <c r="H1845" i="8" a="1"/>
  <c r="H1909" i="8" a="1"/>
  <c r="H1909" i="8" l="1"/>
  <c r="H1781" i="8"/>
  <c r="H1845" i="8"/>
  <c r="B1847" i="8"/>
  <c r="B1783" i="8"/>
  <c r="B1911" i="8"/>
  <c r="F1782" i="8"/>
  <c r="H1782" i="8" a="1"/>
  <c r="H1846" i="8" a="1"/>
  <c r="F1910" i="8"/>
  <c r="H1910" i="8" a="1"/>
  <c r="F1846" i="8"/>
  <c r="H1846" i="8" l="1"/>
  <c r="H1782" i="8"/>
  <c r="H1910" i="8"/>
  <c r="B1848" i="8"/>
  <c r="B1784" i="8"/>
  <c r="B1912" i="8"/>
  <c r="F1847" i="8"/>
  <c r="H1911" i="8" a="1"/>
  <c r="H1847" i="8" a="1"/>
  <c r="F1911" i="8"/>
  <c r="F1783" i="8"/>
  <c r="H1783" i="8" a="1"/>
  <c r="H1847" i="8" l="1"/>
  <c r="H1783" i="8"/>
  <c r="H1911" i="8"/>
  <c r="B1913" i="8"/>
  <c r="B1849" i="8"/>
  <c r="B1785" i="8"/>
  <c r="F1912" i="8"/>
  <c r="F1848" i="8"/>
  <c r="H1912" i="8" a="1"/>
  <c r="H1848" i="8" a="1"/>
  <c r="F1784" i="8"/>
  <c r="H1784" i="8" a="1"/>
  <c r="H1912" i="8" l="1"/>
  <c r="H1848" i="8"/>
  <c r="H1784" i="8"/>
  <c r="B1850" i="8"/>
  <c r="B1786" i="8"/>
  <c r="B1914" i="8"/>
  <c r="H1785" i="8" a="1"/>
  <c r="F1785" i="8"/>
  <c r="H1849" i="8" a="1"/>
  <c r="H1913" i="8" a="1"/>
  <c r="F1913" i="8"/>
  <c r="F1849" i="8"/>
  <c r="H1849" i="8" l="1"/>
  <c r="H1785" i="8"/>
  <c r="H1913" i="8"/>
  <c r="B1851" i="8"/>
  <c r="B1787" i="8"/>
  <c r="B1915" i="8"/>
  <c r="H1850" i="8" a="1"/>
  <c r="H1914" i="8" a="1"/>
  <c r="H1786" i="8" a="1"/>
  <c r="F1786" i="8"/>
  <c r="F1850" i="8"/>
  <c r="F1914" i="8"/>
  <c r="H1850" i="8" l="1"/>
  <c r="H1786" i="8"/>
  <c r="H1914" i="8"/>
  <c r="B1916" i="8"/>
  <c r="B1980" i="8"/>
  <c r="B1852" i="8"/>
  <c r="B1788" i="8"/>
  <c r="H1787" i="8" a="1"/>
  <c r="F1915" i="8"/>
  <c r="H1851" i="8" a="1"/>
  <c r="F1787" i="8"/>
  <c r="H1915" i="8" a="1"/>
  <c r="F1851" i="8"/>
  <c r="H1787" i="8" l="1"/>
  <c r="H1851" i="8"/>
  <c r="H1915" i="8"/>
  <c r="B1981" i="8"/>
  <c r="B1853" i="8"/>
  <c r="B1789" i="8"/>
  <c r="B1917" i="8"/>
  <c r="F1980" i="8"/>
  <c r="H1916" i="8" a="1"/>
  <c r="F1788" i="8"/>
  <c r="H1852" i="8" a="1"/>
  <c r="H1980" i="8" a="1"/>
  <c r="H1788" i="8" a="1"/>
  <c r="F1852" i="8"/>
  <c r="F1916" i="8"/>
  <c r="H1980" i="8" l="1"/>
  <c r="H1852" i="8"/>
  <c r="H1916" i="8"/>
  <c r="H1788" i="8"/>
  <c r="B1854" i="8"/>
  <c r="B1790" i="8"/>
  <c r="B1918" i="8"/>
  <c r="B1982" i="8"/>
  <c r="F1981" i="8"/>
  <c r="F1853" i="8"/>
  <c r="F1917" i="8"/>
  <c r="F1789" i="8"/>
  <c r="H1981" i="8" a="1"/>
  <c r="H1917" i="8" a="1"/>
  <c r="H1789" i="8" a="1"/>
  <c r="H1853" i="8" a="1"/>
  <c r="H1789" i="8" l="1"/>
  <c r="H1917" i="8"/>
  <c r="H1981" i="8"/>
  <c r="H1853" i="8"/>
  <c r="B1983" i="8"/>
  <c r="B1855" i="8"/>
  <c r="B1791" i="8"/>
  <c r="B1919" i="8"/>
  <c r="F1982" i="8"/>
  <c r="H1982" i="8" a="1"/>
  <c r="F1854" i="8"/>
  <c r="F1918" i="8"/>
  <c r="H1918" i="8" a="1"/>
  <c r="F1790" i="8"/>
  <c r="H1854" i="8" a="1"/>
  <c r="H1790" i="8" a="1"/>
  <c r="H1854" i="8" l="1"/>
  <c r="H1982" i="8"/>
  <c r="H1790" i="8"/>
  <c r="H1918" i="8"/>
  <c r="B1856" i="8"/>
  <c r="B1792" i="8"/>
  <c r="B1984" i="8"/>
  <c r="B1920" i="8"/>
  <c r="F1983" i="8"/>
  <c r="H1855" i="8" a="1"/>
  <c r="F1791" i="8"/>
  <c r="H1983" i="8" a="1"/>
  <c r="F1855" i="8"/>
  <c r="H1791" i="8" a="1"/>
  <c r="H1919" i="8" a="1"/>
  <c r="F1919" i="8"/>
  <c r="H1791" i="8" l="1"/>
  <c r="H1855" i="8"/>
  <c r="H1983" i="8"/>
  <c r="H1919" i="8"/>
  <c r="B1985" i="8"/>
  <c r="B1857" i="8"/>
  <c r="B1793" i="8"/>
  <c r="B1921" i="8"/>
  <c r="F1984" i="8"/>
  <c r="F1792" i="8"/>
  <c r="F1920" i="8"/>
  <c r="H1984" i="8" a="1"/>
  <c r="F1856" i="8"/>
  <c r="H1792" i="8" a="1"/>
  <c r="H1856" i="8" a="1"/>
  <c r="H1920" i="8" a="1"/>
  <c r="H1856" i="8" l="1"/>
  <c r="H1984" i="8"/>
  <c r="H1792" i="8"/>
  <c r="H1920" i="8"/>
  <c r="B1858" i="8"/>
  <c r="B1794" i="8"/>
  <c r="B1986" i="8"/>
  <c r="B1922" i="8"/>
  <c r="F1985" i="8"/>
  <c r="F1857" i="8"/>
  <c r="H1793" i="8" a="1"/>
  <c r="F1793" i="8"/>
  <c r="H1985" i="8" a="1"/>
  <c r="F1921" i="8"/>
  <c r="H1921" i="8" a="1"/>
  <c r="H1857" i="8" a="1"/>
  <c r="H1857" i="8" l="1"/>
  <c r="H1793" i="8"/>
  <c r="H1985" i="8"/>
  <c r="H1921" i="8"/>
  <c r="B1987" i="8"/>
  <c r="B1859" i="8"/>
  <c r="B1795" i="8"/>
  <c r="B1923" i="8"/>
  <c r="F1986" i="8"/>
  <c r="F1794" i="8"/>
  <c r="F1922" i="8"/>
  <c r="H1922" i="8" a="1"/>
  <c r="F1858" i="8"/>
  <c r="H1794" i="8" a="1"/>
  <c r="H1858" i="8" a="1"/>
  <c r="H1986" i="8" a="1"/>
  <c r="H1858" i="8" l="1"/>
  <c r="H1986" i="8"/>
  <c r="H1794" i="8"/>
  <c r="H1922" i="8"/>
  <c r="B1860" i="8"/>
  <c r="B1796" i="8"/>
  <c r="B1988" i="8"/>
  <c r="B1924" i="8"/>
  <c r="F1987" i="8"/>
  <c r="H1923" i="8" a="1"/>
  <c r="F1923" i="8"/>
  <c r="F1795" i="8"/>
  <c r="H1859" i="8" a="1"/>
  <c r="F1859" i="8"/>
  <c r="H1987" i="8" a="1"/>
  <c r="H1795" i="8" a="1"/>
  <c r="H1795" i="8" l="1"/>
  <c r="H1859" i="8"/>
  <c r="H1987" i="8"/>
  <c r="H1923" i="8"/>
  <c r="B1989" i="8"/>
  <c r="B1861" i="8"/>
  <c r="B1797" i="8"/>
  <c r="B1925" i="8"/>
  <c r="F1988" i="8"/>
  <c r="H1924" i="8" a="1"/>
  <c r="F1860" i="8"/>
  <c r="H1796" i="8" a="1"/>
  <c r="F1924" i="8"/>
  <c r="F1796" i="8"/>
  <c r="H1860" i="8" a="1"/>
  <c r="H1988" i="8" a="1"/>
  <c r="H1860" i="8" l="1"/>
  <c r="H1988" i="8"/>
  <c r="H1796" i="8"/>
  <c r="H1924" i="8"/>
  <c r="B1862" i="8"/>
  <c r="B1990" i="8"/>
  <c r="B1926" i="8"/>
  <c r="H1861" i="8" a="1"/>
  <c r="F1925" i="8"/>
  <c r="F1989" i="8"/>
  <c r="H1925" i="8" a="1"/>
  <c r="F1797" i="8"/>
  <c r="H1989" i="8" a="1"/>
  <c r="F1861" i="8"/>
  <c r="H1797" i="8" a="1"/>
  <c r="H1925" i="8" l="1"/>
  <c r="H1861" i="8"/>
  <c r="H1797" i="8"/>
  <c r="H1989" i="8"/>
  <c r="B1991" i="8"/>
  <c r="B1927" i="8"/>
  <c r="B1863" i="8"/>
  <c r="H1862" i="8" a="1"/>
  <c r="H1990" i="8" a="1"/>
  <c r="F1862" i="8"/>
  <c r="H1926" i="8" a="1"/>
  <c r="F1926" i="8"/>
  <c r="F1990" i="8"/>
  <c r="H1862" i="8" l="1"/>
  <c r="H1990" i="8"/>
  <c r="H1926" i="8"/>
  <c r="B1928" i="8"/>
  <c r="B1864" i="8"/>
  <c r="B1992" i="8"/>
  <c r="H1927" i="8" a="1"/>
  <c r="H1991" i="8" a="1"/>
  <c r="H1863" i="8" a="1"/>
  <c r="F1863" i="8"/>
  <c r="F1927" i="8"/>
  <c r="F1991" i="8"/>
  <c r="H1927" i="8" l="1"/>
  <c r="H1863" i="8"/>
  <c r="H1991" i="8"/>
  <c r="B1993" i="8"/>
  <c r="B1929" i="8"/>
  <c r="B1865" i="8"/>
  <c r="F1864" i="8"/>
  <c r="H1864" i="8" a="1"/>
  <c r="H1992" i="8" a="1"/>
  <c r="F1928" i="8"/>
  <c r="H1928" i="8" a="1"/>
  <c r="F1992" i="8"/>
  <c r="H1992" i="8" l="1"/>
  <c r="H1864" i="8"/>
  <c r="H1928" i="8"/>
  <c r="B1930" i="8"/>
  <c r="B1866" i="8"/>
  <c r="B1994" i="8"/>
  <c r="H1929" i="8" a="1"/>
  <c r="H1993" i="8" a="1"/>
  <c r="F1865" i="8"/>
  <c r="H1865" i="8" a="1"/>
  <c r="F1929" i="8"/>
  <c r="F1993" i="8"/>
  <c r="H1929" i="8" l="1"/>
  <c r="H1865" i="8"/>
  <c r="H1993" i="8"/>
  <c r="B1931" i="8"/>
  <c r="B1867" i="8"/>
  <c r="B1995" i="8"/>
  <c r="H1930" i="8" a="1"/>
  <c r="F1930" i="8"/>
  <c r="H1866" i="8" a="1"/>
  <c r="F1866" i="8"/>
  <c r="H1994" i="8" a="1"/>
  <c r="F1994" i="8"/>
  <c r="H1930" i="8" l="1"/>
  <c r="H1866" i="8"/>
  <c r="H1994" i="8"/>
  <c r="B1932" i="8"/>
  <c r="B1868" i="8"/>
  <c r="B1996" i="8"/>
  <c r="F1867" i="8"/>
  <c r="H1995" i="8" a="1"/>
  <c r="H1867" i="8" a="1"/>
  <c r="H1931" i="8" a="1"/>
  <c r="F1931" i="8"/>
  <c r="F1995" i="8"/>
  <c r="H1931" i="8" l="1"/>
  <c r="H1867" i="8"/>
  <c r="H1995" i="8"/>
  <c r="B1997" i="8"/>
  <c r="B1933" i="8"/>
  <c r="B1869" i="8"/>
  <c r="F1996" i="8"/>
  <c r="F1932" i="8"/>
  <c r="H1868" i="8" a="1"/>
  <c r="H1932" i="8" a="1"/>
  <c r="F1868" i="8"/>
  <c r="H1996" i="8" a="1"/>
  <c r="H1868" i="8" l="1"/>
  <c r="H1996" i="8"/>
  <c r="H1932" i="8"/>
  <c r="B1934" i="8"/>
  <c r="B1870" i="8"/>
  <c r="B1998" i="8"/>
  <c r="F1869" i="8"/>
  <c r="H1997" i="8" a="1"/>
  <c r="H1933" i="8" a="1"/>
  <c r="H1869" i="8" a="1"/>
  <c r="F1933" i="8"/>
  <c r="F1997" i="8"/>
  <c r="H1933" i="8" l="1"/>
  <c r="H1869" i="8"/>
  <c r="H1997" i="8"/>
  <c r="B1935" i="8"/>
  <c r="B1871" i="8"/>
  <c r="B1999" i="8"/>
  <c r="H1934" i="8" a="1"/>
  <c r="H1998" i="8" a="1"/>
  <c r="F1870" i="8"/>
  <c r="F1934" i="8"/>
  <c r="F1998" i="8"/>
  <c r="H1870" i="8" a="1"/>
  <c r="H1934" i="8" l="1"/>
  <c r="H1870" i="8"/>
  <c r="H1998" i="8"/>
  <c r="B1936" i="8"/>
  <c r="B1872" i="8"/>
  <c r="B2000" i="8"/>
  <c r="H1935" i="8" a="1"/>
  <c r="H1999" i="8" a="1"/>
  <c r="H1871" i="8" a="1"/>
  <c r="F1871" i="8"/>
  <c r="F1999" i="8"/>
  <c r="F1935" i="8"/>
  <c r="H1935" i="8" l="1"/>
  <c r="H1871" i="8"/>
  <c r="H1999" i="8"/>
  <c r="B2001" i="8"/>
  <c r="B1937" i="8"/>
  <c r="B1873" i="8"/>
  <c r="F2000" i="8"/>
  <c r="F1936" i="8"/>
  <c r="H1872" i="8" a="1"/>
  <c r="H1936" i="8" a="1"/>
  <c r="F1872" i="8"/>
  <c r="H2000" i="8" a="1"/>
  <c r="H1872" i="8" l="1"/>
  <c r="H2000" i="8"/>
  <c r="H1936" i="8"/>
  <c r="B1938" i="8"/>
  <c r="B1874" i="8"/>
  <c r="B2002" i="8"/>
  <c r="H1937" i="8" a="1"/>
  <c r="H2001" i="8" a="1"/>
  <c r="F1873" i="8"/>
  <c r="F1937" i="8"/>
  <c r="F2001" i="8"/>
  <c r="H1873" i="8" a="1"/>
  <c r="H1937" i="8" l="1"/>
  <c r="H1873" i="8"/>
  <c r="H2001" i="8"/>
  <c r="B1939" i="8"/>
  <c r="B1875" i="8"/>
  <c r="B2003" i="8"/>
  <c r="H1938" i="8" a="1"/>
  <c r="H2002" i="8" a="1"/>
  <c r="F1938" i="8"/>
  <c r="F1874" i="8"/>
  <c r="F2002" i="8"/>
  <c r="H1874" i="8" a="1"/>
  <c r="H1938" i="8" l="1"/>
  <c r="H1874" i="8"/>
  <c r="H2002" i="8"/>
  <c r="B1940" i="8"/>
  <c r="B1876" i="8"/>
  <c r="B2004" i="8"/>
  <c r="H1939" i="8" a="1"/>
  <c r="H2003" i="8" a="1"/>
  <c r="H1875" i="8" a="1"/>
  <c r="F1875" i="8"/>
  <c r="F2003" i="8"/>
  <c r="F1939" i="8"/>
  <c r="H1939" i="8" l="1"/>
  <c r="H1875" i="8"/>
  <c r="H2003" i="8"/>
  <c r="B2005" i="8"/>
  <c r="B1941" i="8"/>
  <c r="B1877" i="8"/>
  <c r="F1876" i="8"/>
  <c r="F1940" i="8"/>
  <c r="H1876" i="8" a="1"/>
  <c r="F2004" i="8"/>
  <c r="H1940" i="8" a="1"/>
  <c r="H2004" i="8" a="1"/>
  <c r="H1876" i="8" l="1"/>
  <c r="H2004" i="8"/>
  <c r="H1940" i="8"/>
  <c r="B1942" i="8"/>
  <c r="B1878" i="8"/>
  <c r="B2006" i="8"/>
  <c r="H1941" i="8" a="1"/>
  <c r="H2005" i="8" a="1"/>
  <c r="F1941" i="8"/>
  <c r="F1877" i="8"/>
  <c r="F2005" i="8"/>
  <c r="H1877" i="8" a="1"/>
  <c r="H1941" i="8" l="1"/>
  <c r="H1877" i="8"/>
  <c r="H2005" i="8"/>
  <c r="B1943" i="8"/>
  <c r="B1879" i="8"/>
  <c r="B2071" i="8"/>
  <c r="B2007" i="8"/>
  <c r="F1942" i="8"/>
  <c r="F2006" i="8"/>
  <c r="H2006" i="8" a="1"/>
  <c r="H1878" i="8" a="1"/>
  <c r="F1878" i="8"/>
  <c r="H1942" i="8" a="1"/>
  <c r="H1878" i="8" l="1"/>
  <c r="H2006" i="8"/>
  <c r="H1942" i="8"/>
  <c r="B2072" i="8"/>
  <c r="B2008" i="8"/>
  <c r="B1944" i="8"/>
  <c r="B1880" i="8"/>
  <c r="H2007" i="8" a="1"/>
  <c r="F2071" i="8"/>
  <c r="H1943" i="8" a="1"/>
  <c r="F1879" i="8"/>
  <c r="F1943" i="8"/>
  <c r="H1879" i="8" a="1"/>
  <c r="H2071" i="8" a="1"/>
  <c r="F2007" i="8"/>
  <c r="H1879" i="8" l="1"/>
  <c r="H2071" i="8"/>
  <c r="H1943" i="8"/>
  <c r="H2007" i="8"/>
  <c r="B2009" i="8"/>
  <c r="B1945" i="8"/>
  <c r="B1881" i="8"/>
  <c r="B2073" i="8"/>
  <c r="H2072" i="8" a="1"/>
  <c r="H2008" i="8" a="1"/>
  <c r="H1944" i="8" a="1"/>
  <c r="F1944" i="8"/>
  <c r="F2072" i="8"/>
  <c r="F1880" i="8"/>
  <c r="H1880" i="8" a="1"/>
  <c r="F2008" i="8"/>
  <c r="H2008" i="8" l="1"/>
  <c r="H1944" i="8"/>
  <c r="H1880" i="8"/>
  <c r="H2072" i="8"/>
  <c r="B1946" i="8"/>
  <c r="B1882" i="8"/>
  <c r="B2010" i="8"/>
  <c r="B2074" i="8"/>
  <c r="F2073" i="8"/>
  <c r="H1945" i="8" a="1"/>
  <c r="H2009" i="8" a="1"/>
  <c r="F1881" i="8"/>
  <c r="F2009" i="8"/>
  <c r="H2073" i="8" a="1"/>
  <c r="F1945" i="8"/>
  <c r="H1881" i="8" a="1"/>
  <c r="H1881" i="8" l="1"/>
  <c r="H2009" i="8"/>
  <c r="H2073" i="8"/>
  <c r="H1945" i="8"/>
  <c r="B2075" i="8"/>
  <c r="B1947" i="8"/>
  <c r="B1883" i="8"/>
  <c r="B2011" i="8"/>
  <c r="H2074" i="8" a="1"/>
  <c r="F2074" i="8"/>
  <c r="F2010" i="8"/>
  <c r="H2010" i="8" a="1"/>
  <c r="H1946" i="8" a="1"/>
  <c r="H1882" i="8" a="1"/>
  <c r="F1946" i="8"/>
  <c r="F1882" i="8"/>
  <c r="H1946" i="8" l="1"/>
  <c r="H2010" i="8"/>
  <c r="H1882" i="8"/>
  <c r="H2074" i="8"/>
  <c r="B1948" i="8"/>
  <c r="B1884" i="8"/>
  <c r="B2076" i="8"/>
  <c r="B2012" i="8"/>
  <c r="F1947" i="8"/>
  <c r="F2075" i="8"/>
  <c r="H1883" i="8" a="1"/>
  <c r="F1883" i="8"/>
  <c r="F2011" i="8"/>
  <c r="H2011" i="8" a="1"/>
  <c r="H1947" i="8" a="1"/>
  <c r="H2075" i="8" a="1"/>
  <c r="H2075" i="8" l="1"/>
  <c r="H1883" i="8"/>
  <c r="H2011" i="8"/>
  <c r="H1947" i="8"/>
  <c r="B2077" i="8"/>
  <c r="B1949" i="8"/>
  <c r="B1885" i="8"/>
  <c r="B2013" i="8"/>
  <c r="H2076" i="8" a="1"/>
  <c r="H1948" i="8" a="1"/>
  <c r="F2012" i="8"/>
  <c r="H2012" i="8" a="1"/>
  <c r="F1948" i="8"/>
  <c r="F2076" i="8"/>
  <c r="H1884" i="8" a="1"/>
  <c r="F1884" i="8"/>
  <c r="H1948" i="8" l="1"/>
  <c r="H2012" i="8"/>
  <c r="H1884" i="8"/>
  <c r="H2076" i="8"/>
  <c r="B2014" i="8"/>
  <c r="B2078" i="8"/>
  <c r="B1950" i="8"/>
  <c r="B1886" i="8"/>
  <c r="F2013" i="8"/>
  <c r="H1949" i="8" a="1"/>
  <c r="H2077" i="8" a="1"/>
  <c r="H2013" i="8" a="1"/>
  <c r="H1885" i="8" a="1"/>
  <c r="F1885" i="8"/>
  <c r="F1949" i="8"/>
  <c r="F2077" i="8"/>
  <c r="H1885" i="8" l="1"/>
  <c r="H2077" i="8"/>
  <c r="H1949" i="8"/>
  <c r="H2013" i="8"/>
  <c r="B1951" i="8"/>
  <c r="B1887" i="8"/>
  <c r="B2015" i="8"/>
  <c r="B2079" i="8"/>
  <c r="F2078" i="8"/>
  <c r="H1950" i="8" a="1"/>
  <c r="F1950" i="8"/>
  <c r="F1886" i="8"/>
  <c r="F2014" i="8"/>
  <c r="H2078" i="8" a="1"/>
  <c r="H2014" i="8" a="1"/>
  <c r="H1886" i="8" a="1"/>
  <c r="H1886" i="8" l="1"/>
  <c r="H2014" i="8"/>
  <c r="H2078" i="8"/>
  <c r="H1950" i="8"/>
  <c r="B2080" i="8"/>
  <c r="B1952" i="8"/>
  <c r="B1888" i="8"/>
  <c r="B2016" i="8"/>
  <c r="H2079" i="8" a="1"/>
  <c r="F2079" i="8"/>
  <c r="F2015" i="8"/>
  <c r="H2015" i="8" a="1"/>
  <c r="H1951" i="8" a="1"/>
  <c r="H1887" i="8" a="1"/>
  <c r="F1951" i="8"/>
  <c r="F1887" i="8"/>
  <c r="H1951" i="8" l="1"/>
  <c r="H2015" i="8"/>
  <c r="H1887" i="8"/>
  <c r="H2079" i="8"/>
  <c r="B1953" i="8"/>
  <c r="B2081" i="8"/>
  <c r="B2017" i="8"/>
  <c r="H2080" i="8" a="1"/>
  <c r="H2016" i="8" a="1"/>
  <c r="H1888" i="8" a="1"/>
  <c r="F2080" i="8"/>
  <c r="F1888" i="8"/>
  <c r="F2016" i="8"/>
  <c r="H1952" i="8" a="1"/>
  <c r="F1952" i="8"/>
  <c r="H2080" i="8" l="1"/>
  <c r="H1888" i="8"/>
  <c r="H2016" i="8"/>
  <c r="H1952" i="8"/>
  <c r="B2082" i="8"/>
  <c r="B2018" i="8"/>
  <c r="B1954" i="8"/>
  <c r="H1953" i="8" a="1"/>
  <c r="F2017" i="8"/>
  <c r="H2081" i="8" a="1"/>
  <c r="F1953" i="8"/>
  <c r="H2017" i="8" a="1"/>
  <c r="F2081" i="8"/>
  <c r="H1953" i="8" l="1"/>
  <c r="H2081" i="8"/>
  <c r="H2017" i="8"/>
  <c r="B2019" i="8"/>
  <c r="B1955" i="8"/>
  <c r="B2083" i="8"/>
  <c r="F2018" i="8"/>
  <c r="F1954" i="8"/>
  <c r="H1954" i="8" a="1"/>
  <c r="H2082" i="8" a="1"/>
  <c r="F2082" i="8"/>
  <c r="H2018" i="8" a="1"/>
  <c r="H2018" i="8" l="1"/>
  <c r="H1954" i="8"/>
  <c r="H2082" i="8"/>
  <c r="B2084" i="8"/>
  <c r="B2020" i="8"/>
  <c r="B1956" i="8"/>
  <c r="F2083" i="8"/>
  <c r="F2019" i="8"/>
  <c r="H2083" i="8" a="1"/>
  <c r="H2019" i="8" a="1"/>
  <c r="F1955" i="8"/>
  <c r="H1955" i="8" a="1"/>
  <c r="H2083" i="8" l="1"/>
  <c r="H1955" i="8"/>
  <c r="H2019" i="8"/>
  <c r="B2021" i="8"/>
  <c r="B1957" i="8"/>
  <c r="B2085" i="8"/>
  <c r="H2020" i="8" a="1"/>
  <c r="H2084" i="8" a="1"/>
  <c r="F2020" i="8"/>
  <c r="F1956" i="8"/>
  <c r="F2084" i="8"/>
  <c r="H1956" i="8" a="1"/>
  <c r="H2020" i="8" l="1"/>
  <c r="H1956" i="8"/>
  <c r="H2084" i="8"/>
  <c r="B2022" i="8"/>
  <c r="B1958" i="8"/>
  <c r="B2086" i="8"/>
  <c r="F1957" i="8"/>
  <c r="H2085" i="8" a="1"/>
  <c r="H1957" i="8" a="1"/>
  <c r="F2021" i="8"/>
  <c r="F2085" i="8"/>
  <c r="H2021" i="8" a="1"/>
  <c r="H2021" i="8" l="1"/>
  <c r="H1957" i="8"/>
  <c r="H2085" i="8"/>
  <c r="B2087" i="8"/>
  <c r="B2023" i="8"/>
  <c r="B1959" i="8"/>
  <c r="F2086" i="8"/>
  <c r="F2022" i="8"/>
  <c r="H2086" i="8" a="1"/>
  <c r="H2022" i="8" a="1"/>
  <c r="F1958" i="8"/>
  <c r="H1958" i="8" a="1"/>
  <c r="H2086" i="8" l="1"/>
  <c r="H1958" i="8"/>
  <c r="H2022" i="8"/>
  <c r="B2024" i="8"/>
  <c r="B1960" i="8"/>
  <c r="B2088" i="8"/>
  <c r="H2023" i="8" a="1"/>
  <c r="H2087" i="8" a="1"/>
  <c r="F1959" i="8"/>
  <c r="F2023" i="8"/>
  <c r="F2087" i="8"/>
  <c r="H1959" i="8" a="1"/>
  <c r="H2023" i="8" l="1"/>
  <c r="H1959" i="8"/>
  <c r="H2087" i="8"/>
  <c r="B2025" i="8"/>
  <c r="B1961" i="8"/>
  <c r="B2089" i="8"/>
  <c r="H2024" i="8" a="1"/>
  <c r="H2088" i="8" a="1"/>
  <c r="H1960" i="8" a="1"/>
  <c r="F2024" i="8"/>
  <c r="F2088" i="8"/>
  <c r="F1960" i="8"/>
  <c r="H2024" i="8" l="1"/>
  <c r="H1960" i="8"/>
  <c r="H2088" i="8"/>
  <c r="B2090" i="8"/>
  <c r="B2026" i="8"/>
  <c r="B1962" i="8"/>
  <c r="F2089" i="8"/>
  <c r="F2025" i="8"/>
  <c r="H2025" i="8" a="1"/>
  <c r="H1961" i="8" a="1"/>
  <c r="F1961" i="8"/>
  <c r="H2089" i="8" a="1"/>
  <c r="H1961" i="8" l="1"/>
  <c r="H2089" i="8"/>
  <c r="H2025" i="8"/>
  <c r="B2027" i="8"/>
  <c r="B1963" i="8"/>
  <c r="B2091" i="8"/>
  <c r="H2026" i="8" a="1"/>
  <c r="H2090" i="8" a="1"/>
  <c r="F2026" i="8"/>
  <c r="F1962" i="8"/>
  <c r="F2090" i="8"/>
  <c r="H1962" i="8" a="1"/>
  <c r="H2026" i="8" l="1"/>
  <c r="H1962" i="8"/>
  <c r="H2090" i="8"/>
  <c r="B2028" i="8"/>
  <c r="B1964" i="8"/>
  <c r="B2092" i="8"/>
  <c r="H2027" i="8" a="1"/>
  <c r="F1963" i="8"/>
  <c r="H1963" i="8" a="1"/>
  <c r="F2027" i="8"/>
  <c r="F2091" i="8"/>
  <c r="H2091" i="8" a="1"/>
  <c r="H2027" i="8" l="1"/>
  <c r="H1963" i="8"/>
  <c r="H2091" i="8"/>
  <c r="B2093" i="8"/>
  <c r="B2029" i="8"/>
  <c r="B1965" i="8"/>
  <c r="H1964" i="8" a="1"/>
  <c r="F2028" i="8"/>
  <c r="F2092" i="8"/>
  <c r="H2028" i="8" a="1"/>
  <c r="F1964" i="8"/>
  <c r="H2092" i="8" a="1"/>
  <c r="H1964" i="8" l="1"/>
  <c r="H2092" i="8"/>
  <c r="H2028" i="8"/>
  <c r="B2030" i="8"/>
  <c r="B1966" i="8"/>
  <c r="B2094" i="8"/>
  <c r="F2093" i="8"/>
  <c r="F1965" i="8"/>
  <c r="F2029" i="8"/>
  <c r="H1965" i="8" a="1"/>
  <c r="H2029" i="8" a="1"/>
  <c r="H2093" i="8" a="1"/>
  <c r="H2029" i="8" l="1"/>
  <c r="H1965" i="8"/>
  <c r="H2093" i="8"/>
  <c r="B2031" i="8"/>
  <c r="B1967" i="8"/>
  <c r="B2095" i="8"/>
  <c r="F1966" i="8"/>
  <c r="H2094" i="8" a="1"/>
  <c r="H1966" i="8" a="1"/>
  <c r="F2030" i="8"/>
  <c r="F2094" i="8"/>
  <c r="H2030" i="8" a="1"/>
  <c r="H2030" i="8" l="1"/>
  <c r="H1966" i="8"/>
  <c r="H2094" i="8"/>
  <c r="B2096" i="8"/>
  <c r="B2032" i="8"/>
  <c r="B1968" i="8"/>
  <c r="F2095" i="8"/>
  <c r="F2031" i="8"/>
  <c r="H1967" i="8" a="1"/>
  <c r="H2031" i="8" a="1"/>
  <c r="F1967" i="8"/>
  <c r="H2095" i="8" a="1"/>
  <c r="H1967" i="8" l="1"/>
  <c r="H2095" i="8"/>
  <c r="H2031" i="8"/>
  <c r="B2033" i="8"/>
  <c r="B1969" i="8"/>
  <c r="B2097" i="8"/>
  <c r="H2032" i="8" a="1"/>
  <c r="H2096" i="8" a="1"/>
  <c r="F1968" i="8"/>
  <c r="F2032" i="8"/>
  <c r="F2096" i="8"/>
  <c r="H1968" i="8" a="1"/>
  <c r="H2032" i="8" l="1"/>
  <c r="H1968" i="8"/>
  <c r="H2096" i="8"/>
  <c r="B2034" i="8"/>
  <c r="B1970" i="8"/>
  <c r="B2162" i="8"/>
  <c r="B2098" i="8"/>
  <c r="F2033" i="8"/>
  <c r="H1969" i="8" a="1"/>
  <c r="F1969" i="8"/>
  <c r="H2033" i="8" a="1"/>
  <c r="F2097" i="8"/>
  <c r="H2097" i="8" a="1"/>
  <c r="H1969" i="8" l="1"/>
  <c r="H2097" i="8"/>
  <c r="H2033" i="8"/>
  <c r="B2163" i="8"/>
  <c r="B2099" i="8"/>
  <c r="B2035" i="8"/>
  <c r="B1971" i="8"/>
  <c r="H2034" i="8" a="1"/>
  <c r="H1970" i="8" a="1"/>
  <c r="F2162" i="8"/>
  <c r="H2162" i="8" a="1"/>
  <c r="H2098" i="8" a="1"/>
  <c r="F2034" i="8"/>
  <c r="F1970" i="8"/>
  <c r="F2098" i="8"/>
  <c r="H1970" i="8" l="1"/>
  <c r="H2162" i="8"/>
  <c r="H2034" i="8"/>
  <c r="H2098" i="8"/>
  <c r="B2100" i="8"/>
  <c r="B2036" i="8"/>
  <c r="B1972" i="8"/>
  <c r="B2164" i="8"/>
  <c r="H2163" i="8" a="1"/>
  <c r="F2099" i="8"/>
  <c r="F2035" i="8"/>
  <c r="H2035" i="8" a="1"/>
  <c r="H2099" i="8" a="1"/>
  <c r="H1971" i="8" a="1"/>
  <c r="F1971" i="8"/>
  <c r="F2163" i="8"/>
  <c r="H2099" i="8" l="1"/>
  <c r="H2035" i="8"/>
  <c r="H1971" i="8"/>
  <c r="H2163" i="8"/>
  <c r="B2037" i="8"/>
  <c r="B1973" i="8"/>
  <c r="B2101" i="8"/>
  <c r="B2165" i="8"/>
  <c r="F2164" i="8"/>
  <c r="H2036" i="8" a="1"/>
  <c r="F1972" i="8"/>
  <c r="F2100" i="8"/>
  <c r="H1972" i="8" a="1"/>
  <c r="H2100" i="8" a="1"/>
  <c r="F2036" i="8"/>
  <c r="H2164" i="8" a="1"/>
  <c r="H1972" i="8" l="1"/>
  <c r="H2100" i="8"/>
  <c r="H2164" i="8"/>
  <c r="H2036" i="8"/>
  <c r="B2166" i="8"/>
  <c r="B2038" i="8"/>
  <c r="B1974" i="8"/>
  <c r="B2102" i="8"/>
  <c r="F1973" i="8"/>
  <c r="F2165" i="8"/>
  <c r="F2101" i="8"/>
  <c r="H2037" i="8" a="1"/>
  <c r="H2101" i="8" a="1"/>
  <c r="H1973" i="8" a="1"/>
  <c r="H2165" i="8" a="1"/>
  <c r="F2037" i="8"/>
  <c r="H2037" i="8" l="1"/>
  <c r="H2101" i="8"/>
  <c r="H1973" i="8"/>
  <c r="H2165" i="8"/>
  <c r="B2103" i="8"/>
  <c r="B2167" i="8"/>
  <c r="B2039" i="8"/>
  <c r="B1975" i="8"/>
  <c r="F2102" i="8"/>
  <c r="H2038" i="8" a="1"/>
  <c r="F2166" i="8"/>
  <c r="H2102" i="8" a="1"/>
  <c r="H2166" i="8" a="1"/>
  <c r="F1974" i="8"/>
  <c r="F2038" i="8"/>
  <c r="H1974" i="8" a="1"/>
  <c r="H2166" i="8" l="1"/>
  <c r="H2038" i="8"/>
  <c r="H2102" i="8"/>
  <c r="H1974" i="8"/>
  <c r="B2040" i="8"/>
  <c r="B1976" i="8"/>
  <c r="B2104" i="8"/>
  <c r="B2168" i="8"/>
  <c r="F2167" i="8"/>
  <c r="H2103" i="8" a="1"/>
  <c r="F1975" i="8"/>
  <c r="H2167" i="8" a="1"/>
  <c r="F2103" i="8"/>
  <c r="H1975" i="8" a="1"/>
  <c r="H2039" i="8" a="1"/>
  <c r="F2039" i="8"/>
  <c r="H1975" i="8" l="1"/>
  <c r="H2103" i="8"/>
  <c r="H2167" i="8"/>
  <c r="H2039" i="8"/>
  <c r="B2169" i="8"/>
  <c r="B2041" i="8"/>
  <c r="B1977" i="8"/>
  <c r="B2105" i="8"/>
  <c r="H2168" i="8" a="1"/>
  <c r="H2040" i="8" a="1"/>
  <c r="F2104" i="8"/>
  <c r="H2104" i="8" a="1"/>
  <c r="F1976" i="8"/>
  <c r="F2168" i="8"/>
  <c r="H1976" i="8" a="1"/>
  <c r="F2040" i="8"/>
  <c r="H2040" i="8" l="1"/>
  <c r="H2104" i="8"/>
  <c r="H1976" i="8"/>
  <c r="H2168" i="8"/>
  <c r="B2042" i="8"/>
  <c r="B1978" i="8"/>
  <c r="B2170" i="8"/>
  <c r="B2106" i="8"/>
  <c r="F2041" i="8"/>
  <c r="H2105" i="8" a="1"/>
  <c r="H1977" i="8" a="1"/>
  <c r="H2041" i="8" a="1"/>
  <c r="H2169" i="8" a="1"/>
  <c r="F2105" i="8"/>
  <c r="F1977" i="8"/>
  <c r="F2169" i="8"/>
  <c r="H2169" i="8" l="1"/>
  <c r="H1977" i="8"/>
  <c r="H2105" i="8"/>
  <c r="H2041" i="8"/>
  <c r="B2171" i="8"/>
  <c r="B2043" i="8"/>
  <c r="B1979" i="8"/>
  <c r="B2107" i="8"/>
  <c r="H2170" i="8" a="1"/>
  <c r="F2106" i="8"/>
  <c r="F2170" i="8"/>
  <c r="H2106" i="8" a="1"/>
  <c r="F2042" i="8"/>
  <c r="F1978" i="8"/>
  <c r="H1978" i="8" a="1"/>
  <c r="H2042" i="8" a="1"/>
  <c r="H2042" i="8" l="1"/>
  <c r="H2106" i="8"/>
  <c r="H1978" i="8"/>
  <c r="H2170" i="8"/>
  <c r="B2108" i="8"/>
  <c r="B2172" i="8"/>
  <c r="B2044" i="8"/>
  <c r="H2171" i="8" a="1"/>
  <c r="H2107" i="8" a="1"/>
  <c r="F2171" i="8"/>
  <c r="F2107" i="8"/>
  <c r="F2043" i="8"/>
  <c r="H2043" i="8" a="1"/>
  <c r="H1979" i="8" a="1"/>
  <c r="F1979" i="8"/>
  <c r="H2171" i="8" l="1"/>
  <c r="H2043" i="8"/>
  <c r="H2107" i="8"/>
  <c r="H1979" i="8"/>
  <c r="B2109" i="8"/>
  <c r="B2045" i="8"/>
  <c r="B2173" i="8"/>
  <c r="F2108" i="8"/>
  <c r="F2172" i="8"/>
  <c r="H2108" i="8" a="1"/>
  <c r="H2172" i="8" a="1"/>
  <c r="F2044" i="8"/>
  <c r="H2044" i="8" a="1"/>
  <c r="H2108" i="8" l="1"/>
  <c r="H2044" i="8"/>
  <c r="H2172" i="8"/>
  <c r="B2110" i="8"/>
  <c r="B2046" i="8"/>
  <c r="B2174" i="8"/>
  <c r="F2045" i="8"/>
  <c r="F2109" i="8"/>
  <c r="H2109" i="8" a="1"/>
  <c r="H2173" i="8" a="1"/>
  <c r="F2173" i="8"/>
  <c r="H2045" i="8" a="1"/>
  <c r="H2109" i="8" l="1"/>
  <c r="H2045" i="8"/>
  <c r="H2173" i="8"/>
  <c r="B2175" i="8"/>
  <c r="B2111" i="8"/>
  <c r="B2047" i="8"/>
  <c r="F2174" i="8"/>
  <c r="F2110" i="8"/>
  <c r="F2046" i="8"/>
  <c r="H2174" i="8" a="1"/>
  <c r="H2110" i="8" a="1"/>
  <c r="H2046" i="8" a="1"/>
  <c r="H2174" i="8" l="1"/>
  <c r="H2046" i="8"/>
  <c r="H2110" i="8"/>
  <c r="B2112" i="8"/>
  <c r="B2048" i="8"/>
  <c r="B2176" i="8"/>
  <c r="H2111" i="8" a="1"/>
  <c r="H2175" i="8" a="1"/>
  <c r="F2111" i="8"/>
  <c r="F2047" i="8"/>
  <c r="F2175" i="8"/>
  <c r="H2047" i="8" a="1"/>
  <c r="H2111" i="8" l="1"/>
  <c r="H2047" i="8"/>
  <c r="H2175" i="8"/>
  <c r="B2113" i="8"/>
  <c r="B2049" i="8"/>
  <c r="B2177" i="8"/>
  <c r="F2048" i="8"/>
  <c r="H2176" i="8" a="1"/>
  <c r="H2048" i="8" a="1"/>
  <c r="F2112" i="8"/>
  <c r="F2176" i="8"/>
  <c r="H2112" i="8" a="1"/>
  <c r="H2112" i="8" l="1"/>
  <c r="H2048" i="8"/>
  <c r="H2176" i="8"/>
  <c r="B2178" i="8"/>
  <c r="B2114" i="8"/>
  <c r="B2050" i="8"/>
  <c r="F2177" i="8"/>
  <c r="F2113" i="8"/>
  <c r="H2049" i="8" a="1"/>
  <c r="H2113" i="8" a="1"/>
  <c r="F2049" i="8"/>
  <c r="H2177" i="8" a="1"/>
  <c r="H2049" i="8" l="1"/>
  <c r="H2177" i="8"/>
  <c r="H2113" i="8"/>
  <c r="B2115" i="8"/>
  <c r="B2051" i="8"/>
  <c r="B2179" i="8"/>
  <c r="H2114" i="8" a="1"/>
  <c r="H2178" i="8" a="1"/>
  <c r="F2114" i="8"/>
  <c r="F2050" i="8"/>
  <c r="F2178" i="8"/>
  <c r="H2050" i="8" a="1"/>
  <c r="H2114" i="8" l="1"/>
  <c r="H2050" i="8"/>
  <c r="H2178" i="8"/>
  <c r="B2116" i="8"/>
  <c r="B2052" i="8"/>
  <c r="B2180" i="8"/>
  <c r="H2115" i="8" a="1"/>
  <c r="H2179" i="8" a="1"/>
  <c r="H2051" i="8" a="1"/>
  <c r="F2115" i="8"/>
  <c r="F2179" i="8"/>
  <c r="F2051" i="8"/>
  <c r="H2115" i="8" l="1"/>
  <c r="H2051" i="8"/>
  <c r="H2179" i="8"/>
  <c r="B2181" i="8"/>
  <c r="B2117" i="8"/>
  <c r="B2053" i="8"/>
  <c r="F2180" i="8"/>
  <c r="F2116" i="8"/>
  <c r="F2052" i="8"/>
  <c r="H2180" i="8" a="1"/>
  <c r="H2116" i="8" a="1"/>
  <c r="H2052" i="8" a="1"/>
  <c r="H2180" i="8" l="1"/>
  <c r="H2052" i="8"/>
  <c r="H2116" i="8"/>
  <c r="B2118" i="8"/>
  <c r="B2054" i="8"/>
  <c r="B2182" i="8"/>
  <c r="H2117" i="8" a="1"/>
  <c r="H2181" i="8" a="1"/>
  <c r="F2117" i="8"/>
  <c r="F2053" i="8"/>
  <c r="F2181" i="8"/>
  <c r="H2053" i="8" a="1"/>
  <c r="H2117" i="8" l="1"/>
  <c r="H2053" i="8"/>
  <c r="H2181" i="8"/>
  <c r="B2119" i="8"/>
  <c r="B2055" i="8"/>
  <c r="B2183" i="8"/>
  <c r="H2118" i="8" a="1"/>
  <c r="F2118" i="8"/>
  <c r="H2054" i="8" a="1"/>
  <c r="H2182" i="8" a="1"/>
  <c r="F2182" i="8"/>
  <c r="F2054" i="8"/>
  <c r="H2118" i="8" l="1"/>
  <c r="H2054" i="8"/>
  <c r="H2182" i="8"/>
  <c r="B2184" i="8"/>
  <c r="B2120" i="8"/>
  <c r="B2056" i="8"/>
  <c r="F2183" i="8"/>
  <c r="F2119" i="8"/>
  <c r="H2055" i="8" a="1"/>
  <c r="H2119" i="8" a="1"/>
  <c r="F2055" i="8"/>
  <c r="H2183" i="8" a="1"/>
  <c r="H2055" i="8" l="1"/>
  <c r="H2183" i="8"/>
  <c r="H2119" i="8"/>
  <c r="B2121" i="8"/>
  <c r="B2057" i="8"/>
  <c r="B2185" i="8"/>
  <c r="F2056" i="8"/>
  <c r="H2184" i="8" a="1"/>
  <c r="H2120" i="8" a="1"/>
  <c r="H2056" i="8" a="1"/>
  <c r="F2120" i="8"/>
  <c r="F2184" i="8"/>
  <c r="H2120" i="8" l="1"/>
  <c r="H2056" i="8"/>
  <c r="H2184" i="8"/>
  <c r="B2122" i="8"/>
  <c r="B2058" i="8"/>
  <c r="B2186" i="8"/>
  <c r="H2057" i="8" a="1"/>
  <c r="H2185" i="8" a="1"/>
  <c r="F2121" i="8"/>
  <c r="F2057" i="8"/>
  <c r="F2185" i="8"/>
  <c r="H2121" i="8" a="1"/>
  <c r="H2121" i="8" l="1"/>
  <c r="H2057" i="8"/>
  <c r="H2185" i="8"/>
  <c r="B2187" i="8"/>
  <c r="B2123" i="8"/>
  <c r="B2059" i="8"/>
  <c r="F2186" i="8"/>
  <c r="H2122" i="8" a="1"/>
  <c r="H2058" i="8" a="1"/>
  <c r="F2122" i="8"/>
  <c r="F2058" i="8"/>
  <c r="H2186" i="8" a="1"/>
  <c r="H2058" i="8" l="1"/>
  <c r="H2122" i="8"/>
  <c r="H2186" i="8"/>
  <c r="B2124" i="8"/>
  <c r="B2060" i="8"/>
  <c r="B2188" i="8"/>
  <c r="F2059" i="8"/>
  <c r="H2187" i="8" a="1"/>
  <c r="H2123" i="8" a="1"/>
  <c r="F2187" i="8"/>
  <c r="F2123" i="8"/>
  <c r="H2059" i="8" a="1"/>
  <c r="H2123" i="8" l="1"/>
  <c r="H2059" i="8"/>
  <c r="H2187" i="8"/>
  <c r="B2125" i="8"/>
  <c r="B2061" i="8"/>
  <c r="B2253" i="8"/>
  <c r="B2189" i="8"/>
  <c r="F2124" i="8"/>
  <c r="F2188" i="8"/>
  <c r="F2060" i="8"/>
  <c r="H2060" i="8" a="1"/>
  <c r="H2124" i="8" a="1"/>
  <c r="H2188" i="8" a="1"/>
  <c r="H2060" i="8" l="1"/>
  <c r="H2188" i="8"/>
  <c r="H2124" i="8"/>
  <c r="B2190" i="8"/>
  <c r="B2254" i="8"/>
  <c r="B2126" i="8"/>
  <c r="B2062" i="8"/>
  <c r="H2189" i="8" a="1"/>
  <c r="H2253" i="8" a="1"/>
  <c r="F2253" i="8"/>
  <c r="H2061" i="8" a="1"/>
  <c r="F2061" i="8"/>
  <c r="F2125" i="8"/>
  <c r="F2189" i="8"/>
  <c r="H2125" i="8" a="1"/>
  <c r="H2125" i="8" l="1"/>
  <c r="H2189" i="8"/>
  <c r="H2061" i="8"/>
  <c r="H2253" i="8"/>
  <c r="B2255" i="8"/>
  <c r="B2191" i="8"/>
  <c r="B2127" i="8"/>
  <c r="B2063" i="8"/>
  <c r="F2126" i="8"/>
  <c r="H2190" i="8" a="1"/>
  <c r="H2062" i="8" a="1"/>
  <c r="H2126" i="8" a="1"/>
  <c r="F2190" i="8"/>
  <c r="F2254" i="8"/>
  <c r="F2062" i="8"/>
  <c r="H2254" i="8" a="1"/>
  <c r="H2254" i="8" l="1"/>
  <c r="H2190" i="8"/>
  <c r="H2126" i="8"/>
  <c r="H2062" i="8"/>
  <c r="B2256" i="8"/>
  <c r="B2192" i="8"/>
  <c r="B2128" i="8"/>
  <c r="B2064" i="8"/>
  <c r="F2127" i="8"/>
  <c r="F2063" i="8"/>
  <c r="H2191" i="8" a="1"/>
  <c r="H2127" i="8" a="1"/>
  <c r="F2255" i="8"/>
  <c r="H2063" i="8" a="1"/>
  <c r="H2255" i="8" a="1"/>
  <c r="F2191" i="8"/>
  <c r="H2255" i="8" l="1"/>
  <c r="H2191" i="8"/>
  <c r="H2127" i="8"/>
  <c r="H2063" i="8"/>
  <c r="B2129" i="8"/>
  <c r="B2065" i="8"/>
  <c r="B2257" i="8"/>
  <c r="B2193" i="8"/>
  <c r="F2128" i="8"/>
  <c r="H2256" i="8" a="1"/>
  <c r="F2192" i="8"/>
  <c r="H2064" i="8" a="1"/>
  <c r="F2064" i="8"/>
  <c r="H2192" i="8" a="1"/>
  <c r="H2128" i="8" a="1"/>
  <c r="F2256" i="8"/>
  <c r="H2256" i="8" l="1"/>
  <c r="H2192" i="8"/>
  <c r="H2064" i="8"/>
  <c r="H2128" i="8"/>
  <c r="B2130" i="8"/>
  <c r="B2066" i="8"/>
  <c r="B2258" i="8"/>
  <c r="B2194" i="8"/>
  <c r="H2257" i="8" a="1"/>
  <c r="F2257" i="8"/>
  <c r="F2193" i="8"/>
  <c r="H2129" i="8" a="1"/>
  <c r="F2065" i="8"/>
  <c r="F2129" i="8"/>
  <c r="H2065" i="8" a="1"/>
  <c r="H2193" i="8" a="1"/>
  <c r="H2129" i="8" l="1"/>
  <c r="H2193" i="8"/>
  <c r="H2065" i="8"/>
  <c r="H2257" i="8"/>
  <c r="B2259" i="8"/>
  <c r="B2131" i="8"/>
  <c r="B2067" i="8"/>
  <c r="B2195" i="8"/>
  <c r="H2258" i="8" a="1"/>
  <c r="F2258" i="8"/>
  <c r="H2130" i="8" a="1"/>
  <c r="F2066" i="8"/>
  <c r="H2194" i="8" a="1"/>
  <c r="F2130" i="8"/>
  <c r="F2194" i="8"/>
  <c r="H2066" i="8" a="1"/>
  <c r="H2066" i="8" l="1"/>
  <c r="H2194" i="8"/>
  <c r="H2130" i="8"/>
  <c r="H2258" i="8"/>
  <c r="B2196" i="8"/>
  <c r="B2260" i="8"/>
  <c r="B2132" i="8"/>
  <c r="B2068" i="8"/>
  <c r="F2195" i="8"/>
  <c r="H2131" i="8" a="1"/>
  <c r="H2067" i="8" a="1"/>
  <c r="H2195" i="8" a="1"/>
  <c r="F2131" i="8"/>
  <c r="F2259" i="8"/>
  <c r="F2067" i="8"/>
  <c r="H2259" i="8" a="1"/>
  <c r="H2259" i="8" l="1"/>
  <c r="H2131" i="8"/>
  <c r="H2195" i="8"/>
  <c r="H2067" i="8"/>
  <c r="B2133" i="8"/>
  <c r="B2069" i="8"/>
  <c r="B2197" i="8"/>
  <c r="B2261" i="8"/>
  <c r="F2260" i="8"/>
  <c r="H2132" i="8" a="1"/>
  <c r="H2260" i="8" a="1"/>
  <c r="F2068" i="8"/>
  <c r="F2196" i="8"/>
  <c r="H2068" i="8" a="1"/>
  <c r="H2196" i="8" a="1"/>
  <c r="F2132" i="8"/>
  <c r="H2068" i="8" l="1"/>
  <c r="H2196" i="8"/>
  <c r="H2260" i="8"/>
  <c r="H2132" i="8"/>
  <c r="B2262" i="8"/>
  <c r="B2134" i="8"/>
  <c r="B2070" i="8"/>
  <c r="B2198" i="8"/>
  <c r="H2261" i="8" a="1"/>
  <c r="F2261" i="8"/>
  <c r="F2197" i="8"/>
  <c r="H2197" i="8" a="1"/>
  <c r="H2133" i="8" a="1"/>
  <c r="H2069" i="8" a="1"/>
  <c r="F2133" i="8"/>
  <c r="F2069" i="8"/>
  <c r="H2133" i="8" l="1"/>
  <c r="H2197" i="8"/>
  <c r="H2069" i="8"/>
  <c r="H2261" i="8"/>
  <c r="B2135" i="8"/>
  <c r="B2263" i="8"/>
  <c r="B2199" i="8"/>
  <c r="H2262" i="8" a="1"/>
  <c r="H2198" i="8" a="1"/>
  <c r="F2262" i="8"/>
  <c r="H2070" i="8" a="1"/>
  <c r="F2070" i="8"/>
  <c r="F2198" i="8"/>
  <c r="H2134" i="8" a="1"/>
  <c r="F2134" i="8"/>
  <c r="H2262" i="8" l="1"/>
  <c r="H2070" i="8"/>
  <c r="H2198" i="8"/>
  <c r="H2134" i="8"/>
  <c r="B2264" i="8"/>
  <c r="B2200" i="8"/>
  <c r="B2136" i="8"/>
  <c r="H2135" i="8" a="1"/>
  <c r="F2199" i="8"/>
  <c r="H2263" i="8" a="1"/>
  <c r="F2135" i="8"/>
  <c r="H2199" i="8" a="1"/>
  <c r="F2263" i="8"/>
  <c r="H2135" i="8" l="1"/>
  <c r="H2263" i="8"/>
  <c r="H2199" i="8"/>
  <c r="B2201" i="8"/>
  <c r="B2137" i="8"/>
  <c r="B2265" i="8"/>
  <c r="H2200" i="8" a="1"/>
  <c r="F2136" i="8"/>
  <c r="H2136" i="8" a="1"/>
  <c r="H2264" i="8" a="1"/>
  <c r="F2264" i="8"/>
  <c r="F2200" i="8"/>
  <c r="H2200" i="8" l="1"/>
  <c r="H2136" i="8"/>
  <c r="H2264" i="8"/>
  <c r="B2266" i="8"/>
  <c r="B2202" i="8"/>
  <c r="B2138" i="8"/>
  <c r="F2137" i="8"/>
  <c r="H2201" i="8" a="1"/>
  <c r="H2137" i="8" a="1"/>
  <c r="F2201" i="8"/>
  <c r="H2265" i="8" a="1"/>
  <c r="F2265" i="8"/>
  <c r="H2137" i="8" l="1"/>
  <c r="H2265" i="8"/>
  <c r="H2201" i="8"/>
  <c r="B2203" i="8"/>
  <c r="B2139" i="8"/>
  <c r="B2267" i="8"/>
  <c r="F2266" i="8"/>
  <c r="H2138" i="8" a="1"/>
  <c r="H2266" i="8" a="1"/>
  <c r="F2202" i="8"/>
  <c r="H2202" i="8" a="1"/>
  <c r="F2138" i="8"/>
  <c r="H2266" i="8" l="1"/>
  <c r="H2138" i="8"/>
  <c r="H2202" i="8"/>
  <c r="B2204" i="8"/>
  <c r="B2140" i="8"/>
  <c r="B2268" i="8"/>
  <c r="H2203" i="8" a="1"/>
  <c r="H2267" i="8" a="1"/>
  <c r="H2139" i="8" a="1"/>
  <c r="F2139" i="8"/>
  <c r="F2267" i="8"/>
  <c r="F2203" i="8"/>
  <c r="H2203" i="8" l="1"/>
  <c r="H2139" i="8"/>
  <c r="H2267" i="8"/>
  <c r="B2269" i="8"/>
  <c r="B2205" i="8"/>
  <c r="B2141" i="8"/>
  <c r="F2204" i="8"/>
  <c r="H2204" i="8" a="1"/>
  <c r="H2268" i="8" a="1"/>
  <c r="F2140" i="8"/>
  <c r="H2140" i="8" a="1"/>
  <c r="F2268" i="8"/>
  <c r="H2140" i="8" l="1"/>
  <c r="H2268" i="8"/>
  <c r="H2204" i="8"/>
  <c r="B2206" i="8"/>
  <c r="B2142" i="8"/>
  <c r="B2270" i="8"/>
  <c r="F2269" i="8"/>
  <c r="H2141" i="8" a="1"/>
  <c r="F2141" i="8"/>
  <c r="H2269" i="8" a="1"/>
  <c r="F2205" i="8"/>
  <c r="H2205" i="8" a="1"/>
  <c r="H2269" i="8" l="1"/>
  <c r="H2141" i="8"/>
  <c r="H2205" i="8"/>
  <c r="B2207" i="8"/>
  <c r="B2143" i="8"/>
  <c r="B2271" i="8"/>
  <c r="H2206" i="8" a="1"/>
  <c r="H2270" i="8" a="1"/>
  <c r="H2142" i="8" a="1"/>
  <c r="F2142" i="8"/>
  <c r="F2270" i="8"/>
  <c r="F2206" i="8"/>
  <c r="H2206" i="8" l="1"/>
  <c r="H2142" i="8"/>
  <c r="H2270" i="8"/>
  <c r="B2272" i="8"/>
  <c r="B2208" i="8"/>
  <c r="B2144" i="8"/>
  <c r="H2143" i="8" a="1"/>
  <c r="F2143" i="8"/>
  <c r="F2271" i="8"/>
  <c r="H2207" i="8" a="1"/>
  <c r="F2207" i="8"/>
  <c r="H2271" i="8" a="1"/>
  <c r="H2271" i="8" l="1"/>
  <c r="H2143" i="8"/>
  <c r="H2207" i="8"/>
  <c r="B2209" i="8"/>
  <c r="B2145" i="8"/>
  <c r="B2273" i="8"/>
  <c r="H2272" i="8" a="1"/>
  <c r="F2208" i="8"/>
  <c r="F2272" i="8"/>
  <c r="H2144" i="8" a="1"/>
  <c r="F2144" i="8"/>
  <c r="H2208" i="8" a="1"/>
  <c r="H2208" i="8" l="1"/>
  <c r="H2144" i="8"/>
  <c r="H2272" i="8"/>
  <c r="B2210" i="8"/>
  <c r="B2146" i="8"/>
  <c r="B2274" i="8"/>
  <c r="H2273" i="8" a="1"/>
  <c r="H2209" i="8" a="1"/>
  <c r="H2145" i="8" a="1"/>
  <c r="F2145" i="8"/>
  <c r="F2209" i="8"/>
  <c r="F2273" i="8"/>
  <c r="H2145" i="8" l="1"/>
  <c r="H2209" i="8"/>
  <c r="H2273" i="8"/>
  <c r="B2275" i="8"/>
  <c r="B2211" i="8"/>
  <c r="B2147" i="8"/>
  <c r="F2210" i="8"/>
  <c r="F2146" i="8"/>
  <c r="H2274" i="8" a="1"/>
  <c r="H2210" i="8" a="1"/>
  <c r="F2274" i="8"/>
  <c r="H2146" i="8" a="1"/>
  <c r="H2146" i="8" l="1"/>
  <c r="H2274" i="8"/>
  <c r="H2210" i="8"/>
  <c r="B2212" i="8"/>
  <c r="B2148" i="8"/>
  <c r="B2276" i="8"/>
  <c r="H2275" i="8" a="1"/>
  <c r="H2147" i="8" a="1"/>
  <c r="F2275" i="8"/>
  <c r="F2147" i="8"/>
  <c r="F2211" i="8"/>
  <c r="H2211" i="8" a="1"/>
  <c r="H2211" i="8" l="1"/>
  <c r="H2147" i="8"/>
  <c r="H2275" i="8"/>
  <c r="B2213" i="8"/>
  <c r="B2149" i="8"/>
  <c r="B2277" i="8"/>
  <c r="H2212" i="8" a="1"/>
  <c r="H2276" i="8" a="1"/>
  <c r="H2148" i="8" a="1"/>
  <c r="F2212" i="8"/>
  <c r="F2276" i="8"/>
  <c r="F2148" i="8"/>
  <c r="H2212" i="8" l="1"/>
  <c r="H2148" i="8"/>
  <c r="H2276" i="8"/>
  <c r="B2278" i="8"/>
  <c r="B2214" i="8"/>
  <c r="B2150" i="8"/>
  <c r="F2277" i="8"/>
  <c r="H2277" i="8" a="1"/>
  <c r="F2213" i="8"/>
  <c r="H2213" i="8" a="1"/>
  <c r="F2149" i="8"/>
  <c r="H2149" i="8" a="1"/>
  <c r="H2149" i="8" l="1"/>
  <c r="H2277" i="8"/>
  <c r="H2213" i="8"/>
  <c r="B2215" i="8"/>
  <c r="B2151" i="8"/>
  <c r="B2279" i="8"/>
  <c r="F2150" i="8"/>
  <c r="F2278" i="8"/>
  <c r="H2214" i="8" a="1"/>
  <c r="H2278" i="8" a="1"/>
  <c r="F2214" i="8"/>
  <c r="H2150" i="8" a="1"/>
  <c r="H2214" i="8" l="1"/>
  <c r="H2150" i="8"/>
  <c r="H2278" i="8"/>
  <c r="B2216" i="8"/>
  <c r="B2152" i="8"/>
  <c r="B2280" i="8"/>
  <c r="H2151" i="8" a="1"/>
  <c r="F2215" i="8"/>
  <c r="H2279" i="8" a="1"/>
  <c r="F2151" i="8"/>
  <c r="F2279" i="8"/>
  <c r="H2215" i="8" a="1"/>
  <c r="H2215" i="8" l="1"/>
  <c r="H2151" i="8"/>
  <c r="H2279" i="8"/>
  <c r="B2281" i="8"/>
  <c r="B2217" i="8"/>
  <c r="B2153" i="8"/>
  <c r="F2216" i="8"/>
  <c r="F2152" i="8"/>
  <c r="H2280" i="8" a="1"/>
  <c r="H2216" i="8" a="1"/>
  <c r="F2280" i="8"/>
  <c r="H2152" i="8" a="1"/>
  <c r="H2152" i="8" l="1"/>
  <c r="H2280" i="8"/>
  <c r="H2216" i="8"/>
  <c r="B2282" i="8"/>
  <c r="B2218" i="8"/>
  <c r="B2154" i="8"/>
  <c r="H2281" i="8" a="1"/>
  <c r="F2281" i="8"/>
  <c r="H2217" i="8" a="1"/>
  <c r="F2153" i="8"/>
  <c r="H2153" i="8" a="1"/>
  <c r="F2217" i="8"/>
  <c r="H2153" i="8" l="1"/>
  <c r="H2281" i="8"/>
  <c r="H2217" i="8"/>
  <c r="B2283" i="8"/>
  <c r="B2219" i="8"/>
  <c r="B2155" i="8"/>
  <c r="H2282" i="8" a="1"/>
  <c r="H2154" i="8" a="1"/>
  <c r="H2218" i="8" a="1"/>
  <c r="F2154" i="8"/>
  <c r="F2282" i="8"/>
  <c r="F2218" i="8"/>
  <c r="H2154" i="8" l="1"/>
  <c r="H2282" i="8"/>
  <c r="H2218" i="8"/>
  <c r="B2284" i="8"/>
  <c r="B2220" i="8"/>
  <c r="B2156" i="8"/>
  <c r="F2155" i="8"/>
  <c r="H2283" i="8" a="1"/>
  <c r="F2219" i="8"/>
  <c r="F2283" i="8"/>
  <c r="H2219" i="8" a="1"/>
  <c r="H2155" i="8" a="1"/>
  <c r="H2155" i="8" l="1"/>
  <c r="H2283" i="8"/>
  <c r="H2219" i="8"/>
  <c r="B2221" i="8"/>
  <c r="B2157" i="8"/>
  <c r="B2285" i="8"/>
  <c r="H2156" i="8" a="1"/>
  <c r="F2284" i="8"/>
  <c r="F2156" i="8"/>
  <c r="F2220" i="8"/>
  <c r="H2284" i="8" a="1"/>
  <c r="H2220" i="8" a="1"/>
  <c r="H2220" i="8" l="1"/>
  <c r="H2156" i="8"/>
  <c r="H2284" i="8"/>
  <c r="B2222" i="8"/>
  <c r="B2158" i="8"/>
  <c r="B2286" i="8"/>
  <c r="F2221" i="8"/>
  <c r="H2157" i="8" a="1"/>
  <c r="F2157" i="8"/>
  <c r="H2285" i="8" a="1"/>
  <c r="F2285" i="8"/>
  <c r="H2221" i="8" a="1"/>
  <c r="H2221" i="8" l="1"/>
  <c r="H2157" i="8"/>
  <c r="H2285" i="8"/>
  <c r="B2287" i="8"/>
  <c r="B2223" i="8"/>
  <c r="B2159" i="8"/>
  <c r="F2286" i="8"/>
  <c r="F2222" i="8"/>
  <c r="H2286" i="8" a="1"/>
  <c r="H2222" i="8" a="1"/>
  <c r="F2158" i="8"/>
  <c r="H2158" i="8" a="1"/>
  <c r="H2286" i="8" l="1"/>
  <c r="H2158" i="8"/>
  <c r="H2222" i="8"/>
  <c r="B2224" i="8"/>
  <c r="B2160" i="8"/>
  <c r="B2288" i="8"/>
  <c r="F2223" i="8"/>
  <c r="H2287" i="8" a="1"/>
  <c r="H2223" i="8" a="1"/>
  <c r="F2159" i="8"/>
  <c r="F2287" i="8"/>
  <c r="H2159" i="8" a="1"/>
  <c r="H2223" i="8" l="1"/>
  <c r="H2159" i="8"/>
  <c r="H2287" i="8"/>
  <c r="B2225" i="8"/>
  <c r="B2161" i="8"/>
  <c r="B2289" i="8"/>
  <c r="H2224" i="8" a="1"/>
  <c r="F2224" i="8"/>
  <c r="H2160" i="8" a="1"/>
  <c r="H2288" i="8" a="1"/>
  <c r="F2288" i="8"/>
  <c r="F2160" i="8"/>
  <c r="H2224" i="8" l="1"/>
  <c r="H2160" i="8"/>
  <c r="H2288" i="8"/>
  <c r="B2290" i="8"/>
  <c r="B2226" i="8"/>
  <c r="H2225" i="8" a="1"/>
  <c r="F2161" i="8"/>
  <c r="F2289" i="8"/>
  <c r="H2161" i="8" a="1"/>
  <c r="F2225" i="8"/>
  <c r="H2289" i="8" a="1"/>
  <c r="H2289" i="8" l="1"/>
  <c r="H2161" i="8"/>
  <c r="H2225" i="8"/>
  <c r="B2291" i="8"/>
  <c r="B2227" i="8"/>
  <c r="F2226" i="8"/>
  <c r="H2226" i="8" a="1"/>
  <c r="F2290" i="8"/>
  <c r="H2290" i="8" a="1"/>
  <c r="H2226" i="8" l="1"/>
  <c r="H2290" i="8"/>
  <c r="B2292" i="8"/>
  <c r="B2228" i="8"/>
  <c r="F2227" i="8"/>
  <c r="H2227" i="8" a="1"/>
  <c r="H2291" i="8" a="1"/>
  <c r="F2291" i="8"/>
  <c r="H2291" i="8" l="1"/>
  <c r="H2227" i="8"/>
  <c r="B2293" i="8"/>
  <c r="B2229" i="8"/>
  <c r="F2228" i="8"/>
  <c r="H2228" i="8" a="1"/>
  <c r="H2292" i="8" a="1"/>
  <c r="F2292" i="8"/>
  <c r="H2292" i="8" l="1"/>
  <c r="H2228" i="8"/>
  <c r="B2294" i="8"/>
  <c r="B2230" i="8"/>
  <c r="F2229" i="8"/>
  <c r="H2229" i="8" a="1"/>
  <c r="H2293" i="8" a="1"/>
  <c r="F2293" i="8"/>
  <c r="H2293" i="8" l="1"/>
  <c r="H2229" i="8"/>
  <c r="B2295" i="8"/>
  <c r="B2231" i="8"/>
  <c r="F2230" i="8"/>
  <c r="H2230" i="8" a="1"/>
  <c r="H2294" i="8" a="1"/>
  <c r="F2294" i="8"/>
  <c r="H2294" i="8" l="1"/>
  <c r="H2230" i="8"/>
  <c r="B2296" i="8"/>
  <c r="B2232" i="8"/>
  <c r="F2231" i="8"/>
  <c r="H2231" i="8" a="1"/>
  <c r="H2295" i="8" a="1"/>
  <c r="F2295" i="8"/>
  <c r="H2295" i="8" l="1"/>
  <c r="H2231" i="8"/>
  <c r="B2297" i="8"/>
  <c r="B2233" i="8"/>
  <c r="F2232" i="8"/>
  <c r="H2232" i="8" a="1"/>
  <c r="H2296" i="8" a="1"/>
  <c r="F2296" i="8"/>
  <c r="H2296" i="8" l="1"/>
  <c r="H2232" i="8"/>
  <c r="B2298" i="8"/>
  <c r="B2234" i="8"/>
  <c r="F2233" i="8"/>
  <c r="F2297" i="8"/>
  <c r="H2233" i="8" a="1"/>
  <c r="H2297" i="8" a="1"/>
  <c r="H2297" i="8" l="1"/>
  <c r="H2233" i="8"/>
  <c r="B2299" i="8"/>
  <c r="B2235" i="8"/>
  <c r="F2234" i="8"/>
  <c r="H2234" i="8" a="1"/>
  <c r="H2298" i="8" a="1"/>
  <c r="F2298" i="8"/>
  <c r="H2298" i="8" l="1"/>
  <c r="H2234" i="8"/>
  <c r="B2300" i="8"/>
  <c r="B2236" i="8"/>
  <c r="F2235" i="8"/>
  <c r="H2235" i="8" a="1"/>
  <c r="H2299" i="8" a="1"/>
  <c r="F2299" i="8"/>
  <c r="H2299" i="8" l="1"/>
  <c r="H2235" i="8"/>
  <c r="B2301" i="8"/>
  <c r="B2237" i="8"/>
  <c r="F2236" i="8"/>
  <c r="H2236" i="8" a="1"/>
  <c r="H2300" i="8" a="1"/>
  <c r="F2300" i="8"/>
  <c r="H2300" i="8" l="1"/>
  <c r="H2236" i="8"/>
  <c r="B2302" i="8"/>
  <c r="B2238" i="8"/>
  <c r="F2237" i="8"/>
  <c r="H2237" i="8" a="1"/>
  <c r="H2301" i="8" a="1"/>
  <c r="F2301" i="8"/>
  <c r="H2301" i="8" l="1"/>
  <c r="H2237" i="8"/>
  <c r="B2303" i="8"/>
  <c r="B2239" i="8"/>
  <c r="F2238" i="8"/>
  <c r="H2238" i="8" a="1"/>
  <c r="H2302" i="8" a="1"/>
  <c r="F2302" i="8"/>
  <c r="H2302" i="8" l="1"/>
  <c r="H2238" i="8"/>
  <c r="B2304" i="8"/>
  <c r="B2240" i="8"/>
  <c r="F2239" i="8"/>
  <c r="F2303" i="8"/>
  <c r="H2239" i="8" a="1"/>
  <c r="H2303" i="8" a="1"/>
  <c r="H2303" i="8" l="1"/>
  <c r="H2239" i="8"/>
  <c r="B2305" i="8"/>
  <c r="B2241" i="8"/>
  <c r="F2240" i="8"/>
  <c r="H2240" i="8" a="1"/>
  <c r="H2304" i="8" a="1"/>
  <c r="F2304" i="8"/>
  <c r="H2304" i="8" l="1"/>
  <c r="H2240" i="8"/>
  <c r="B2306" i="8"/>
  <c r="B2242" i="8"/>
  <c r="H2241" i="8" a="1"/>
  <c r="H2305" i="8" a="1"/>
  <c r="F2305" i="8"/>
  <c r="F2241" i="8"/>
  <c r="H2305" i="8" l="1"/>
  <c r="H2241" i="8"/>
  <c r="B2307" i="8"/>
  <c r="B2243" i="8"/>
  <c r="H2242" i="8" a="1"/>
  <c r="F2306" i="8"/>
  <c r="H2306" i="8" a="1"/>
  <c r="F2242" i="8"/>
  <c r="H2306" i="8" l="1"/>
  <c r="H2242" i="8"/>
  <c r="B2308" i="8"/>
  <c r="B2244" i="8"/>
  <c r="H2243" i="8" a="1"/>
  <c r="F2243" i="8"/>
  <c r="H2307" i="8" a="1"/>
  <c r="F2307" i="8"/>
  <c r="H2307" i="8" l="1"/>
  <c r="H2243" i="8"/>
  <c r="B2309" i="8"/>
  <c r="B2245" i="8"/>
  <c r="F2244" i="8"/>
  <c r="F2308" i="8"/>
  <c r="H2244" i="8" a="1"/>
  <c r="H2308" i="8" a="1"/>
  <c r="H2308" i="8" l="1"/>
  <c r="H2244" i="8"/>
  <c r="B2310" i="8"/>
  <c r="B2246" i="8"/>
  <c r="F2245" i="8"/>
  <c r="H2309" i="8" a="1"/>
  <c r="H2245" i="8" a="1"/>
  <c r="F2309" i="8"/>
  <c r="H2309" i="8" l="1"/>
  <c r="H2245" i="8"/>
  <c r="B2311" i="8"/>
  <c r="B2247" i="8"/>
  <c r="F2310" i="8"/>
  <c r="F2246" i="8"/>
  <c r="H2246" i="8" a="1"/>
  <c r="H2310" i="8" a="1"/>
  <c r="H2310" i="8" l="1"/>
  <c r="H2246" i="8"/>
  <c r="B2312" i="8"/>
  <c r="B2248" i="8"/>
  <c r="F2247" i="8"/>
  <c r="H2311" i="8" a="1"/>
  <c r="H2247" i="8" a="1"/>
  <c r="F2311" i="8"/>
  <c r="H2247" i="8" l="1"/>
  <c r="H2311" i="8"/>
  <c r="B2313" i="8"/>
  <c r="B2249" i="8"/>
  <c r="F2312" i="8"/>
  <c r="H2248" i="8" a="1"/>
  <c r="H2312" i="8" a="1"/>
  <c r="F2248" i="8"/>
  <c r="H2312" i="8" l="1"/>
  <c r="H2248" i="8"/>
  <c r="B2314" i="8"/>
  <c r="B2250" i="8"/>
  <c r="F2249" i="8"/>
  <c r="H2249" i="8" a="1"/>
  <c r="F2313" i="8"/>
  <c r="H2313" i="8" a="1"/>
  <c r="H2313" i="8" l="1"/>
  <c r="H2249" i="8"/>
  <c r="B2315" i="8"/>
  <c r="B2251" i="8"/>
  <c r="F2250" i="8"/>
  <c r="H2250" i="8" a="1"/>
  <c r="F2314" i="8"/>
  <c r="H2314" i="8" a="1"/>
  <c r="H2314" i="8" l="1"/>
  <c r="H2250" i="8"/>
  <c r="B2316" i="8"/>
  <c r="B2252" i="8"/>
  <c r="F2251" i="8"/>
  <c r="H2251" i="8" a="1"/>
  <c r="F2315" i="8"/>
  <c r="H2315" i="8" a="1"/>
  <c r="H2315" i="8" l="1"/>
  <c r="H2251" i="8"/>
  <c r="B2317" i="8"/>
  <c r="H2316" i="8" a="1"/>
  <c r="H2252" i="8" a="1"/>
  <c r="F2252" i="8"/>
  <c r="F2316" i="8"/>
  <c r="H2316" i="8" l="1"/>
  <c r="H2252" i="8"/>
  <c r="B2318" i="8"/>
  <c r="H2317" i="8" a="1"/>
  <c r="F2317" i="8"/>
  <c r="H2317" i="8" l="1"/>
  <c r="B2319" i="8"/>
  <c r="F2318" i="8"/>
  <c r="H2318" i="8" a="1"/>
  <c r="H2318" i="8" l="1"/>
  <c r="B2320" i="8"/>
  <c r="F2319" i="8"/>
  <c r="H2319" i="8" a="1"/>
  <c r="H2319" i="8" l="1"/>
  <c r="B2321" i="8"/>
  <c r="F2320" i="8"/>
  <c r="H2320" i="8" a="1"/>
  <c r="H2320" i="8" l="1"/>
  <c r="B2322" i="8"/>
  <c r="F2321" i="8"/>
  <c r="H2321" i="8" a="1"/>
  <c r="H2321" i="8" l="1"/>
  <c r="B2323" i="8"/>
  <c r="F2322" i="8"/>
  <c r="H2322" i="8" a="1"/>
  <c r="H2322" i="8" l="1"/>
  <c r="B2324" i="8"/>
  <c r="F2323" i="8"/>
  <c r="H2323" i="8" a="1"/>
  <c r="H2323" i="8" l="1"/>
  <c r="B2325" i="8"/>
  <c r="F2324" i="8"/>
  <c r="H2324" i="8" a="1"/>
  <c r="H2324" i="8" l="1"/>
  <c r="B2326" i="8"/>
  <c r="F2325" i="8"/>
  <c r="H2325" i="8" a="1"/>
  <c r="H2325" i="8" l="1"/>
  <c r="B2327" i="8"/>
  <c r="F2326" i="8"/>
  <c r="H2326" i="8" a="1"/>
  <c r="H2326" i="8" l="1"/>
  <c r="B2328" i="8"/>
  <c r="F2327" i="8"/>
  <c r="H2327" i="8" a="1"/>
  <c r="H2327" i="8" l="1"/>
  <c r="B2329" i="8"/>
  <c r="F2328" i="8"/>
  <c r="H2328" i="8" a="1"/>
  <c r="H2328" i="8" l="1"/>
  <c r="B2330" i="8"/>
  <c r="F2329" i="8"/>
  <c r="H2329" i="8" a="1"/>
  <c r="H2329" i="8" l="1"/>
  <c r="B2331" i="8"/>
  <c r="F2330" i="8"/>
  <c r="H2330" i="8" a="1"/>
  <c r="H2330" i="8" l="1"/>
  <c r="B2332" i="8"/>
  <c r="H2331" i="8" a="1"/>
  <c r="F2331" i="8"/>
  <c r="H2331" i="8" l="1"/>
  <c r="B2333" i="8"/>
  <c r="H2332" i="8" a="1"/>
  <c r="F2332" i="8"/>
  <c r="H2332" i="8" l="1"/>
  <c r="B2334" i="8"/>
  <c r="H2333" i="8" a="1"/>
  <c r="F2333" i="8"/>
  <c r="H2333" i="8" l="1"/>
  <c r="B2335" i="8"/>
  <c r="H2334" i="8" a="1"/>
  <c r="F2334" i="8"/>
  <c r="H2334" i="8" l="1"/>
  <c r="B2336" i="8"/>
  <c r="H2335" i="8" a="1"/>
  <c r="F2335" i="8"/>
  <c r="H2335" i="8" l="1"/>
  <c r="B2337" i="8"/>
  <c r="H2336" i="8" a="1"/>
  <c r="F2336" i="8"/>
  <c r="H2336" i="8" l="1"/>
  <c r="B2338" i="8"/>
  <c r="H2337" i="8" a="1"/>
  <c r="F2337" i="8"/>
  <c r="H2337" i="8" l="1"/>
  <c r="B2339" i="8"/>
  <c r="H2338" i="8" a="1"/>
  <c r="F2338" i="8"/>
  <c r="H2338" i="8" l="1"/>
  <c r="B2340" i="8"/>
  <c r="H2339" i="8" a="1"/>
  <c r="F2339" i="8"/>
  <c r="H2339" i="8" l="1"/>
  <c r="B2341" i="8"/>
  <c r="H2340" i="8" a="1"/>
  <c r="F2340" i="8"/>
  <c r="H2340" i="8" l="1"/>
  <c r="B2342" i="8"/>
  <c r="F2341" i="8"/>
  <c r="H2341" i="8" a="1"/>
  <c r="H2341" i="8" l="1"/>
  <c r="B2343" i="8"/>
  <c r="F2342" i="8"/>
  <c r="H2342" i="8" a="1"/>
  <c r="H2342" i="8" l="1"/>
  <c r="F2343" i="8"/>
  <c r="H2343" i="8" a="1"/>
  <c r="H2343" i="8" l="1"/>
</calcChain>
</file>

<file path=xl/sharedStrings.xml><?xml version="1.0" encoding="utf-8"?>
<sst xmlns="http://schemas.openxmlformats.org/spreadsheetml/2006/main" count="8566" uniqueCount="1430">
  <si>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</si>
  <si>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</si>
  <si>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</si>
  <si>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</si>
  <si>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</si>
  <si>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</si>
  <si>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</si>
  <si>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</si>
  <si>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</si>
  <si>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</si>
  <si>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</si>
  <si>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</si>
  <si>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</si>
  <si>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</si>
  <si>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</si>
  <si>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</si>
  <si>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</si>
  <si>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</si>
  <si>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</si>
  <si>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</si>
  <si>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</si>
  <si>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</si>
  <si>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</si>
  <si>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</si>
  <si>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</si>
  <si>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</si>
  <si>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</si>
  <si>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</si>
  <si>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</si>
  <si>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</si>
  <si>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</si>
  <si>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</si>
  <si>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</si>
  <si>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</si>
  <si>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</si>
  <si>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</si>
  <si>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</si>
  <si>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</si>
  <si>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</si>
  <si>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</si>
  <si>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</si>
  <si>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</si>
  <si>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</si>
  <si>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</si>
  <si>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</si>
  <si>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</si>
  <si>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</si>
  <si>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</si>
  <si>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</si>
  <si>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</si>
  <si>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</si>
  <si>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</si>
  <si>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</si>
  <si>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</si>
  <si>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</si>
  <si>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</si>
  <si>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</si>
  <si>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</si>
  <si>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</si>
  <si>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</si>
  <si>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</si>
  <si>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</si>
  <si>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</si>
  <si>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</si>
  <si>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</si>
  <si>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</si>
  <si>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</si>
  <si>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</si>
  <si>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</si>
  <si>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</si>
  <si>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</si>
  <si>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</si>
  <si>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</si>
  <si>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</si>
  <si>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</si>
  <si>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</si>
  <si>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</si>
  <si>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</si>
  <si>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</si>
  <si>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</si>
  <si>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</si>
  <si>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</si>
  <si>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</si>
  <si>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</si>
  <si>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</si>
  <si>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</si>
  <si>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</si>
  <si>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</si>
  <si>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</si>
  <si>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</si>
  <si>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</si>
  <si>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</si>
  <si>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</si>
  <si>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</si>
  <si>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</si>
  <si>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</si>
  <si>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</si>
  <si>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</si>
  <si>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</si>
  <si>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</si>
  <si>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</si>
  <si>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</si>
  <si>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</si>
  <si>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</si>
  <si>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</si>
  <si>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</si>
  <si>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</si>
  <si>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</si>
  <si>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</si>
  <si>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</si>
  <si>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</si>
  <si>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</si>
  <si>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</si>
  <si>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</si>
  <si>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</si>
  <si>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</si>
  <si>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</si>
  <si>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</si>
  <si>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</si>
  <si>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</si>
  <si>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</si>
  <si>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</si>
  <si>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</si>
  <si>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</si>
  <si>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</si>
  <si>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</si>
  <si>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</si>
  <si>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</si>
  <si>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</si>
  <si>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Virginia Retirement System</t>
  </si>
  <si>
    <t>State: 74.28%; Teacher: 70.88%; Political Subdivision: 86.9%</t>
  </si>
  <si>
    <t>State: 72.81%; Teacher: 70.68%; Political Subdivision: 86.7%</t>
  </si>
  <si>
    <t>State: 71.29%; Teacher: 68.28%; Political Subdivision: 83.67%</t>
  </si>
  <si>
    <t>State Employees &amp; Teachers: 6%; Political Sub: 2.01%</t>
  </si>
  <si>
    <t>State Employees &amp; Teachers: 7%; Political Sub: 3.01%</t>
  </si>
  <si>
    <t>State Employees &amp; Teachers: 8%; Political Sub: 4.01%</t>
  </si>
  <si>
    <t>State Employees: 3.71; Teachers: 5.42</t>
  </si>
  <si>
    <t>State: 75.33%; Teacher: 72.92%; Political Subdivision: 89.27%</t>
  </si>
  <si>
    <t>State Employees &amp; Teachers: 6%; Political Sub: 2.56%</t>
  </si>
  <si>
    <t>State Employees &amp; Teachers: 7%; Political Sub: 3.56%</t>
  </si>
  <si>
    <t>State Employees &amp; Teachers: 8%; Political Sub: 4.56%</t>
  </si>
  <si>
    <t>State Employees: 3.78; Teachers: 5.59</t>
  </si>
  <si>
    <t>State: 77.39%; Teacher: 74.81%; Political Subdivision: 90.24%</t>
  </si>
  <si>
    <t>State Employees &amp; Teachers: 6%; Political Sub: 2.89%</t>
  </si>
  <si>
    <t>State Employees &amp; Teachers: 7%; Political Sub: 3.89%</t>
  </si>
  <si>
    <t>State Employees &amp; Teachers: 8%; Political Sub: 4.89%</t>
  </si>
  <si>
    <t>State Employees: 3.74; Teachers: 5.54</t>
  </si>
  <si>
    <t>State: 75.13%; Teacher: 73.51%; Political Subdivision: 87.82%</t>
  </si>
  <si>
    <t>State Employees &amp; Teachers: 5.75%; Political Sub: 2.5%</t>
  </si>
  <si>
    <t>State Employees &amp; Teachers: 6.75%; Political Sub: 3.5%</t>
  </si>
  <si>
    <t>State Employees &amp; Teachers: 7.75%; Political Sub: 4.5%</t>
  </si>
  <si>
    <t>State Employees: 3.66; Teachers: 5.44</t>
  </si>
  <si>
    <t>State: 72.15%; Teacher: 71.47%; Political Subdivision: 83.44%</t>
  </si>
  <si>
    <t>State Employees &amp; Teachers: 5.75%; Political Sub: 1.21%</t>
  </si>
  <si>
    <t>State Employees &amp; Teachers: 6.75%; Political Sub: 2.21%</t>
  </si>
  <si>
    <t>State Employees &amp; Teachers: 7.75%; Political Sub: 3.21%</t>
  </si>
  <si>
    <t>State Employees: 3.58; Teachers: 5.22</t>
  </si>
  <si>
    <t>State: 86.44%; Teacher: 85.46%; Political Subdivision: 97.25%</t>
  </si>
  <si>
    <t>State Employees &amp; Teachers &amp; Political Sub: 5.75%</t>
  </si>
  <si>
    <t>State Employees &amp; Teachers &amp; Political Sub: 6.75%</t>
  </si>
  <si>
    <t>State Employees &amp; Teachers &amp; Political Sub: 7.75%</t>
  </si>
  <si>
    <t>Source</t>
  </si>
  <si>
    <t>Virginia VRS GASB67 2014.pdf Pg.no 7</t>
  </si>
  <si>
    <t>Virginia VRS GASB67 2014.pdf Pg.no 9</t>
  </si>
  <si>
    <t>Virginia VRS GASB67 2014.pdf Pg.no 18</t>
  </si>
  <si>
    <t>Virginia VRS GASB67 2014.pdf Pg.no 13</t>
  </si>
  <si>
    <t>Virginia VRS GASB67 2014.pdf Pg.no 25 &amp; 27</t>
  </si>
  <si>
    <t>Virginia VRS GASB67 2014.pdf Pg.no 28 &amp; 31</t>
  </si>
  <si>
    <t>Virginia VRS GASB67 2014.pdf Pg.no 19,20,24</t>
  </si>
  <si>
    <t>Virginia VRS GASB67 2014.pdf Pg.no 13 &amp; 14</t>
  </si>
  <si>
    <t>Virginia VRS GASB67 2015.pdf Pg.no 7</t>
  </si>
  <si>
    <t>Virginia VRS GASB67 2015.pdf Pg.no 9</t>
  </si>
  <si>
    <t>Virginia VRS GASB67 2015.pdf Pg.no 16</t>
  </si>
  <si>
    <t>Virginia VRS GASB67 2015.pdf Pg.no 13</t>
  </si>
  <si>
    <t>Virginia VRS GASB67 2015.pdf Pg.no 23 &amp; 25</t>
  </si>
  <si>
    <t>Virginia VRS GASB67 2015.pdf Pg.no 26 &amp; 28</t>
  </si>
  <si>
    <t>Virginia VRS GASB67 2015.pdf Pg.no 17,18,22</t>
  </si>
  <si>
    <t>Virginia VRS GASB67 2015.pdf Pg.no 13 &amp; 14</t>
  </si>
  <si>
    <t>Virginia VRS GASB67 2016.pdf Pg.no 7</t>
  </si>
  <si>
    <t>Virginia VRS GASB67 2016.pdf Pg.no 9</t>
  </si>
  <si>
    <t>Virginia VRS GASB67 2016.pdf Pg.no 16</t>
  </si>
  <si>
    <t>Virginia VRS GASB67 2016.pdf Pg.no 13</t>
  </si>
  <si>
    <t>Virginia VRS GASB67 2016.pdf Pg.no 23 &amp; 25</t>
  </si>
  <si>
    <t>Virginia VRS GASB68 2016.pdf Pg.no 8</t>
  </si>
  <si>
    <t>Virginia VRS GASB67 2016.pdf Pg.no 26 &amp; 28</t>
  </si>
  <si>
    <t>Virginia VRS GASB68 2016.pdf Pg.no 34</t>
  </si>
  <si>
    <t>Virginia VRS GASB67 2016.pdf Pg.no 13 &amp; 14</t>
  </si>
  <si>
    <t>Virginia VRS GASB68 2016.pdf Pg.no 31</t>
  </si>
  <si>
    <t>Virginia VRS GASB67 2016.pdf Pg.no 17,18,22</t>
  </si>
  <si>
    <t>Virginia VRS GASB67 2017.pdf Pg.no 7</t>
  </si>
  <si>
    <t>Virginia VRS GASB67 2017.pdf Pg.no 9</t>
  </si>
  <si>
    <t>Virginia VRS GASB67 2017.pdf Pg.no 17</t>
  </si>
  <si>
    <t>Virginia VRS GASB67 2017.pdf Pg.no 13</t>
  </si>
  <si>
    <t>Virginia VRS GASB67 2017.pdf Pg.no 24 &amp; 26</t>
  </si>
  <si>
    <t>Virginia VRS GASB68 2017.pdf Pg.no 8</t>
  </si>
  <si>
    <t>Virginia VRS GASB67 2017.pdf Pg.no 27 &amp; 29</t>
  </si>
  <si>
    <t>Virginia VRS GASB68 2017.pdf Pg.no 37</t>
  </si>
  <si>
    <t>Virginia VRS GASB67 2017.pdf Pg.no 13 &amp; 14</t>
  </si>
  <si>
    <t>Virginia VRS GASB68 2017.pdf Pg.no 34</t>
  </si>
  <si>
    <t>Virginia VRS GASB67 2017.pdf Pg.no 18,19,23</t>
  </si>
  <si>
    <t>Virginia VRS GASB67 2018.pdf Pg.no 7</t>
  </si>
  <si>
    <t>Virginia VRS GASB67 2018.pdf Pg.no 9</t>
  </si>
  <si>
    <t>Virginia VRS GASB67 2018.pdf Pg.no 15</t>
  </si>
  <si>
    <t>Virginia VRS GASB67 2018.pdf Pg.no 12</t>
  </si>
  <si>
    <t>Virginia VRS GASB67 2018.pdf Pg.no 22 &amp; 24</t>
  </si>
  <si>
    <t>Virginia VRS GASB68 2018.pdf Pg.no 8</t>
  </si>
  <si>
    <t>Virginia VRS GASB67 2018.pdf Pg.no 25 &amp; 27</t>
  </si>
  <si>
    <t>Virginia VRS GASB68 2018.pdf Pg.no 35</t>
  </si>
  <si>
    <t>Virginia VRS GASB67 2018.pdf Pg.no 12 &amp; 13</t>
  </si>
  <si>
    <t>Virginia VRS GASB68 2018.pdf Pg.no 32</t>
  </si>
  <si>
    <t>Virginia VRS GASB67 2018.pdf Pg.no 16,17,21</t>
  </si>
  <si>
    <t>Virginia VRS GASB67 2019.pdf Pg.no 7</t>
  </si>
  <si>
    <t>Virginia VRS GASB67 2019.pdf Pg.no 9</t>
  </si>
  <si>
    <t>Virginia VRS GASB67 2019.pdf Pg.no 16</t>
  </si>
  <si>
    <t>Virginia VRS GASB67 2019.pdf Pg.no 12</t>
  </si>
  <si>
    <t>Virginia VRS GASB67 2019.pdf Pg.no 23 &amp; 25</t>
  </si>
  <si>
    <t>Virginia VRS GASB68 2019.pdf Pg.no 8</t>
  </si>
  <si>
    <t>Virginia VRS GASB67 2019.pdf Pg.no 26 &amp; 28</t>
  </si>
  <si>
    <t>Virginia VRS GASB68 2019.pdf Pg.no 34</t>
  </si>
  <si>
    <t>Virginia VRS GASB67 2019.pdf Pg.no 12 &amp; 14</t>
  </si>
  <si>
    <t>Virginia VRS GASB68 2019.pdf Pg.no 31</t>
  </si>
  <si>
    <t>Virginia VRS GASB67 2019.pdf Pg.no 17,18,22</t>
  </si>
  <si>
    <t>Virginia VRS GASB67 2020.pdf Pg.no 7</t>
  </si>
  <si>
    <t>Virginia VRS GASB67 2020.pdf Pg.no 9</t>
  </si>
  <si>
    <t>Virginia VRS GASB67 2020.pdf Pg.no 14</t>
  </si>
  <si>
    <t>Virginia VRS GASB67 2020.pdf Pg.no 10</t>
  </si>
  <si>
    <t>Virginia VRS GASB67 2020.pdf Pg.no 21 &amp; 23</t>
  </si>
  <si>
    <t>Virginia VRS GASB68 2020.pdf Pg.no 8</t>
  </si>
  <si>
    <t>Virginia VRS GASB67 2020.pdf Pg.no 24 &amp; 26</t>
  </si>
  <si>
    <t>Virginia VRS GASB68 2020.pdf Pg.no 33</t>
  </si>
  <si>
    <t>Virginia VRS GASB67 2020.pdf Pg.no 12</t>
  </si>
  <si>
    <t>Virginia VRS GASB68 2020.pdf Pg.no 32</t>
  </si>
  <si>
    <t>Virginia VRS GASB67 2020.pdf Pg.no 15,16,20</t>
  </si>
  <si>
    <t>Virginia VRS CAFR 2021.pdf Pg.No 80</t>
  </si>
  <si>
    <t>Virginia VRS CAFR 2021.pdf Pg.No 130</t>
  </si>
  <si>
    <t>Contribution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</si>
  <si>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</si>
  <si>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</si>
  <si>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</si>
  <si>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</si>
  <si>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</si>
  <si>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</si>
  <si>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</si>
  <si>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</si>
  <si>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</si>
  <si>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</si>
  <si>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</si>
  <si>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</si>
  <si>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</si>
  <si>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</si>
  <si>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</si>
  <si>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</si>
  <si>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</si>
  <si>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</si>
  <si>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</si>
  <si>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</si>
  <si>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</si>
  <si>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</si>
  <si>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</si>
  <si>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</si>
  <si>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</si>
  <si>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</si>
  <si>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</si>
  <si>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</si>
  <si>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</si>
  <si>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</si>
  <si>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</si>
  <si>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</si>
  <si>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</si>
  <si>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</si>
  <si>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</si>
  <si>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</si>
  <si>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</si>
  <si>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</si>
  <si>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</si>
  <si>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</si>
  <si>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Mortality Table SetBack in Years</t>
  </si>
  <si>
    <t>Mortality Table SetForward in Years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</si>
  <si>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</si>
  <si>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</si>
  <si>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</si>
  <si>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</si>
  <si>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</si>
  <si>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</si>
  <si>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</si>
  <si>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</si>
  <si>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</si>
  <si>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</si>
  <si>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</si>
  <si>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</si>
  <si>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</si>
  <si>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</si>
  <si>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</si>
  <si>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</si>
  <si>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</si>
  <si>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</si>
  <si>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</si>
  <si>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</si>
  <si>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</si>
  <si>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</si>
  <si>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</si>
  <si>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</si>
  <si>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</si>
  <si>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</si>
  <si>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</si>
  <si>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</si>
  <si>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</si>
  <si>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</si>
  <si>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</si>
  <si>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</si>
  <si>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</si>
  <si>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</si>
  <si>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</si>
  <si>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</si>
  <si>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</si>
  <si>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</si>
  <si>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</si>
  <si>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</si>
  <si>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</si>
  <si>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</si>
  <si>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</si>
  <si>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</si>
  <si>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</si>
  <si>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</si>
  <si>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</si>
  <si>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</si>
  <si>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</si>
  <si>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</si>
  <si>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</si>
  <si>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</si>
  <si>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</si>
  <si>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</si>
  <si>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</si>
  <si>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</si>
  <si>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</si>
  <si>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</si>
  <si>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</si>
  <si>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</si>
  <si>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</si>
  <si>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</si>
  <si>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</si>
  <si>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</si>
  <si>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</si>
  <si>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</si>
  <si>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</si>
  <si>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</si>
  <si>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</si>
  <si>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</si>
  <si>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</si>
  <si>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</si>
  <si>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</si>
  <si>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</si>
  <si>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</si>
  <si>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</si>
  <si>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</si>
  <si>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</si>
  <si>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</si>
  <si>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</si>
  <si>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</si>
  <si>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</si>
  <si>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</si>
  <si>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</si>
  <si>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</si>
  <si>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</si>
  <si>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</si>
  <si>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</si>
  <si>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</si>
  <si>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</si>
  <si>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</si>
  <si>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</si>
  <si>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</si>
  <si>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</si>
  <si>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</si>
  <si>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</si>
  <si>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</si>
  <si>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NC_Prior_Year</t>
  </si>
  <si>
    <t>Actuarial_Experience</t>
  </si>
  <si>
    <t>Benefit_Changes</t>
  </si>
  <si>
    <t>COLA_Gain_Loss</t>
  </si>
  <si>
    <t>PBI_Gain_Loss</t>
  </si>
  <si>
    <t>Legislative_Changes</t>
  </si>
  <si>
    <t>Changes_to_Methods_&amp;_Assumptions</t>
  </si>
  <si>
    <t>Interest_on_Debt</t>
  </si>
  <si>
    <t>Other_Interest</t>
  </si>
  <si>
    <t>Contribution_Deficiency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</si>
  <si>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</si>
  <si>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</si>
  <si>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</si>
  <si>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</si>
  <si>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</si>
  <si>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</si>
  <si>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</si>
  <si>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</si>
  <si>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</si>
  <si>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</si>
  <si>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</si>
  <si>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</si>
  <si>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</si>
  <si>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</si>
  <si>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</si>
  <si>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</si>
  <si>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</si>
  <si>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</si>
  <si>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</si>
  <si>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</si>
  <si>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</si>
  <si>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2002 - 2004</t>
  </si>
  <si>
    <t>GABRIEL,ROEDER,SMITH &amp; COMPANY</t>
  </si>
  <si>
    <t>(i)9%; (ii)11.03%</t>
  </si>
  <si>
    <t>(i)4%; (ii)6.03%</t>
  </si>
  <si>
    <t>(i)5%; (ii)5%</t>
  </si>
  <si>
    <t>(i)-0.4%; (ii)-2.43%</t>
  </si>
  <si>
    <t>(i)3.6%; (ii)3.6%</t>
  </si>
  <si>
    <t>Single</t>
  </si>
  <si>
    <t>1.7% of AFC times years of service</t>
  </si>
  <si>
    <t>Percentage</t>
  </si>
  <si>
    <t>No</t>
  </si>
  <si>
    <t>SE-4.25% to 6.30% &amp; Teach 4.00% to 7.00%</t>
  </si>
  <si>
    <t>Pg.116 &amp; 121</t>
  </si>
  <si>
    <t>Pg.115 &amp; 120</t>
  </si>
  <si>
    <t>1994 Group Annuity Mortality Table</t>
  </si>
  <si>
    <t>Teachers: Post Retirement- Males: 2 Years, Females: 1 Year</t>
  </si>
  <si>
    <t>Level Percent Closed</t>
  </si>
  <si>
    <t>25 Years</t>
  </si>
  <si>
    <t>EAN</t>
  </si>
  <si>
    <t>5 Years</t>
  </si>
  <si>
    <t>State Employees: 11.27% ;Teachers: 10.74%</t>
  </si>
  <si>
    <t>State Employees: -7.70% ;Teachers: -7.51%</t>
  </si>
  <si>
    <t>State Employees: 106.8%; Teachers: 106.2%</t>
  </si>
  <si>
    <t>2004 - 2006</t>
  </si>
  <si>
    <t>(i)-0.96%; (ii)0.52%</t>
  </si>
  <si>
    <t>(i)3.04%; (ii)6.55%</t>
  </si>
  <si>
    <t>Yes</t>
  </si>
  <si>
    <t>Pg.117 &amp; 122</t>
  </si>
  <si>
    <t>24 Years</t>
  </si>
  <si>
    <t>State Employees: 3.83% ;Teachers: 3.75%</t>
  </si>
  <si>
    <t>State Employees: -7.62% ;Teachers: -7.61%</t>
  </si>
  <si>
    <t>State Employees: 104.1%; Teachers: 99.4%</t>
  </si>
  <si>
    <t>(i)-0.11%; (ii)2.07%</t>
  </si>
  <si>
    <t>(i)3.89%; (ii)8.1%</t>
  </si>
  <si>
    <t>23 Years</t>
  </si>
  <si>
    <t>State Employees: 2.26% ;Teachers: 2.48%</t>
  </si>
  <si>
    <t>State Employees: -2.81% ;Teachers: -2.82%</t>
  </si>
  <si>
    <t>State Employees: 100.4%; Teachers: 93.7%</t>
  </si>
  <si>
    <t>2006 - 2008</t>
  </si>
  <si>
    <t>(i)1.95%; (ii)4.24%</t>
  </si>
  <si>
    <t>(i)5.95%; (ii)10.27%</t>
  </si>
  <si>
    <t>22 Years</t>
  </si>
  <si>
    <t>State Employees: 3.03% ;Teachers: 2.78%</t>
  </si>
  <si>
    <t>State Employees: -17.78% ;Teachers: -17.65%</t>
  </si>
  <si>
    <t>State Employees: 94.6%; Teachers: 87.2%</t>
  </si>
  <si>
    <t>PALMER &amp; CAY</t>
  </si>
  <si>
    <t>(i)7.8%; (ii)9.45%</t>
  </si>
  <si>
    <t>(i)2.8%; (ii)4.45%</t>
  </si>
  <si>
    <t>(i)4.53%; (ii)6.73%</t>
  </si>
  <si>
    <t>(i)7.33%; (ii)11.18%</t>
  </si>
  <si>
    <t>SE-3.75% to 5.6% &amp; Teach 3.75% to 6.20%</t>
  </si>
  <si>
    <t>State: Males &amp; Females: 1 Year; Teachers: Pre- 1 Year; Post- 3 Years</t>
  </si>
  <si>
    <t>21 Years</t>
  </si>
  <si>
    <t>State Employees: 2.99% ;Teachers: 3.19%</t>
  </si>
  <si>
    <t>State Employees: -11.78% ;Teachers: -11.78%</t>
  </si>
  <si>
    <t>State Employees: 85.8%; Teachers: 77.9%</t>
  </si>
  <si>
    <t>N/A</t>
  </si>
  <si>
    <t>WACHOVIA</t>
  </si>
  <si>
    <t>(i)7.89%; (ii)9.7%</t>
  </si>
  <si>
    <t>(i)2.89%; (ii)4.7%</t>
  </si>
  <si>
    <t>(i)5.56%; (ii)7.69%</t>
  </si>
  <si>
    <t>(i)8.45%; (ii)12.39%</t>
  </si>
  <si>
    <t>Pg.112 &amp; 117</t>
  </si>
  <si>
    <t>Pg 111 &amp; 116</t>
  </si>
  <si>
    <t>Level percent, closed</t>
  </si>
  <si>
    <t>20 years</t>
  </si>
  <si>
    <t>State Employees: 7.34% ;Teachers: 7.34%</t>
  </si>
  <si>
    <t>State Employees: -12.10% ;Teachers: -12.10%</t>
  </si>
  <si>
    <t>State Employees: 83.3%; Teachers: 76%</t>
  </si>
  <si>
    <t>2009 &amp; 2010</t>
  </si>
  <si>
    <t>(i)7.93%; (ii)9.71%</t>
  </si>
  <si>
    <t>(i)2.93%; (ii)4.71%</t>
  </si>
  <si>
    <t>(i)5.09%; (ii)7.13%</t>
  </si>
  <si>
    <t>(i)8.02%; (ii)11.84%</t>
  </si>
  <si>
    <t>State Employees: 13.34% ;Teachers: 13.10%</t>
  </si>
  <si>
    <t>State Employees: -20.73% ;Teachers: -20.32%</t>
  </si>
  <si>
    <t>State Employees: 85.1%; Teachers: 78.2%</t>
  </si>
  <si>
    <t>Cavanaugh Macdonald Consulting ,LLC</t>
  </si>
  <si>
    <t>(i)7.99%; (ii)10.14%</t>
  </si>
  <si>
    <t>(i)2.99%; (ii)5.14%</t>
  </si>
  <si>
    <t>(i)4.1%; (ii)5.82%</t>
  </si>
  <si>
    <t>(i)7.09%; (ii)11.96%</t>
  </si>
  <si>
    <t>PBI</t>
  </si>
  <si>
    <t>Pg.51 &amp; 56</t>
  </si>
  <si>
    <t>Pg.49 &amp; 54</t>
  </si>
  <si>
    <t>Level percent, open</t>
  </si>
  <si>
    <t>State Employees: 88%; Teachers: 79.8%</t>
  </si>
  <si>
    <t>2011 &amp; 2012</t>
  </si>
  <si>
    <t>(i)7.67%; (ii)9.68%</t>
  </si>
  <si>
    <t>(i)2.67%; (ii)4.68%</t>
  </si>
  <si>
    <t>(i)5.79%; (ii)8.23%</t>
  </si>
  <si>
    <t>(i)8.46%; (ii)12.91%</t>
  </si>
  <si>
    <t>Pg.52 &amp; 57</t>
  </si>
  <si>
    <t>Pg.50 &amp; 55</t>
  </si>
  <si>
    <t>State Employees: 84%; Teachers: 76.1%</t>
  </si>
  <si>
    <t>(i)8.64%; (ii)10.95%</t>
  </si>
  <si>
    <t>(i)3.64%; (ii)5.95%</t>
  </si>
  <si>
    <t>(i)9.65%; (ii)11.46%</t>
  </si>
  <si>
    <t>(i)13.29%; (ii)17.41%</t>
  </si>
  <si>
    <t>State Employees: 75.2%; Teachers: 68.6%</t>
  </si>
  <si>
    <t>2013 &amp; 2014</t>
  </si>
  <si>
    <t>(i)8.55%; (ii)10.93%</t>
  </si>
  <si>
    <t>(i)3.55%; (ii)5.93%</t>
  </si>
  <si>
    <t>(i)9.52%; (ii)10.84%</t>
  </si>
  <si>
    <t>(i)13.07%; (ii)16.77%</t>
  </si>
  <si>
    <t>Plan 1: 2.50%; Plan 2: 2.25%</t>
  </si>
  <si>
    <t>SE-3.75% to 5.6% &amp; Teach 3.75% to 6.20% &amp; 3.5% - 4.75%</t>
  </si>
  <si>
    <t>Pg.57,58 &amp; 64</t>
  </si>
  <si>
    <t>Pg.54,55 &amp; 61,62</t>
  </si>
  <si>
    <t>10 &amp; 30 Years</t>
  </si>
  <si>
    <t>State Employees: 70.6%; Teachers: 66.6%</t>
  </si>
  <si>
    <t>(i)8.41%; (ii)10.6%</t>
  </si>
  <si>
    <t>(i)3.41%; (ii)5.6%</t>
  </si>
  <si>
    <t>(i)11.46%; (ii)12.6%</t>
  </si>
  <si>
    <t>(i)14.87%; (ii)18.2%</t>
  </si>
  <si>
    <t>Range</t>
  </si>
  <si>
    <t>Prior Plans: 1.7% of AFC times years of service; New Plans: 1.7% AFC times years of service up to 1/1/13 + 1.65% AFC times years of service from 1/1/13</t>
  </si>
  <si>
    <t>SE-3.75% to 5.6% &amp; Teach 3.75% to 6.20% &amp; 3.5% - 4.75%; Poli Sub: 3.75%-5.6%, 3.5%-4.75%</t>
  </si>
  <si>
    <t>9 &amp; 29 Years</t>
  </si>
  <si>
    <t>State Employees: 65.6%; Teachers: 62.4%; Political Subdivisions: 73.4%</t>
  </si>
  <si>
    <t>2015 &amp; 2016</t>
  </si>
  <si>
    <t>(i)9.28%; (ii)10.78%</t>
  </si>
  <si>
    <t>(i)4.28%; (ii)5.78%</t>
  </si>
  <si>
    <t>(i)11.51%; (ii)12.41%</t>
  </si>
  <si>
    <t>(i)15.79%; (ii)18.19%</t>
  </si>
  <si>
    <t>Plan 1: 1.7% of AFC times years of service; Plan 2: 1.7% AFC times years of service up to 1/1/13 + 1.65% AFC times years of service from 1/1/13</t>
  </si>
  <si>
    <t>SE-3.50% to 5.35% &amp; Teach 3.50% to 5.95%; Political Sub: 3.5%-5.35%, 3.5%-4.75%</t>
  </si>
  <si>
    <t>Pg 59 &amp; 65</t>
  </si>
  <si>
    <t>Pg 56,57 &amp; 62,63</t>
  </si>
  <si>
    <t>RP-2000 Employee Mortality Table; RP-2000 Combined Mortality Table</t>
  </si>
  <si>
    <t xml:space="preserve">Scale AA  </t>
  </si>
  <si>
    <t>State Females: Pre-3 Years; Post- 1 Year; Teachers: Pre- Males: 3 Years, Females: 5 Years; Post- Males: 2 Years; Females: 3 Years</t>
  </si>
  <si>
    <t>State-Males: Pre- 2 Years</t>
  </si>
  <si>
    <t>8 &amp; 30 Years</t>
  </si>
  <si>
    <t>State Employees: 65.1%; Teachers: 62%; Political Subdivisions: 75.4%</t>
  </si>
  <si>
    <t>(i)9.27%; (ii)10.73%</t>
  </si>
  <si>
    <t>(i)4.29%; (ii)5.74%</t>
  </si>
  <si>
    <t>(i)4.98%; (ii)4.99%</t>
  </si>
  <si>
    <t>(i)10.85%; (ii)11.78%</t>
  </si>
  <si>
    <t>(i)15.14%; (ii)17.51%</t>
  </si>
  <si>
    <t>Pg 64 &amp; 71</t>
  </si>
  <si>
    <t>Pg 60-62 &amp; 67-69</t>
  </si>
  <si>
    <t>7 &amp; Variable Years</t>
  </si>
  <si>
    <t>State Employees: 67.9%; Teachers: 65.4%; Political Subdivisions: 80.6%</t>
  </si>
  <si>
    <t>2017 &amp; 2018</t>
  </si>
  <si>
    <t>(i)9.37%; (ii)10.79%</t>
  </si>
  <si>
    <t>(i)4.45%; (ii)5.86%</t>
  </si>
  <si>
    <t>(i)4.92%; (ii)4.93%</t>
  </si>
  <si>
    <t>(i)9.91%; (ii)10.39%</t>
  </si>
  <si>
    <t>(i)14.36%; (ii)16.25%</t>
  </si>
  <si>
    <t xml:space="preserve">Plan 1: 1.7% of AFC times years of service; Plan 2: 1.7% AFC times years of service up to 1/1/13 + 1.65% AFC times years of service from 1/1/13; Hybrid: 1% AFC times years of service </t>
  </si>
  <si>
    <t>SE-3.50% to 5.35% &amp; Teach 3.50% to 5.95%</t>
  </si>
  <si>
    <t>Pg 56 &amp; 63</t>
  </si>
  <si>
    <t>Pg.52-54 &amp; 59-61</t>
  </si>
  <si>
    <t>Level Percentage of Payroll, Closed</t>
  </si>
  <si>
    <t>28 Years</t>
  </si>
  <si>
    <t>(i)9.07%; (ii)10.57%</t>
  </si>
  <si>
    <t>(i)4.21%; (ii)5.68%</t>
  </si>
  <si>
    <t>(i)4.86%; (ii)4.89%</t>
  </si>
  <si>
    <t>(i)8.76%; (ii)10.04%</t>
  </si>
  <si>
    <t>(i)12.97%; (ii)15.72%</t>
  </si>
  <si>
    <t>Pg 55 &amp; 62</t>
  </si>
  <si>
    <t>Pg 51-53 &amp; 58-60</t>
  </si>
  <si>
    <t>27 Years</t>
  </si>
  <si>
    <t>2019 &amp; 2020</t>
  </si>
  <si>
    <t>(i)9.58%; (ii)10.97%</t>
  </si>
  <si>
    <t>(i)4.9%; (ii)6.22%</t>
  </si>
  <si>
    <t>(i)4.68%; (ii)4.75%</t>
  </si>
  <si>
    <t>(i)8.04%; (ii)9.02%</t>
  </si>
  <si>
    <t>(i)12.94%; (ii)15.24%</t>
  </si>
  <si>
    <t>Pg 61 &amp; 69</t>
  </si>
  <si>
    <t>Pg 56-59 &amp; 64-67</t>
  </si>
  <si>
    <t>RP-2014 Employee Rates, Annuitant Rates, White Collar Rates</t>
  </si>
  <si>
    <t xml:space="preserve">Scale BB  </t>
  </si>
  <si>
    <t>State Pre- 1 Year, Post- Females 1 Year; Teachers: Females- 3 Years</t>
  </si>
  <si>
    <t>State Post- Males: 1 Year</t>
  </si>
  <si>
    <t>26 Years</t>
  </si>
  <si>
    <t>(i)9.42%; (ii)10.81%</t>
  </si>
  <si>
    <t>(i)4.78%; (ii)6.1%</t>
  </si>
  <si>
    <t>(i)4.64%; (ii)4.71%</t>
  </si>
  <si>
    <t>(i)7.86%; (ii)8.62%</t>
  </si>
  <si>
    <t>(i)12.64%; (ii)14.72%</t>
  </si>
  <si>
    <t>Pg 60 &amp; 68</t>
  </si>
  <si>
    <t>Pg 55-58 &amp; 64-66</t>
  </si>
  <si>
    <t>State Employees: 76.27%; Teachers: 74.54%; Political Subdivisions: 89.33%</t>
  </si>
  <si>
    <t>2021 &amp; 2022</t>
  </si>
  <si>
    <t>(i)9.68%; (ii)11.28%</t>
  </si>
  <si>
    <t>(i)5.08%; (ii)6.6%</t>
  </si>
  <si>
    <t>(i)4.60%; (ii)4.68%</t>
  </si>
  <si>
    <t>(i)8.59%; (ii)9.46%</t>
  </si>
  <si>
    <t>(i)13.67%; (ii)16.06%</t>
  </si>
  <si>
    <t>Pg 67 &amp; 75</t>
  </si>
  <si>
    <t>Pg 62-65 &amp; 70-73</t>
  </si>
  <si>
    <t>State Employees: 74.54%; Teachers: 73.49%; Political Subdivisions: 86.27%</t>
  </si>
  <si>
    <t>NA</t>
  </si>
  <si>
    <t>(i)9.55%; (ii)11.03%</t>
  </si>
  <si>
    <t>(i)4.98%; (ii)6.38%</t>
  </si>
  <si>
    <t>(i)4.57%; (ii)4.65%</t>
  </si>
  <si>
    <t>(i)8.60%; (ii)9.52%</t>
  </si>
  <si>
    <t>(i)13.58%; (ii)15.90%</t>
  </si>
  <si>
    <t>Pg 69 &amp; 77</t>
  </si>
  <si>
    <t>Pg 64-67 &amp; 72-75</t>
  </si>
  <si>
    <t>Scale BB</t>
  </si>
  <si>
    <t>State Employees: 75.08%; Teachers: 73.88%; Political Subdivisions: 86.42%</t>
  </si>
  <si>
    <t>2023 &amp; 2024</t>
  </si>
  <si>
    <t>(i)9.29%; (ii)10.25%</t>
  </si>
  <si>
    <t>(i)4.76%; (ii)5.63%</t>
  </si>
  <si>
    <t>(i)4.53%; (ii)4.62%</t>
  </si>
  <si>
    <t>(i)8.02%; (ii)8.04%</t>
  </si>
  <si>
    <t>(i)13.07%; (ii)13.95%</t>
  </si>
  <si>
    <t>Pg 72 &amp; 81</t>
  </si>
  <si>
    <t>Pg 67-70 &amp; 76-79</t>
  </si>
  <si>
    <t>Pub-2010 Amount Weighted General &amp; Teacher Employee, Healthy Retiree Rates</t>
  </si>
  <si>
    <t>State Pre - Female 2 Years ; Teachers Post - Males 1 Year</t>
  </si>
  <si>
    <t>State Employees: 77.13%; Teachers: 77.21%; Political Subdivisions: 87.19%</t>
  </si>
  <si>
    <t>SOURCE</t>
  </si>
  <si>
    <t>Virginia VRS Valuation 2001.pdf Pg.No 2</t>
  </si>
  <si>
    <t>Virginia VRS Valuation 2001.pdf Pg.No 27 &amp; 28</t>
  </si>
  <si>
    <t>Virginia VRS Valuation 2001.pdf Pg.No 58, 59</t>
  </si>
  <si>
    <t>Virginia VRS Valuation 2001.pdf Pg.No 138 &amp; 144</t>
  </si>
  <si>
    <t>Virginia VRS Valuation 2001.pdf Pg.No 47</t>
  </si>
  <si>
    <t>Virginia VRS Valuation 2001.pdf Pg.No 114 &amp; 119</t>
  </si>
  <si>
    <t>Virginia VRS Valuation 2001.pdf Pg.No 6,7</t>
  </si>
  <si>
    <t>Virginia VRS Valuation 2001.pdf Pg.No 42 &amp; 43</t>
  </si>
  <si>
    <t>Virginia VRS Valuation 2002.pdf Pg.No 7 &amp; 8</t>
  </si>
  <si>
    <t>Virginia VRS Valuation 2002.pdf Pg.No 28 &amp; 29</t>
  </si>
  <si>
    <t>Virginia VRS Valuation 2002.pdf Pg.No 59, 60</t>
  </si>
  <si>
    <t>Virginia VRS Valuation 2002.pdf Pg.No 139 &amp; 145</t>
  </si>
  <si>
    <t>Virginia VRS Valuation 2002.pdf Pg.No 48</t>
  </si>
  <si>
    <t>Virginia VRS CAFR 2002.pdf Pg.No 25</t>
  </si>
  <si>
    <t>Virginia VRS CAFR 2002.pdf Pg.No 98</t>
  </si>
  <si>
    <t>Virginia VRS Valuation 2002.pdf Pg.No 115 &amp; 120</t>
  </si>
  <si>
    <t>Virginia VRS Valuation 2002.pdf Pg.No 7,8</t>
  </si>
  <si>
    <t>Virginia VRS Valuation 2002.pdf Pg.No 43 &amp; 44</t>
  </si>
  <si>
    <t>Virginia VRS Valuation 2003.pdf Pg.No 6 &amp; 7</t>
  </si>
  <si>
    <t>Virginia VRS Valuation 2003.pdf Pg.No 27 &amp; 28</t>
  </si>
  <si>
    <t>Virginia VRS Valuation 2003.pdf Pg.No 58, 59</t>
  </si>
  <si>
    <t>Virginia VRS Valuation 2003.pdf Pg.No 138 &amp; 144</t>
  </si>
  <si>
    <t>Virginia VRS Valuation 2003.pdf Pg.No 47</t>
  </si>
  <si>
    <t>Virginia VRS CAFR 2003.pdf Pg.No 24</t>
  </si>
  <si>
    <t>Virginia VRS CAFR 2003.pdf Pg.No 90</t>
  </si>
  <si>
    <t>Virginia VRS Valuation 2003.pdf Pg.No 114 &amp; 119</t>
  </si>
  <si>
    <t>Virginia VRS Valuation 2003.pdf Pg.No 6,7</t>
  </si>
  <si>
    <t>Virginia VRS Valuation 2003.pdf Pg.No 42 &amp; 43</t>
  </si>
  <si>
    <t>Virginia VRS Valuation 2004.pdf Pg.No 6 &amp; 7</t>
  </si>
  <si>
    <t>Virginia VRS Valuation 2004.pdf Pg.No 27 &amp; 28</t>
  </si>
  <si>
    <t>Virginia VRS Valuation 2004.pdf Pg.No 58, 59</t>
  </si>
  <si>
    <t>Virginia VRS Valuation 2004.pdf Pg.No 138 &amp; 144</t>
  </si>
  <si>
    <t>Virginia VRS Valuation 2004.pdf Pg.No 47</t>
  </si>
  <si>
    <t>Virginia VRS CAFR 2004.pdf Pg.No 29</t>
  </si>
  <si>
    <t>Virginia VRS CAFR 2004.pdf Pg.No 103</t>
  </si>
  <si>
    <t>Virginia VRS Valuation 2004.pdf Pg.No 114 &amp; 119</t>
  </si>
  <si>
    <t>Virginia VRS Valuation 2004.pdf Pg.No 6,7</t>
  </si>
  <si>
    <t>Virginia VRS Valuation 2004.pdf Pg.No 42 &amp; 43</t>
  </si>
  <si>
    <t>Virginia VRS Valuation 2005.pdf Pg.No 8 &amp; 9</t>
  </si>
  <si>
    <t>Virginia VRS Valuation 2005.pdf Pg.No 27 &amp; 28</t>
  </si>
  <si>
    <t>Virginia VRS Valuation 2005.pdf Pg.No 58, 59</t>
  </si>
  <si>
    <t>Virginia VRS Valuation 2005.pdf Pg.No 137 &amp; 142</t>
  </si>
  <si>
    <t>Virginia VRS Valuation 2005.pdf Pg.No 47</t>
  </si>
  <si>
    <t>Virginia VRS CAFR 2005.pdf Pg.No 25</t>
  </si>
  <si>
    <t>Virginia VRS CAFR 2005.pdf Pg.No 101</t>
  </si>
  <si>
    <t>Virginia VRS Valuation 2005.pdf Pg.No 114 &amp; 119</t>
  </si>
  <si>
    <t>Virginia VRS Valuation 2005.pdf Pg.No 8,9</t>
  </si>
  <si>
    <t>Virginia VRS Valuation 2005.pdf Pg.No 42 &amp; 43</t>
  </si>
  <si>
    <t>Virginia VRS Valuation 2006.pdf Pg.No 5 &amp; 6</t>
  </si>
  <si>
    <t>Virginia VRS Valuation 2006.pdf Pg.No 23 &amp; 24</t>
  </si>
  <si>
    <t>Virginia VRS Valuation 2006.pdf Pg.No 54, 55</t>
  </si>
  <si>
    <t>Virginia VRS Valuation 2006.pdf Pg.No 133 &amp; 138</t>
  </si>
  <si>
    <t>Virginia VRS Valuation 2006.pdf Pg.No 43</t>
  </si>
  <si>
    <t>Virginia VRS CAFR 2006.pdf Pg.No 31</t>
  </si>
  <si>
    <t>Virginia VRS CAFR 2006.pdf Pg.No 112</t>
  </si>
  <si>
    <t>Virginia VRS Valuation 2006.pdf Pg.No 110 &amp; 115</t>
  </si>
  <si>
    <t>Virginia VRS Valuation 2006.pdf Pg.No 5,6</t>
  </si>
  <si>
    <t>Virginia VRS Valuation 2006.pdf Pg.No 38 &amp; 39</t>
  </si>
  <si>
    <t>Virginia VRS Valuation 2007.pdf Pg.No 5 &amp; 6</t>
  </si>
  <si>
    <t>Virginia VRS Valuation 2007.pdf Pg.No 23 &amp; 24</t>
  </si>
  <si>
    <t>Virginia VRS Valuation 2007.pdf Pg.No 54, 55</t>
  </si>
  <si>
    <t>Virginia VRS Valuation 2007.pdf Pg.No 133 &amp; 138</t>
  </si>
  <si>
    <t>Virginia VRS Valuation 2007.pdf Pg.No 43</t>
  </si>
  <si>
    <t>Virginia VRS CAFR 2007.pdf Pg.No 32</t>
  </si>
  <si>
    <t>Virginia VRS CAFR 2007.pdf Pg.No 120</t>
  </si>
  <si>
    <t>Virginia VRS Valuation 2007.pdf Pg.No 110 &amp; 115</t>
  </si>
  <si>
    <t>Virginia VRS Valuation 2007.pdf Pg.No 5,6</t>
  </si>
  <si>
    <t>Virginia VRS Valuation 2007.pdf Pg.No 38 &amp; 39</t>
  </si>
  <si>
    <t>Virginia VRS Valuation 2008.pdf Pg.No 6 &amp; 7</t>
  </si>
  <si>
    <t>Virginia VRS Valuation 2008.pdf Pg.No 21</t>
  </si>
  <si>
    <t>Virginia VRS Valuation 2008.pdf Pg.No 42, 43</t>
  </si>
  <si>
    <t>Virginia VRS Valuation 2008.pdf Pg.No 72 &amp; 77</t>
  </si>
  <si>
    <t>Virginia VRS Valuation 2008.pdf Pg.No 24</t>
  </si>
  <si>
    <t>Virginia VRS CAFR 2008.pdf Pg.No 32</t>
  </si>
  <si>
    <t>Virginia VRS CAFR 2008.pdf Pg.No 127</t>
  </si>
  <si>
    <t>Virginia VRS Valuation 2008.pdf Pg.No 48 &amp; 53</t>
  </si>
  <si>
    <t>Virginia VRS Valuation 2008.pdf Pg.No 23</t>
  </si>
  <si>
    <t>Virginia VRS Valuation 2008.pdf Pg.No 27</t>
  </si>
  <si>
    <t>Virginia VRS Valuation 2008.pdf Pg.No 26</t>
  </si>
  <si>
    <t xml:space="preserve">Virginia VRS Valuation 2009.pdf Pg.No 7 &amp; 8 </t>
  </si>
  <si>
    <t>Virginia VRS Valuation 2009.pdf Pg.No 22</t>
  </si>
  <si>
    <t>Virginia VRS Valuation 2009.pdf Pg.No 43, 44</t>
  </si>
  <si>
    <t>Virginia VRS Valuation 2009.pdf Pg.No 76 &amp; 81</t>
  </si>
  <si>
    <t>Virginia VRS Valuation 2009.pdf Pg.No 25</t>
  </si>
  <si>
    <t>Virginia VRS CAFR 2009.pdf Pg.No 32</t>
  </si>
  <si>
    <t>Virginia VRS CAFR 2009.pdf Pg.No 128</t>
  </si>
  <si>
    <t>Virginia VRS Valuation 2009.pdf Pg.No 49 &amp; 54</t>
  </si>
  <si>
    <t>Virginia VRS Valuation 2009.pdf Pg.No 24</t>
  </si>
  <si>
    <t>Virginia VRS Valuation 2009.pdf Pg.No 28</t>
  </si>
  <si>
    <t>Virginia VRS Valuation 2009.pdf Pg.No 27</t>
  </si>
  <si>
    <t>Virginia VRS Valuation 2010.pdf Pg.No 6 &amp; 7</t>
  </si>
  <si>
    <t>Virginia VRS Valuation 2010.pdf Pg.No 21</t>
  </si>
  <si>
    <t>Virginia VRS Valuation 2010.pdf Pg.No 42, 43</t>
  </si>
  <si>
    <t>Virginia VRS Valuation 2010.pdf Pg.No 75 &amp; 80</t>
  </si>
  <si>
    <t>Virginia VRS Valuation 2010.pdf Pg.No 24</t>
  </si>
  <si>
    <t>Virginia VRS CAFR 2010.pdf Pg.No 36</t>
  </si>
  <si>
    <t>Virginia VRS CAFR 2010.pdf Pg.No 164</t>
  </si>
  <si>
    <t>Virginia VRS CAFR 2010.pdf Pg.No 47</t>
  </si>
  <si>
    <t>Virginia VRS Valuation 2010.pdf Pg.No 48 &amp; 53</t>
  </si>
  <si>
    <t>Virginia VRS Valuation 2010.pdf Pg.No 23</t>
  </si>
  <si>
    <t>Virginia VRS Valuation 2010.pdf Pg.No 27</t>
  </si>
  <si>
    <t>Virginia VRS Valuation 2010.pdf Pg.No 26</t>
  </si>
  <si>
    <t>Virginia VRS Valuation 2011.pdf Pg.No 8 &amp; 9</t>
  </si>
  <si>
    <t>Virginia VRS Valuation 2011.pdf Pg.No 23</t>
  </si>
  <si>
    <t>Virginia VRS Valuation 2011.pdf Pg.No 46, 47, 51</t>
  </si>
  <si>
    <t>Virginia VRS Valuation 2011.pdf Pg.No 83 &amp; 90</t>
  </si>
  <si>
    <t>Virginia VRS Valuation 2011.pdf Pg.No 26</t>
  </si>
  <si>
    <t>Virginia VRS CAFR 2011.pdf Pg.No 44</t>
  </si>
  <si>
    <t>Virginia VRS CAFR 2011.pdf Pg.No 52</t>
  </si>
  <si>
    <t>Virginia VRS Valuation 2011.pdf Pg.No 53 &amp; 60</t>
  </si>
  <si>
    <t>Virginia VRS Valuation 2011.pdf Pg.No 25</t>
  </si>
  <si>
    <t>Virginia VRS Valuation 2011.pdf Pg.No 29</t>
  </si>
  <si>
    <t>Virginia VRS Valuation 2011.pdf Pg.No 28</t>
  </si>
  <si>
    <t xml:space="preserve">Virginia VRS Valuation 2012.pdf Pg.No 7 &amp; 8 </t>
  </si>
  <si>
    <t>Virginia VRS Valuation 2012.pdf Pg.No 23</t>
  </si>
  <si>
    <t>Virginia VRS Valuation 2012.pdf Pg.No 46, 47, 51</t>
  </si>
  <si>
    <t>Virginia VRS Valuation 2012.pdf Pg.No 83, 84 &amp; 89, 90</t>
  </si>
  <si>
    <t>Virginia VRS Valuation 2012.pdf Pg.No 26</t>
  </si>
  <si>
    <t>Virginia VRS CAFR 2012.pdf Pg.No 37</t>
  </si>
  <si>
    <t>Virginia VRS CAFR 2012.pdf Pg.No 45</t>
  </si>
  <si>
    <t>Virginia VRS Valuation 2012.pdf Pg.No 53 &amp; 60</t>
  </si>
  <si>
    <t>Virginia VRS Valuation 2012.pdf Pg.No 25</t>
  </si>
  <si>
    <t>Virginia VRS Valuation 2012.pdf Pg.No 29</t>
  </si>
  <si>
    <t>Virginia VRS Valuation 2012.pdf Pg.No 28</t>
  </si>
  <si>
    <t>Virginia VRS Valuation 2013.pdf Pg.No 8 &amp; 9</t>
  </si>
  <si>
    <t>Virginia VRS Valuation 2013.pdf Pg.No 25</t>
  </si>
  <si>
    <t>Virginia VRS Valuation 2014.pdf Pg.No 52, 53</t>
  </si>
  <si>
    <t>Virginia VRS Valuation 2013.pdf Pg.No 48, 49, 53</t>
  </si>
  <si>
    <t>Virginia VRS Valuation 2013.pdf Pg.No 85,86 &amp; 91,92</t>
  </si>
  <si>
    <t>Virginia VRS Valuation 2013.pdf Pg.No 28</t>
  </si>
  <si>
    <t>Virginia VRS CAFR 2013.pdf Pg.No 37</t>
  </si>
  <si>
    <t>Virginia VRS CAFR 2013.pdf Pg.No 45</t>
  </si>
  <si>
    <t>Virginia VRS Valuation 2013.pdf Pg.No 55 &amp; 61</t>
  </si>
  <si>
    <t>Virginia VRS Valuation 2013.pdf Pg.No 27</t>
  </si>
  <si>
    <t>Virginia VRS Valuation 2013.pdf Pg.No 31</t>
  </si>
  <si>
    <t>Virginia VRS Valuation 2013.pdf Pg.No 30</t>
  </si>
  <si>
    <t xml:space="preserve">Virginia VRS Valuation 2014.pdf Pg.No 7 &amp; 8 </t>
  </si>
  <si>
    <t>Virginia VRS Valuation 2014.pdf Pg.No 23</t>
  </si>
  <si>
    <t>Virginia VRS Valuation 2014.pdf Pg.No 46, 47, 51</t>
  </si>
  <si>
    <t>Virginia VRS Valuation 2014.pdf Pg.No 89, 90 &amp; 96, 97</t>
  </si>
  <si>
    <t>Virginia VRS Valuation 2014.pdf Pg.No 26</t>
  </si>
  <si>
    <t>Virginia VRS CAFR 2014.pdf Pg.No 37</t>
  </si>
  <si>
    <t>Virginia VRS Valuation 2014.pdf Pg.No 17</t>
  </si>
  <si>
    <t>Virginia VRS CAFR 2014.pdf Pg.No 47</t>
  </si>
  <si>
    <t>Virginia VRS Valuation 2014.pdf Pg.No 59 &amp; 66</t>
  </si>
  <si>
    <t>Virginia VRS Valuation 2014.pdf Pg.No 25</t>
  </si>
  <si>
    <t>Virginia VRS Valuation 2014.pdf Pg.No 29</t>
  </si>
  <si>
    <t>Virginia VRS Valuation 2014.pdf Pg.No 28</t>
  </si>
  <si>
    <t>Virginia VRS Valuation 2015.pdf Pg.No 7 &amp; 8</t>
  </si>
  <si>
    <t>Virginia VRS Valuation 2015.pdf Pg.No 23</t>
  </si>
  <si>
    <t>Virginia VRS Valuation 2015.pdf Pg.No 44,45</t>
  </si>
  <si>
    <t>Virginia VRS Valuation 2015.pdf Pg.No 38, 39, 43</t>
  </si>
  <si>
    <t>Virginia VRS Valuation 2015.pdf Pg.No 81, 82 &amp; 88, 89</t>
  </si>
  <si>
    <t>Virginia VRS Valuation 2015.pdf Pg.No 49</t>
  </si>
  <si>
    <t>Virginia VRS CAFR 2015.pdf Pg.No 41</t>
  </si>
  <si>
    <t>Virginia VRS Valuation 2015.pdf Pg.No 17</t>
  </si>
  <si>
    <t>Virginia VRS CAFR 2015.pdf Pg.No 53</t>
  </si>
  <si>
    <t>Virginia VRS Valuation 2015.pdf Pg.No 57, 64</t>
  </si>
  <si>
    <t>Virginia VRS Valuation 2015.pdf Pg.No 51 &amp; 58</t>
  </si>
  <si>
    <t>Virginia VRS Valuation 2015.pdf Pg.No 4</t>
  </si>
  <si>
    <t>Virginia VRS Valuation 2015.pdf Pg.No 7 &amp; 8 &amp; 12</t>
  </si>
  <si>
    <t>Virginia VRS Valuation 2015.pdf Pg.No 25</t>
  </si>
  <si>
    <t>Virginia VRS Valuation 2015.pdf Pg.No 24</t>
  </si>
  <si>
    <t>Virginia VRS Valuation 2016.pdf Pg.No 6 &amp; 7</t>
  </si>
  <si>
    <t>Virginia VRS Valuation 2016.pdf Pg.No 22</t>
  </si>
  <si>
    <t>Virginia VRS Valuation 2016.pdf Pg.No 43, 44</t>
  </si>
  <si>
    <t>Virginia VRS Valuation 2016.pdf Pg.No 37, 38, 42</t>
  </si>
  <si>
    <t>Virginia VRS Valuation 2016.pdf Pg.No 80, 81 &amp; 87, 88</t>
  </si>
  <si>
    <t>Virginia VRS Valuation 2016.pdf Pg.No 48</t>
  </si>
  <si>
    <t>Virginia VRS CAFR 2016.pdf Pg.No 41</t>
  </si>
  <si>
    <t>Virginia VRS Valuation 2016.pdf Pg.No 16</t>
  </si>
  <si>
    <t>Virginia VRS CAFR 2016.pdf Pg.No 53</t>
  </si>
  <si>
    <t>Virginia VRS CAFR 2016.pdf Pg.No 142</t>
  </si>
  <si>
    <t>Virginia VRS Valuation 2016.pdf Pg.No 56, 63</t>
  </si>
  <si>
    <t>Virginia VRS Valuation 2016.pdf Pg.No 50 &amp; 57</t>
  </si>
  <si>
    <t>Virginia VRS Valuation 2016.pdf Pg.No 3</t>
  </si>
  <si>
    <t>Virginia VRS Valuation 2016.pdf Pg.No 6 &amp; 7 &amp; 11</t>
  </si>
  <si>
    <t>Virginia VRS Valuation 2016.pdf Pg.No 24</t>
  </si>
  <si>
    <t>Virginia VRS Valuation 2016.pdf Pg.No 23</t>
  </si>
  <si>
    <t>Virginia VRS Valuation 2017.pdf Pg.No 7 &amp; 8</t>
  </si>
  <si>
    <t>Virginia VRS Valuation 2017.pdf Pg.No 23</t>
  </si>
  <si>
    <t>Virginia VRS Valuation 2017.pdf Pg.No 48, 49</t>
  </si>
  <si>
    <t>Virginia VRS Valuation 2017.pdf Pg.No 42, 43, 47</t>
  </si>
  <si>
    <t>Virginia VRS Valuation 2017.pdf Pg.No 89, 90 &amp; 94, 95</t>
  </si>
  <si>
    <t>Virginia VRS Valuation 2017.pdf Pg.No 53</t>
  </si>
  <si>
    <t>Virginia VRS CAFR 2017.pdf Pg.No 41</t>
  </si>
  <si>
    <t>Virginia VRS Valuation 2017.pdf Pg.No 17</t>
  </si>
  <si>
    <t>Virginia VRS CAFR 2017.pdf Pg.No 53</t>
  </si>
  <si>
    <t>Virginia VRS Valuation 2017.pdf Pg.No 62, 70</t>
  </si>
  <si>
    <t>Virginia VRS Valuation 2017.pdf Pg.No 55 &amp; 63</t>
  </si>
  <si>
    <t>Virginia VRS Valuation 2017.pdf Pg.No 3</t>
  </si>
  <si>
    <t>Virginia VRS Valuation 2017.pdf Pg.No 7 &amp; 8 &amp; 12</t>
  </si>
  <si>
    <t>Virginia VRS Valuation 2017.pdf Pg.No 25</t>
  </si>
  <si>
    <t>Virginia VRS Valuation 2017.pdf Pg.No 24</t>
  </si>
  <si>
    <t>Virginia VRS Valuation 2018.pdf Pg.No 6 &amp; 7</t>
  </si>
  <si>
    <t>Virginia VRS Valuation 2018.pdf Pg.No 22</t>
  </si>
  <si>
    <t>Virginia VRS Valuation 2018.pdf Pg.No 47, 48</t>
  </si>
  <si>
    <t>Virginia VRS Valuation 2018.pdf Pg.No 41, 42, 46</t>
  </si>
  <si>
    <t>Virginia VRS Valuation 2018.pdf Pg.No 89, 90 &amp; 96, 97</t>
  </si>
  <si>
    <t>Virginia VRS Valuation 2018.pdf Pg.No 52</t>
  </si>
  <si>
    <t>Virginia VRS CAFR 2018.pdf Pg.No 41</t>
  </si>
  <si>
    <t>Virginia VRS Valuation 2018.pdf Pg.No 16</t>
  </si>
  <si>
    <t>Virginia VRS CAFR 2018.pdf Pg.No 57</t>
  </si>
  <si>
    <t>Virginia VRS Valuation 2018.pdf Pg.No 61, 69</t>
  </si>
  <si>
    <t>Virginia VRS Valuation 2018.pdf Pg.No 54 &amp; 62</t>
  </si>
  <si>
    <t>Virginia VRS Valuation 2018.pdf Pg.No 3</t>
  </si>
  <si>
    <t>Virginia VRS Valuation 2018.pdf Pg.No 6 &amp; 7 &amp; 11</t>
  </si>
  <si>
    <t>Virginia VRS Valuation 2018.pdf Pg.No 24</t>
  </si>
  <si>
    <t>Virginia VRS Valuation 2018.pdf Pg.No 23</t>
  </si>
  <si>
    <t>Virginia VRS Valuation 2019.pdf Pg.No 9 &amp; 10</t>
  </si>
  <si>
    <t>Virginia VRS Valuation 2019.pdf Pg.No 20</t>
  </si>
  <si>
    <t>Virginia VRS Valuation 2019.pdf Pg.No 54, 55</t>
  </si>
  <si>
    <t>Virginia VRS Valuation 2019.pdf Pg.No 48, 49, 53</t>
  </si>
  <si>
    <t>Virginia VRS Valuation 2019.pdf Pg.No 96, 97 &amp; 103, 104</t>
  </si>
  <si>
    <t>Virginia VRS Valuation 2019.pdf Pg.No 60</t>
  </si>
  <si>
    <t>Virginia VRS CAFR 2019.pdf Pg.No 43</t>
  </si>
  <si>
    <t>Virginia VRS Valuation 2019.pdf Pg.No 68</t>
  </si>
  <si>
    <t>Virginia VRS CAFR 2019.pdf Pg.No 59</t>
  </si>
  <si>
    <t>Virginia VRS Valuation 2019.pdf Pg.No 59</t>
  </si>
  <si>
    <t>Virginia VRS Valuation 2019.pdf Pg.No 68, 76</t>
  </si>
  <si>
    <t>Virginia VRS Valuation 2019.pdf Pg.No 51 &amp; 69</t>
  </si>
  <si>
    <t>Virginia VRS Valuation 2019.pdf Pg.No 3</t>
  </si>
  <si>
    <t>Virginia VRS Valuation 2019.pdf Pg.No 9, 10 &amp; 14</t>
  </si>
  <si>
    <t>Virginia VRS Valuation 2019.pdf Pg.No 22</t>
  </si>
  <si>
    <t>Virginia VRS Valuation 2019.pdf Pg.No 21</t>
  </si>
  <si>
    <t>Virginia VRS Valuation 2020.pdf Pg.No 10 &amp; 11</t>
  </si>
  <si>
    <t>Virginia VRS Valuation 2020.pdf Pg.No 23</t>
  </si>
  <si>
    <t xml:space="preserve">Virginia VRS Valuation 2020.pdf Pg.No 56, 57 </t>
  </si>
  <si>
    <t>Virginia VRS Valuation 2020.pdf Pg.No 50, 51, 55</t>
  </si>
  <si>
    <t>Virginia VRS Valuation 2020.pdf Pg.No 98,99,&amp; 105,106</t>
  </si>
  <si>
    <t>Virginia VRS Valuation 2020.pdf Pg.No 62</t>
  </si>
  <si>
    <t>Virginia VRS CAFR 2020.pdf Pg.No 43</t>
  </si>
  <si>
    <t>Virginia VRS Valuation 2020.pdf Pg.No 70</t>
  </si>
  <si>
    <t>Virginia VRS CAFR 2020.pdf Pg.No 61</t>
  </si>
  <si>
    <t>Virginia VRS Valuation 2020.pdf Pg.No 61</t>
  </si>
  <si>
    <t>Virginia VRS Valuation 2020.pdf Pg.No 70,78</t>
  </si>
  <si>
    <t>Virginia VRS Valuation 2020.pdf Pg.No 63 &amp; 71</t>
  </si>
  <si>
    <t>Virginia VRS Valuation 2020.pdf Pg.No 3</t>
  </si>
  <si>
    <t>Virginia VRS Valuation 2020.pdf Pg.No 4</t>
  </si>
  <si>
    <t>Virginia VRS Valuation 2020.pdf Pg.No 10 ,11 ,15</t>
  </si>
  <si>
    <t>Virginia VRS Valuation 2020.pdf Pg.No 25</t>
  </si>
  <si>
    <t>Virginia VRS Valuation 2020.pdf Pg.No 24</t>
  </si>
  <si>
    <t>Virginia VRS Valuation 2021.pdf Pg.No 12 &amp;13</t>
  </si>
  <si>
    <t>Virginia VRS Valuation 2021.pdf Pg.No 25</t>
  </si>
  <si>
    <t>Virginia VRS Valuation 2021.pdf Pg.No 52 ,53 ,57</t>
  </si>
  <si>
    <t>Virginia VRS Valuation 2021.pdf Pg.No 106,107 &amp; 113,114</t>
  </si>
  <si>
    <t>Virginia VRS Valuation 2021.pdf Pg.No 64</t>
  </si>
  <si>
    <t>Virginia VRS CAFR 2021.pdf Pg.No 45</t>
  </si>
  <si>
    <t>Virginia VRS Valuation 2021.pdf Pg.No 73</t>
  </si>
  <si>
    <t>Virginia VRS CAFR 2021.pdf Pg.No 63</t>
  </si>
  <si>
    <t>Virginia VRS Valuation 2021.pdf Pg.No 63</t>
  </si>
  <si>
    <t>Virginia VRS Valuation 2021.pdf Pg.No 73 ,82</t>
  </si>
  <si>
    <t>Virginia VRS Valuation 2021.pdf Pg.No 65 &amp; 74</t>
  </si>
  <si>
    <t>Virginia VRS Valuation 2021.pdf Pg.No 3</t>
  </si>
  <si>
    <t>Virginia VRS Valuation 2021.pdf Pg.No 12 ,13 ,17</t>
  </si>
  <si>
    <t>Virginia VRS Valuation 2021.pdf Pg.No 27</t>
  </si>
  <si>
    <t>Virginia VRS Valuation 2021.pdf Pg.No 26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</si>
  <si>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</si>
  <si>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</si>
  <si>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</si>
  <si>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</si>
  <si>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</si>
  <si>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</si>
  <si>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</si>
  <si>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</si>
  <si>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</si>
  <si>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</si>
  <si>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</si>
  <si>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</si>
  <si>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</si>
  <si>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</si>
  <si>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</si>
  <si>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Payements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</si>
  <si>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</si>
  <si>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</si>
  <si>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</si>
  <si>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</si>
  <si>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</si>
  <si>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</si>
  <si>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</si>
  <si>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</si>
  <si>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</si>
  <si>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adec_pct_reason</t>
  </si>
  <si>
    <t>arcpct_payroll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</si>
  <si>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</si>
  <si>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</si>
  <si>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</si>
  <si>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</si>
  <si>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</si>
  <si>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</si>
  <si>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</si>
  <si>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</si>
  <si>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Virginia VRS CAFR 2001.pdf Pg.No 42</t>
  </si>
  <si>
    <t>Virginia VRS CAFR 2001.pdf Pg.No 56</t>
  </si>
  <si>
    <t>Virginia VRS CAFR 2001.pdf Pg.No 57</t>
  </si>
  <si>
    <t>Virginia VRS CAFR 2001.pdf Pg.No 55</t>
  </si>
  <si>
    <t>Virginia VRS CAFR 2001.pdf Pg.No 34</t>
  </si>
  <si>
    <t>Virginia VRS CAFR 2002.pdf Pg.No 34</t>
  </si>
  <si>
    <t>Virginia VRS CAFR 2002.pdf Pg.No 47</t>
  </si>
  <si>
    <t>Virginia VRS CAFR 2002.pdf Pg.No 48</t>
  </si>
  <si>
    <t>Virginia VRS CAFR 2002.pdf Pg.No 46</t>
  </si>
  <si>
    <t>Virginia VRS CAFR 2002.pdf Pg.No 29</t>
  </si>
  <si>
    <t>Virginia VRS CAFR 2003.pdf Pg.No 32</t>
  </si>
  <si>
    <t>Virginia VRS CAFR 2003.pdf Pg.No 44</t>
  </si>
  <si>
    <t>Virginia VRS CAFR 2003.pdf Pg.No 45</t>
  </si>
  <si>
    <t>Virginia VRS CAFR 2003.pdf Pg.No 43</t>
  </si>
  <si>
    <t>Virginia VRS CAFR 2003.pdf Pg.No 27</t>
  </si>
  <si>
    <t>Virginia VRS CAFR 2004.pdf Pg.No 47</t>
  </si>
  <si>
    <t>Virginia VRS CAFR 2004.pdf Pg.No 49</t>
  </si>
  <si>
    <t>Virginia VRS CAFR 2004.pdf Pg.No 50</t>
  </si>
  <si>
    <t>Virginia VRS CAFR 2004.pdf Pg.No 48</t>
  </si>
  <si>
    <t>Virginia VRS CAFR 2004.pdf Pg.No 32</t>
  </si>
  <si>
    <t>Virginia VRS CAFR 2005.pdf Pg.No 73</t>
  </si>
  <si>
    <t>Virginia VRS CAFR 2005.pdf Pg.No 34</t>
  </si>
  <si>
    <t>Virginia VRS CAFR 2005.pdf Pg.No 49</t>
  </si>
  <si>
    <t>Virginia VRS CAFR 2005.pdf Pg.No 50</t>
  </si>
  <si>
    <t>Virginia VRS CAFR 2005.pdf Pg.No 48</t>
  </si>
  <si>
    <t>Virginia VRS CAFR 2005.pdf Pg.No 28</t>
  </si>
  <si>
    <t>Virginia VRS CAFR 2006.pdf Pg.No 84</t>
  </si>
  <si>
    <t>Virginia VRS CAFR 2006.pdf Pg.No 55</t>
  </si>
  <si>
    <t>Virginia VRS CAFR 2006.pdf Pg.No 58</t>
  </si>
  <si>
    <t>Virginia VRS CAFR 2006.pdf Pg.No 59</t>
  </si>
  <si>
    <t>Virginia VRS CAFR 2006.pdf Pg.No 57</t>
  </si>
  <si>
    <t>Virginia VRS CAFR 2006.pdf Pg.No 34</t>
  </si>
  <si>
    <t>Virginia VRS CAFR 2007.pdf Pg.No 88</t>
  </si>
  <si>
    <t>Virginia VRS CAFR 2007.pdf Pg.No 46</t>
  </si>
  <si>
    <t>Virginia VRS CAFR 2007.pdf Pg.No 60</t>
  </si>
  <si>
    <t>Virginia VRS CAFR 2007.pdf Pg.No 61</t>
  </si>
  <si>
    <t>Virginia VRS CAFR 2007.pdf Pg.No 59</t>
  </si>
  <si>
    <t>Virginia VRS CAFR 2007.pdf Pg.No 36</t>
  </si>
  <si>
    <t>Virginia VRS CAFR 2008.pdf Pg.No 92</t>
  </si>
  <si>
    <t>Virginia VRS CAFR 2008.pdf Pg.No 48</t>
  </si>
  <si>
    <t>Virginia VRS CAFR 2008.pdf Pg.No 65</t>
  </si>
  <si>
    <t>Virginia VRS CAFR 2008.pdf Pg.No 47</t>
  </si>
  <si>
    <t>Virginia VRS CAFR 2008.pdf Pg.No 64</t>
  </si>
  <si>
    <t>Virginia VRS CAFR 2008.pdf Pg.No 36</t>
  </si>
  <si>
    <t>Virginia VRS CAFR 2009.pdf Pg.No 93</t>
  </si>
  <si>
    <t>Virginia VRS CAFR 2009.pdf Pg.No 47</t>
  </si>
  <si>
    <t>Virginia VRS CAFR 2009.pdf Pg.No 64</t>
  </si>
  <si>
    <t>Virginia VRS CAFR 2009.pdf Pg.No 46</t>
  </si>
  <si>
    <t>Virginia VRS CAFR 2009.pdf Pg.No 63</t>
  </si>
  <si>
    <t>Virginia VRS CAFR 2009.pdf Pg.No 36</t>
  </si>
  <si>
    <t>Virginia VRS CAFR 2010.pdf Pg.No 103</t>
  </si>
  <si>
    <t>Virginia VRS CAFR 2010.pdf Pg.No 50</t>
  </si>
  <si>
    <t>Virginia VRS CAFR 2010.pdf Pg.No 72</t>
  </si>
  <si>
    <t>Virginia VRS CAFR 2010.pdf Pg.No 71</t>
  </si>
  <si>
    <t>Virginia VRS CAFR 2010.pdf Pg.No 40</t>
  </si>
  <si>
    <t>Virginia VRS CAFR 2011.pdf Pg.No 120</t>
  </si>
  <si>
    <t>Virginia VRS CAFR 2011.pdf Pg.No 62</t>
  </si>
  <si>
    <t>Virginia VRS CAFR 2011.pdf Pg.No 88</t>
  </si>
  <si>
    <t>Virginia VRS CAFR 2011.pdf Pg.No 61</t>
  </si>
  <si>
    <t>Virginia VRS CAFR 2011.pdf Pg.No 87</t>
  </si>
  <si>
    <t>Virginia VRS CAFR 2011.pdf Pg.No 49</t>
  </si>
  <si>
    <t>Virginia VRS CAFR 2012.pdf Pg.No 116</t>
  </si>
  <si>
    <t>Virginia VRS CAFR 2012.pdf Pg.No 55</t>
  </si>
  <si>
    <t>Virginia VRS CAFR 2012.pdf Pg.No 85</t>
  </si>
  <si>
    <t>Virginia VRS CAFR 2012.pdf Pg.No 54</t>
  </si>
  <si>
    <t>Virginia VRS CAFR 2012.pdf Pg.No 84</t>
  </si>
  <si>
    <t>Virginia VRS CAFR 2012.pdf Pg.No 42</t>
  </si>
  <si>
    <t>Virginia VRS CAFR 2013.pdf Pg.No 120</t>
  </si>
  <si>
    <t>Virginia VRS CAFR 2013.pdf Pg.No 55</t>
  </si>
  <si>
    <t>Virginia VRS CAFR 2013.pdf Pg.No 87</t>
  </si>
  <si>
    <t>Virginia VRS CAFR 2013.pdf Pg.No 54</t>
  </si>
  <si>
    <t>Virginia VRS CAFR 2013.pdf Pg.No 86</t>
  </si>
  <si>
    <t>Virginia VRS CAFR 2013.pdf Pg.No 42</t>
  </si>
  <si>
    <t>Virginia VRS CAFR 2014.pdf Pg.No 144</t>
  </si>
  <si>
    <t>Virginia VRS CAFR 2014.pdf Pg.No 180</t>
  </si>
  <si>
    <t>Virginia VRS CAFR 2014.pdf Pg.No 60</t>
  </si>
  <si>
    <t>Virginia VRS CAFR 2014.pdf Pg.No 95</t>
  </si>
  <si>
    <t>Virginia VRS CAFR 2014.pdf Pg.No 139</t>
  </si>
  <si>
    <t>Virginia VRS CAFR 2014.pdf Pg.No 42</t>
  </si>
  <si>
    <t>Virginia VRS CAFR 2015.pdf Pg.No 154</t>
  </si>
  <si>
    <t>Virginia VRS CAFR 2015.pdf Pg.No 194</t>
  </si>
  <si>
    <t>Virginia VRS CAFR 2015.pdf Pg.No 170</t>
  </si>
  <si>
    <t>Virginia VRS CAFR 2015.pdf Pg.No 105</t>
  </si>
  <si>
    <t>Virginia VRS CAFR 2015.pdf Pg.No 149</t>
  </si>
  <si>
    <t>Virginia VRS CAFR 2015.pdf Pg.No 46</t>
  </si>
  <si>
    <t>Virginia VRS CAFR 2016.pdf Pg.No 166</t>
  </si>
  <si>
    <t>Virginia VRS CAFR 2016.pdf Pg.No 202</t>
  </si>
  <si>
    <t>Virginia VRS CAFR 2016.pdf Pg.No 69</t>
  </si>
  <si>
    <t>Virginia VRS CAFR 2016.pdf Pg.No 118</t>
  </si>
  <si>
    <t>Virginia VRS CAFR 2016.pdf Pg.No 161</t>
  </si>
  <si>
    <t>Virginia VRS CAFR 2016.pdf Pg.No 46</t>
  </si>
  <si>
    <t>Virginia VRS CAFR 2017.pdf Pg.No 166</t>
  </si>
  <si>
    <t>Virginia VRS CAFR 2017.pdf Pg.No 204</t>
  </si>
  <si>
    <t>Virginia VRS CAFR 2017.pdf Pg.No 69</t>
  </si>
  <si>
    <t>Virginia VRS CAFR 2017.pdf Pg.No 116</t>
  </si>
  <si>
    <t>Virginia VRS CAFR 2017.pdf Pg.No 160</t>
  </si>
  <si>
    <t>Virginia VRS CAFR 2017.pdf Pg.No 46</t>
  </si>
  <si>
    <t>Virginia VRS CAFR 2018.pdf Pg.No 174</t>
  </si>
  <si>
    <t>Virginia VRS CAFR 2018.pdf Pg.No 217</t>
  </si>
  <si>
    <t>Virginia VRS CAFR 2018.pdf Pg.No 73</t>
  </si>
  <si>
    <t>Virginia VRS CAFR 2018.pdf Pg.No 121</t>
  </si>
  <si>
    <t>Virginia VRS CAFR 2018.pdf Pg.No 169</t>
  </si>
  <si>
    <t>Virginia VRS CAFR 2018.pdf Pg.No 46</t>
  </si>
  <si>
    <t>Virginia VRS CAFR 2019.pdf Pg.No 185</t>
  </si>
  <si>
    <t>Virginia VRS CAFR 2019.pdf Pg.No 228</t>
  </si>
  <si>
    <t>Virginia VRS CAFR 2019.pdf Pg.No 75</t>
  </si>
  <si>
    <t>Virginia VRS CAFR 2019.pdf Pg.No 127</t>
  </si>
  <si>
    <t>Virginia VRS CAFR 2019.pdf Pg.No 180</t>
  </si>
  <si>
    <t>Virginia VRS CAFR 2019.pdf Pg.No 48</t>
  </si>
  <si>
    <t>Virginia VRS CAFR 2020.pdf Pg.No 187</t>
  </si>
  <si>
    <t>Virginia VRS CAFR 2020.pdf Pg.No 227</t>
  </si>
  <si>
    <t>Virginia VRS CAFR 2020.pdf Pg.No 78</t>
  </si>
  <si>
    <t>Virginia VRS CAFR 2020.pdf Pg.No 128</t>
  </si>
  <si>
    <t>Virginia VRS CAFR 2020.pdf Pg.No 182</t>
  </si>
  <si>
    <t>Virginia VRS CAFR 2020.pdf Pg.No 49</t>
  </si>
  <si>
    <t>Virginia VRS CAFR 2021.pdf Pg.No 189</t>
  </si>
  <si>
    <t>Virginia VRS CAFR 2021.pdf Pg.No 88</t>
  </si>
  <si>
    <t>Virginia VRS CAFR 2021.pdf Pg.No 184</t>
  </si>
  <si>
    <t>Virginia VRS CAFR 2021.pdf Pg.No 51</t>
  </si>
  <si>
    <t>TAB</t>
  </si>
  <si>
    <t>HEADING</t>
  </si>
  <si>
    <t>YEARS</t>
  </si>
  <si>
    <t>COMMENT</t>
  </si>
  <si>
    <t>GASB 68</t>
  </si>
  <si>
    <t>2015-2021</t>
  </si>
  <si>
    <t>Relevant data have been taken from the prior years' documents</t>
  </si>
  <si>
    <t>Includes figures for members active elsewhere in VRS as well</t>
  </si>
  <si>
    <t>2014-2021</t>
  </si>
  <si>
    <t>The investment rate of return has been considered</t>
  </si>
  <si>
    <t>2014-2015, 2021</t>
  </si>
  <si>
    <t>Relevant data have been taken from the Statement of Changes in NPL</t>
  </si>
  <si>
    <t>Actuarial Valuation</t>
  </si>
  <si>
    <t xml:space="preserve">Applicable to the State Employees and the Teachers plans' </t>
  </si>
  <si>
    <t>2001-2011</t>
  </si>
  <si>
    <t xml:space="preserve">Includes only State Employees and Teachers </t>
  </si>
  <si>
    <t>Includes administrative expenses</t>
  </si>
  <si>
    <t>All Normal Cost and Amortization Rates</t>
  </si>
  <si>
    <t>2001-2021</t>
  </si>
  <si>
    <t>Rates included for (i) State Employees; (ii) Teachers</t>
  </si>
  <si>
    <t xml:space="preserve">Amortization payment in percentage </t>
  </si>
  <si>
    <t>Rates calculated as the difference between the Total Employer Contribution Rate and Employer Normal Cost Rate</t>
  </si>
  <si>
    <t xml:space="preserve">Amortization payment </t>
  </si>
  <si>
    <t>2011-2021</t>
  </si>
  <si>
    <t xml:space="preserve">Includes amortization of UAAL and amortization of deferred contributions </t>
  </si>
  <si>
    <t>The defined contribution hybrid plan rates have not been considered</t>
  </si>
  <si>
    <t xml:space="preserve">Includes member contributions and member contributions paid by employer </t>
  </si>
  <si>
    <t>2001-2010</t>
  </si>
  <si>
    <t>Includes figures for only State Employees and Teachers (Political Subdivisions available only post 2010)</t>
  </si>
  <si>
    <t>Normal cost prior year</t>
  </si>
  <si>
    <t>2001-2013</t>
  </si>
  <si>
    <t>Includes figures for only State Employees and Teachers (Political Subdivisions available only post 2014)</t>
  </si>
  <si>
    <t>Actuarial Experience</t>
  </si>
  <si>
    <t>Interest on Debt</t>
  </si>
  <si>
    <t xml:space="preserve">Gain/Loss Figures </t>
  </si>
  <si>
    <t>2010-2021</t>
  </si>
  <si>
    <t>Data Experience has been considered here.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</si>
  <si>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</si>
  <si>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</si>
  <si>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</si>
  <si>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</si>
  <si>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</si>
  <si>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</si>
  <si>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</si>
  <si>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</si>
  <si>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</si>
  <si>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</si>
  <si>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</si>
  <si>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</si>
  <si>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</si>
  <si>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</si>
  <si>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</si>
  <si>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</si>
  <si>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</si>
  <si>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</si>
  <si>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</si>
  <si>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</si>
  <si>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</si>
  <si>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</si>
  <si>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</si>
  <si>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</si>
  <si>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</si>
  <si>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</si>
  <si>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</si>
  <si>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</si>
  <si>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</si>
  <si>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</si>
  <si>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</si>
  <si>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</si>
  <si>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</si>
  <si>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</si>
  <si>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</si>
  <si>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</si>
  <si>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</si>
  <si>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</si>
  <si>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</si>
  <si>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</si>
  <si>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</si>
  <si>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</si>
  <si>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</si>
  <si>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</si>
  <si>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</si>
  <si>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</si>
  <si>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</si>
  <si>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</si>
  <si>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</si>
  <si>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</si>
  <si>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</si>
  <si>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</si>
  <si>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</si>
  <si>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</si>
  <si>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</si>
  <si>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</si>
  <si>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</si>
  <si>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</si>
  <si>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</si>
  <si>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</si>
  <si>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</si>
  <si>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</si>
  <si>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</si>
  <si>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</si>
  <si>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</si>
  <si>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</si>
  <si>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</si>
  <si>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</si>
  <si>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</si>
  <si>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</si>
  <si>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</si>
  <si>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</si>
  <si>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</si>
  <si>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</si>
  <si>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</si>
  <si>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</si>
  <si>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</si>
  <si>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</si>
  <si>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</si>
  <si>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</si>
  <si>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</si>
  <si>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</si>
  <si>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</si>
  <si>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</si>
  <si>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</si>
  <si>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</si>
  <si>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</si>
  <si>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</si>
  <si>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</si>
  <si>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</si>
  <si>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</si>
  <si>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</si>
  <si>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</si>
  <si>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</si>
  <si>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</si>
  <si>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</si>
  <si>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</si>
  <si>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</si>
  <si>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</si>
  <si>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</si>
  <si>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</si>
  <si>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</si>
  <si>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</si>
  <si>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</si>
  <si>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</si>
  <si>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</si>
  <si>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</si>
  <si>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</si>
  <si>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</si>
  <si>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</si>
  <si>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</si>
  <si>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</si>
  <si>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</si>
  <si>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</si>
  <si>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</si>
  <si>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</si>
  <si>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</si>
  <si>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</si>
  <si>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</si>
  <si>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</si>
  <si>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</si>
  <si>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</si>
  <si>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</si>
  <si>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</si>
  <si>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</si>
  <si>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</si>
  <si>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</si>
  <si>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</si>
  <si>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</si>
  <si>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</si>
  <si>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</si>
  <si>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</si>
  <si>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</si>
  <si>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</si>
  <si>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</si>
  <si>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</si>
  <si>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</si>
  <si>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</si>
  <si>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</si>
  <si>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</si>
  <si>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</si>
  <si>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</si>
  <si>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</si>
  <si>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</si>
  <si>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</si>
  <si>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</si>
  <si>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</si>
  <si>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</si>
  <si>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</si>
  <si>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</si>
  <si>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</si>
  <si>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</si>
  <si>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</si>
  <si>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</si>
  <si>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</si>
  <si>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</si>
  <si>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</si>
  <si>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</si>
  <si>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</si>
  <si>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</si>
  <si>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</si>
  <si>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</si>
  <si>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</si>
  <si>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</si>
  <si>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</si>
  <si>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</si>
  <si>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</si>
  <si>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</si>
  <si>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</si>
  <si>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</si>
  <si>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</si>
  <si>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</si>
  <si>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</si>
  <si>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</si>
  <si>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CAFR</t>
  </si>
  <si>
    <t>Virginia VRS Valuation 2021.pdf Pg.No 58, 59</t>
  </si>
  <si>
    <t>Virginia VRS CAFR 2021.pdf Pg.no 80</t>
  </si>
  <si>
    <t>Virginia VRS CAFR 2021.pdf Pg.no 79</t>
  </si>
  <si>
    <t>Virginia VRS CAFR 2021.pdf Pg.no 71</t>
  </si>
  <si>
    <t>Virginia VRS CAFR 2021.pdf Pg.no 130</t>
  </si>
  <si>
    <t>Virginia VRS CAFR 2021.pdf Pg.no 118 ,120 ,122</t>
  </si>
  <si>
    <t>Virginia VRS CAFR 2021.pdf Pg.no 81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</si>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</sst>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_);_(* \(#,##0\);_(* &quot;-&quot;??_);_(@_)"/>
    <numFmt numFmtId="165" formatCode="_(* #,##0.00_);_(* \(#,##0.00\);_(* &quot;-&quot;??_);_(@_)"/>
    <numFmt numFmtId="166" formatCode="_ * #,##0_ ;_ * \-#,##0_ ;_ * &quot;-&quot;??_ ;_ @_ "/>
  </numFmts>
  <fonts count="17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Arial"/>
      <family val="2"/>
      <scheme val="major"/>
    </font>
    <font>
      <sz val="11"/>
      <name val="Calibri"/>
      <family val="2"/>
    </font>
    <font>
      <sz val="11"/>
      <name val="Arial"/>
      <family val="2"/>
      <scheme val="minor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43" fontId="6" fillId="0" borderId="0" applyFont="0" applyFill="0" applyBorder="0" applyAlignment="0" applyProtection="0"/>
    <xf numFmtId="0" fontId="5" fillId="0" borderId="1"/>
    <xf numFmtId="0" fontId="5" fillId="0" borderId="1"/>
    <xf numFmtId="9" fontId="5" fillId="0" borderId="1" applyFont="0" applyFill="0" applyBorder="0" applyAlignment="0" applyProtection="0"/>
    <xf numFmtId="43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1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</cellStyleXfs>
  <cellXfs count="75">
    <xf numFmtId="0" fontId="0" fillId="0" borderId="0" xfId="0" applyFont="1" applyAlignment="1"/>
    <xf numFmtId="9" fontId="2" fillId="0" borderId="0" xfId="0" applyNumberFormat="1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10" fontId="3" fillId="0" borderId="0" xfId="0" applyNumberFormat="1" applyFont="1"/>
    <xf numFmtId="2" fontId="3" fillId="0" borderId="0" xfId="0" applyNumberFormat="1" applyFont="1"/>
    <xf numFmtId="164" fontId="3" fillId="0" borderId="0" xfId="0" applyNumberFormat="1" applyFont="1"/>
    <xf numFmtId="10" fontId="4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4" fontId="3" fillId="2" borderId="1" xfId="0" applyNumberFormat="1" applyFont="1" applyFill="1" applyBorder="1"/>
    <xf numFmtId="10" fontId="3" fillId="2" borderId="1" xfId="0" applyNumberFormat="1" applyFont="1" applyFill="1" applyBorder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2" fillId="3" borderId="1" xfId="0" applyFont="1" applyFill="1" applyBorder="1" applyAlignment="1">
      <alignment wrapText="1"/>
    </xf>
    <xf numFmtId="0" fontId="3" fillId="0" borderId="0" xfId="0" applyFont="1" applyAlignment="1">
      <alignment horizontal="left"/>
    </xf>
    <xf numFmtId="0" fontId="3" fillId="0" borderId="1" xfId="0" applyFont="1" applyFill="1" applyBorder="1"/>
    <xf numFmtId="164" fontId="3" fillId="0" borderId="1" xfId="0" applyNumberFormat="1" applyFont="1" applyFill="1" applyBorder="1"/>
    <xf numFmtId="0" fontId="3" fillId="0" borderId="0" xfId="0" applyFont="1" applyFill="1" applyAlignment="1"/>
    <xf numFmtId="0" fontId="3" fillId="0" borderId="0" xfId="0" applyFont="1" applyFill="1"/>
    <xf numFmtId="0" fontId="2" fillId="0" borderId="0" xfId="0" applyFont="1" applyAlignment="1">
      <alignment horizontal="center" vertical="center" wrapText="1"/>
    </xf>
    <xf numFmtId="10" fontId="3" fillId="0" borderId="1" xfId="0" applyNumberFormat="1" applyFont="1" applyFill="1" applyBorder="1"/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Alignment="1"/>
    <xf numFmtId="0" fontId="7" fillId="0" borderId="0" xfId="0" applyFont="1"/>
    <xf numFmtId="15" fontId="3" fillId="0" borderId="0" xfId="0" applyNumberFormat="1" applyFont="1"/>
    <xf numFmtId="10" fontId="3" fillId="0" borderId="0" xfId="0" applyNumberFormat="1" applyFont="1" applyAlignment="1">
      <alignment horizontal="left"/>
    </xf>
    <xf numFmtId="0" fontId="8" fillId="0" borderId="0" xfId="0" applyFont="1"/>
    <xf numFmtId="165" fontId="3" fillId="0" borderId="0" xfId="0" applyNumberFormat="1" applyFont="1"/>
    <xf numFmtId="165" fontId="3" fillId="0" borderId="1" xfId="0" applyNumberFormat="1" applyFont="1" applyFill="1" applyBorder="1"/>
    <xf numFmtId="0" fontId="2" fillId="0" borderId="0" xfId="0" applyFont="1"/>
    <xf numFmtId="166" fontId="3" fillId="0" borderId="0" xfId="1" applyNumberFormat="1" applyFont="1"/>
    <xf numFmtId="164" fontId="3" fillId="0" borderId="0" xfId="1" applyNumberFormat="1" applyFont="1"/>
    <xf numFmtId="166" fontId="3" fillId="0" borderId="0" xfId="1" applyNumberFormat="1" applyFont="1" applyFill="1" applyAlignment="1">
      <alignment horizontal="right"/>
    </xf>
    <xf numFmtId="166" fontId="3" fillId="0" borderId="1" xfId="1" applyNumberFormat="1" applyFont="1" applyFill="1" applyBorder="1"/>
    <xf numFmtId="164" fontId="3" fillId="0" borderId="1" xfId="1" applyNumberFormat="1" applyFont="1" applyFill="1" applyBorder="1"/>
    <xf numFmtId="0" fontId="2" fillId="0" borderId="1" xfId="2" applyFont="1" applyAlignment="1">
      <alignment horizontal="center" vertical="center" wrapText="1"/>
    </xf>
    <xf numFmtId="0" fontId="9" fillId="0" borderId="1" xfId="2" applyFont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10" fillId="4" borderId="1" xfId="3" applyFont="1" applyFill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9" fillId="0" borderId="1" xfId="2" applyFont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2" fillId="4" borderId="1" xfId="2" applyNumberFormat="1" applyFont="1" applyFill="1" applyAlignment="1">
      <alignment horizontal="center" vertical="center"/>
    </xf>
    <xf numFmtId="9" fontId="12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/>
    </xf>
    <xf numFmtId="0" fontId="10" fillId="4" borderId="1" xfId="2" applyFont="1" applyFill="1" applyAlignment="1">
      <alignment horizontal="center"/>
    </xf>
    <xf numFmtId="0" fontId="13" fillId="0" borderId="1" xfId="3" applyFont="1"/>
    <xf numFmtId="0" fontId="14" fillId="0" borderId="1" xfId="2" applyFont="1"/>
    <xf numFmtId="10" fontId="3" fillId="5" borderId="1" xfId="2" applyNumberFormat="1" applyFont="1" applyFill="1"/>
    <xf numFmtId="10" fontId="3" fillId="4" borderId="1" xfId="2" applyNumberFormat="1" applyFont="1" applyFill="1"/>
    <xf numFmtId="10" fontId="1" fillId="0" borderId="1" xfId="2" applyNumberFormat="1" applyFont="1"/>
    <xf numFmtId="10" fontId="14" fillId="0" borderId="1" xfId="2" applyNumberFormat="1" applyFont="1"/>
    <xf numFmtId="10" fontId="14" fillId="0" borderId="1" xfId="2" applyNumberFormat="1" applyFont="1" applyFill="1"/>
    <xf numFmtId="10" fontId="14" fillId="4" borderId="1" xfId="2" applyNumberFormat="1" applyFont="1" applyFill="1"/>
    <xf numFmtId="10" fontId="15" fillId="0" borderId="1" xfId="2" applyNumberFormat="1" applyFont="1"/>
    <xf numFmtId="0" fontId="16" fillId="0" borderId="1" xfId="2" applyFont="1"/>
    <xf numFmtId="0" fontId="3" fillId="0" borderId="1" xfId="2" applyFont="1"/>
    <xf numFmtId="0" fontId="4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0" fillId="6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/>
    <xf numFmtId="0" fontId="3" fillId="0" borderId="0" xfId="0" applyFont="1" applyAlignment="1">
      <alignment horizontal="left" vertical="center"/>
    </xf>
  </cellXfs>
  <cellStyles count="19">
    <cellStyle name="Comma" xfId="1" builtinId="3"/>
    <cellStyle name="Comma 2" xfId="5"/>
    <cellStyle name="Normal" xfId="0" builtinId="0"/>
    <cellStyle name="Normal 10" xfId="6"/>
    <cellStyle name="Normal 11" xfId="7"/>
    <cellStyle name="Normal 12" xfId="8"/>
    <cellStyle name="Normal 13" xfId="9"/>
    <cellStyle name="Normal 14" xfId="3"/>
    <cellStyle name="Normal 15" xfId="10"/>
    <cellStyle name="Normal 2" xfId="11"/>
    <cellStyle name="Normal 3" xfId="12"/>
    <cellStyle name="Normal 4" xfId="13"/>
    <cellStyle name="Normal 4 2" xfId="2"/>
    <cellStyle name="Normal 5" xfId="14"/>
    <cellStyle name="Normal 6" xfId="15"/>
    <cellStyle name="Normal 7" xfId="16"/>
    <cellStyle name="Normal 8" xfId="17"/>
    <cellStyle name="Normal 9" xfId="18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0"/>
  <sheetViews>
    <sheetView tabSelected="1" zoomScale="80" zoomScaleNormal="80" workbookViewId="0"/>
  </sheetViews>
  <sheetFormatPr defaultColWidth="12.625" defaultRowHeight="15" x14ac:dyDescent="0.25"/>
  <cols>
    <col min="1" max="1" width="24.625" style="24" bestFit="1" customWidth="1"/>
    <col min="2" max="2" width="5.5" style="24" bestFit="1" customWidth="1"/>
    <col min="3" max="5" width="32.75" style="24" bestFit="1" customWidth="1"/>
    <col min="6" max="6" width="37" style="24" bestFit="1" customWidth="1"/>
    <col min="7" max="10" width="32.75" style="24" bestFit="1" customWidth="1"/>
    <col min="11" max="11" width="33.75" style="24" bestFit="1" customWidth="1"/>
    <col min="12" max="12" width="32" style="24" bestFit="1" customWidth="1"/>
    <col min="13" max="13" width="34.25" style="24" bestFit="1" customWidth="1"/>
    <col min="14" max="14" width="55.875" style="24" bestFit="1" customWidth="1"/>
    <col min="15" max="16" width="33.75" style="24" bestFit="1" customWidth="1"/>
    <col min="17" max="19" width="38" style="24" bestFit="1" customWidth="1"/>
    <col min="20" max="20" width="52.625" style="24" bestFit="1" customWidth="1"/>
    <col min="21" max="21" width="38" style="24" bestFit="1" customWidth="1"/>
    <col min="22" max="24" width="32.75" style="24" bestFit="1" customWidth="1"/>
    <col min="25" max="25" width="49" style="24" bestFit="1" customWidth="1"/>
    <col min="26" max="26" width="19.25" style="24" bestFit="1" customWidth="1"/>
    <col min="27" max="27" width="49" style="24" bestFit="1" customWidth="1"/>
    <col min="28" max="29" width="38" style="24" bestFit="1" customWidth="1"/>
    <col min="30" max="30" width="26.25" style="24" bestFit="1" customWidth="1"/>
    <col min="31" max="33" width="40.25" style="24" bestFit="1" customWidth="1"/>
    <col min="34" max="34" width="47.125" style="24" bestFit="1" customWidth="1"/>
    <col min="35" max="35" width="48" style="24" bestFit="1" customWidth="1"/>
    <col min="36" max="36" width="44.5" style="24" bestFit="1" customWidth="1"/>
    <col min="37" max="37" width="34.25" style="24" bestFit="1" customWidth="1"/>
    <col min="38" max="38" width="47.375" style="24" bestFit="1" customWidth="1"/>
    <col min="39" max="39" width="40.25" style="24" bestFit="1" customWidth="1"/>
    <col min="40" max="40" width="49.375" style="24" bestFit="1" customWidth="1"/>
    <col min="41" max="41" width="48" style="24" bestFit="1" customWidth="1"/>
    <col min="42" max="43" width="33.75" style="24" bestFit="1" customWidth="1"/>
    <col min="44" max="46" width="49" style="24" bestFit="1" customWidth="1"/>
    <col min="47" max="47" width="38" style="24" bestFit="1" customWidth="1"/>
    <col min="48" max="48" width="41.25" style="24" bestFit="1" customWidth="1"/>
    <col min="49" max="49" width="38" style="24" bestFit="1" customWidth="1"/>
    <col min="50" max="50" width="34.25" style="24" bestFit="1" customWidth="1"/>
    <col min="51" max="54" width="40.25" style="24" bestFit="1" customWidth="1"/>
    <col min="55" max="55" width="43.375" style="24" bestFit="1" customWidth="1"/>
    <col min="56" max="57" width="40.25" style="24" bestFit="1" customWidth="1"/>
    <col min="58" max="58" width="42.5" style="24" bestFit="1" customWidth="1"/>
    <col min="59" max="59" width="52.125" style="24" bestFit="1" customWidth="1"/>
    <col min="60" max="64" width="40.25" style="24" bestFit="1" customWidth="1"/>
    <col min="65" max="65" width="18" style="24" bestFit="1" customWidth="1"/>
    <col min="66" max="67" width="40.25" style="24" bestFit="1" customWidth="1"/>
    <col min="68" max="16384" width="12.625" style="24"/>
  </cols>
  <sheetData>
    <row r="1" spans="1:67" ht="45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33</v>
      </c>
      <c r="AK1" s="21" t="s">
        <v>34</v>
      </c>
      <c r="AL1" s="21" t="s">
        <v>35</v>
      </c>
      <c r="AM1" s="21" t="s">
        <v>36</v>
      </c>
      <c r="AN1" s="21" t="s">
        <v>37</v>
      </c>
      <c r="AO1" s="21" t="s">
        <v>38</v>
      </c>
      <c r="AP1" s="21" t="s">
        <v>39</v>
      </c>
      <c r="AQ1" s="21" t="s">
        <v>40</v>
      </c>
      <c r="AR1" s="21" t="s">
        <v>41</v>
      </c>
      <c r="AS1" s="21" t="s">
        <v>42</v>
      </c>
      <c r="AT1" s="21" t="s">
        <v>43</v>
      </c>
      <c r="AU1" s="21" t="s">
        <v>44</v>
      </c>
      <c r="AV1" s="21" t="s">
        <v>45</v>
      </c>
      <c r="AW1" s="21" t="s">
        <v>46</v>
      </c>
      <c r="AX1" s="21" t="s">
        <v>47</v>
      </c>
      <c r="AY1" s="21" t="s">
        <v>48</v>
      </c>
      <c r="AZ1" s="21" t="s">
        <v>49</v>
      </c>
      <c r="BA1" s="21" t="s">
        <v>50</v>
      </c>
      <c r="BB1" s="21" t="s">
        <v>51</v>
      </c>
      <c r="BC1" s="21" t="s">
        <v>52</v>
      </c>
      <c r="BD1" s="21" t="s">
        <v>53</v>
      </c>
      <c r="BE1" s="21" t="s">
        <v>54</v>
      </c>
      <c r="BF1" s="21" t="s">
        <v>55</v>
      </c>
      <c r="BG1" s="21" t="s">
        <v>56</v>
      </c>
      <c r="BH1" s="21" t="s">
        <v>57</v>
      </c>
      <c r="BI1" s="21" t="s">
        <v>58</v>
      </c>
      <c r="BJ1" s="21" t="s">
        <v>59</v>
      </c>
      <c r="BK1" s="21" t="s">
        <v>60</v>
      </c>
      <c r="BL1" s="21" t="s">
        <v>61</v>
      </c>
      <c r="BM1" s="21" t="s">
        <v>62</v>
      </c>
      <c r="BN1" s="21" t="s">
        <v>48</v>
      </c>
      <c r="BO1" s="21" t="s">
        <v>63</v>
      </c>
    </row>
    <row r="2" spans="1:67" x14ac:dyDescent="0.25">
      <c r="A2" s="3" t="s">
        <v>64</v>
      </c>
      <c r="B2" s="3" t="s">
        <v>65</v>
      </c>
      <c r="C2" s="3" t="s">
        <v>66</v>
      </c>
      <c r="D2" s="3" t="s">
        <v>67</v>
      </c>
      <c r="E2" s="3" t="s">
        <v>68</v>
      </c>
      <c r="F2" s="3" t="s">
        <v>69</v>
      </c>
      <c r="G2" s="3" t="s">
        <v>70</v>
      </c>
      <c r="H2" s="3" t="s">
        <v>71</v>
      </c>
      <c r="I2" s="3" t="s">
        <v>72</v>
      </c>
      <c r="J2" s="3" t="s">
        <v>73</v>
      </c>
      <c r="K2" s="3" t="s">
        <v>74</v>
      </c>
      <c r="L2" s="3" t="s">
        <v>75</v>
      </c>
      <c r="M2" s="3" t="s">
        <v>76</v>
      </c>
      <c r="N2" s="3" t="s">
        <v>77</v>
      </c>
      <c r="O2" s="3" t="s">
        <v>78</v>
      </c>
      <c r="P2" s="3" t="s">
        <v>79</v>
      </c>
      <c r="Q2" s="3" t="s">
        <v>80</v>
      </c>
      <c r="R2" s="3" t="s">
        <v>81</v>
      </c>
      <c r="S2" s="3" t="s">
        <v>82</v>
      </c>
      <c r="T2" s="3" t="s">
        <v>83</v>
      </c>
      <c r="U2" s="3" t="s">
        <v>84</v>
      </c>
      <c r="V2" s="3" t="s">
        <v>85</v>
      </c>
      <c r="W2" s="3" t="s">
        <v>86</v>
      </c>
      <c r="X2" s="3" t="s">
        <v>87</v>
      </c>
      <c r="Y2" s="3" t="s">
        <v>88</v>
      </c>
      <c r="Z2" s="3" t="s">
        <v>89</v>
      </c>
      <c r="AA2" s="3" t="s">
        <v>90</v>
      </c>
      <c r="AB2" s="3" t="s">
        <v>91</v>
      </c>
      <c r="AC2" s="3" t="s">
        <v>92</v>
      </c>
      <c r="AD2" s="3" t="s">
        <v>88</v>
      </c>
      <c r="AE2" s="3" t="s">
        <v>93</v>
      </c>
      <c r="AF2" s="3" t="s">
        <v>94</v>
      </c>
      <c r="AG2" s="3" t="s">
        <v>95</v>
      </c>
      <c r="AH2" s="3" t="s">
        <v>96</v>
      </c>
      <c r="AI2" s="3" t="s">
        <v>97</v>
      </c>
      <c r="AJ2" s="3" t="s">
        <v>98</v>
      </c>
      <c r="AK2" s="3" t="s">
        <v>99</v>
      </c>
      <c r="AL2" s="3" t="s">
        <v>100</v>
      </c>
      <c r="AM2" s="3" t="s">
        <v>101</v>
      </c>
      <c r="AN2" s="3" t="s">
        <v>102</v>
      </c>
      <c r="AO2" s="3" t="s">
        <v>103</v>
      </c>
      <c r="AP2" s="3" t="s">
        <v>104</v>
      </c>
      <c r="AQ2" s="3" t="s">
        <v>105</v>
      </c>
      <c r="AR2" s="3" t="s">
        <v>106</v>
      </c>
      <c r="AS2" s="3" t="s">
        <v>107</v>
      </c>
      <c r="AT2" s="3" t="s">
        <v>108</v>
      </c>
      <c r="AU2" s="3" t="s">
        <v>109</v>
      </c>
      <c r="AV2" s="3" t="s">
        <v>110</v>
      </c>
      <c r="AW2" s="3" t="s">
        <v>111</v>
      </c>
      <c r="AX2" s="3" t="s">
        <v>112</v>
      </c>
      <c r="AY2" s="3" t="s">
        <v>113</v>
      </c>
      <c r="AZ2" s="3" t="s">
        <v>114</v>
      </c>
      <c r="BA2" s="3" t="s">
        <v>115</v>
      </c>
      <c r="BB2" s="3" t="s">
        <v>116</v>
      </c>
      <c r="BC2" s="3" t="s">
        <v>117</v>
      </c>
      <c r="BD2" s="3" t="s">
        <v>118</v>
      </c>
      <c r="BE2" s="3" t="s">
        <v>119</v>
      </c>
      <c r="BF2" s="3" t="s">
        <v>120</v>
      </c>
      <c r="BG2" s="3" t="s">
        <v>121</v>
      </c>
      <c r="BH2" s="3" t="s">
        <v>122</v>
      </c>
      <c r="BI2" s="3" t="s">
        <v>123</v>
      </c>
      <c r="BJ2" s="3" t="s">
        <v>124</v>
      </c>
      <c r="BK2" s="3" t="s">
        <v>125</v>
      </c>
      <c r="BL2" s="3" t="s">
        <v>126</v>
      </c>
      <c r="BM2" s="3" t="s">
        <v>127</v>
      </c>
      <c r="BN2" s="3" t="s">
        <v>113</v>
      </c>
      <c r="BO2" s="3" t="s">
        <v>128</v>
      </c>
    </row>
    <row r="3" spans="1:67" x14ac:dyDescent="0.25">
      <c r="A3" s="25" t="s">
        <v>129</v>
      </c>
      <c r="B3" s="4">
        <v>2014</v>
      </c>
      <c r="C3" s="26">
        <v>41455</v>
      </c>
      <c r="D3" s="26"/>
      <c r="E3" s="26">
        <v>41820</v>
      </c>
      <c r="F3" s="7">
        <f>55658+77699+52793</f>
        <v>186150</v>
      </c>
      <c r="G3" s="32">
        <f>11289+19148+14418</f>
        <v>44855</v>
      </c>
      <c r="H3" s="7">
        <f>22718+30249+32628</f>
        <v>85595</v>
      </c>
      <c r="I3" s="7">
        <f>77959+9121+147257+5391+105141+27579</f>
        <v>372448</v>
      </c>
      <c r="J3" s="32">
        <f>176745+279744+232559</f>
        <v>689048</v>
      </c>
      <c r="K3" s="5">
        <v>7.0000000000000007E-2</v>
      </c>
      <c r="L3" s="5"/>
      <c r="M3" s="5"/>
      <c r="N3" s="4"/>
      <c r="O3" s="5"/>
      <c r="P3" s="5">
        <v>7.0000000000000007E-2</v>
      </c>
      <c r="Q3" s="7">
        <f>(21766933+41495883+19135008)*1000</f>
        <v>82397824000</v>
      </c>
      <c r="R3" s="7">
        <f>(16168535+29411183+16627539)*1000</f>
        <v>62207257000</v>
      </c>
      <c r="S3" s="7">
        <f>(5598398+12084700+2507469)*1000</f>
        <v>20190567000</v>
      </c>
      <c r="T3" s="27" t="s">
        <v>130</v>
      </c>
      <c r="U3" s="7">
        <f>(3861712+7313025+4434764)*1000</f>
        <v>15609501000</v>
      </c>
      <c r="V3" s="7"/>
      <c r="W3" s="7"/>
      <c r="X3" s="7"/>
      <c r="Y3" s="12">
        <f t="shared" ref="Y3:Y10" si="0">AA3/U3</f>
        <v>0.14625336197486391</v>
      </c>
      <c r="Z3" s="12">
        <f t="shared" ref="Z3:Z10" si="1">AB3/U3</f>
        <v>0.11083736757504292</v>
      </c>
      <c r="AA3" s="7">
        <f>(504726+1226394+551822)*1000</f>
        <v>2282942000</v>
      </c>
      <c r="AB3" s="7">
        <f>(338286+852699+539131)*1000</f>
        <v>1730116000</v>
      </c>
      <c r="AC3" s="11">
        <f t="shared" ref="AC3:AC10" si="2">AA3-AB3</f>
        <v>552826000</v>
      </c>
      <c r="AD3" s="12">
        <f t="shared" ref="AD3:AD10" si="3">AB3/AA3</f>
        <v>0.75784492115875046</v>
      </c>
      <c r="AE3" s="7">
        <f>(369120+831501+524758)*1000</f>
        <v>1725379000</v>
      </c>
      <c r="AF3" s="7">
        <f>(1436064+2722787+1243386)*1000</f>
        <v>5402237000</v>
      </c>
      <c r="AG3" s="7">
        <v>0</v>
      </c>
      <c r="AH3" s="28"/>
      <c r="AI3" s="28"/>
      <c r="AJ3" s="7">
        <f>-(198035+371241+225555)*1000</f>
        <v>-794831000</v>
      </c>
      <c r="AK3" s="28"/>
      <c r="AL3" s="7"/>
      <c r="AM3" s="7">
        <f>-(-12341-22036-12153)*1000</f>
        <v>46530000</v>
      </c>
      <c r="AN3" s="7"/>
      <c r="AO3" s="7"/>
      <c r="AP3" s="28"/>
      <c r="AQ3" s="7"/>
      <c r="AR3" s="5">
        <v>0.06</v>
      </c>
      <c r="AS3" s="5">
        <v>7.0000000000000007E-2</v>
      </c>
      <c r="AT3" s="5">
        <v>0.08</v>
      </c>
      <c r="AU3" s="7">
        <f>(8201094+17745186+5052686)*1000</f>
        <v>30998966000</v>
      </c>
      <c r="AV3" s="7">
        <f>(5598398+12084700+2507469)*1000</f>
        <v>20190567000</v>
      </c>
      <c r="AW3" s="7">
        <f>(3415966+7424273+394561)*1000</f>
        <v>11234800000</v>
      </c>
      <c r="AX3" s="29"/>
      <c r="AY3" s="7">
        <f>(21068651+39852334+18158446)*1000</f>
        <v>79079431000</v>
      </c>
      <c r="AZ3" s="7">
        <f>(369120+831501+524758)*1000</f>
        <v>1725379000</v>
      </c>
      <c r="BA3" s="7">
        <f>(1436064+2722787+1243386)*1000</f>
        <v>5402237000</v>
      </c>
      <c r="BB3" s="7">
        <v>0</v>
      </c>
      <c r="BC3" s="7">
        <v>0</v>
      </c>
      <c r="BD3" s="7">
        <v>0</v>
      </c>
      <c r="BE3" s="7">
        <f>(343259+853634+539366)*1000</f>
        <v>1736259000</v>
      </c>
      <c r="BF3" s="7">
        <f>(198035+371241+225555)*1000</f>
        <v>794831000</v>
      </c>
      <c r="BG3" s="7">
        <f>(2243999+4042441+2272284)*1000</f>
        <v>8558724000</v>
      </c>
      <c r="BH3" s="7">
        <f>(-1081866-1874636-754706)*1000</f>
        <v>-3711208000</v>
      </c>
      <c r="BI3" s="7">
        <f>(-25036-36103-36876)*1000</f>
        <v>-98015000</v>
      </c>
      <c r="BJ3" s="7">
        <f t="shared" ref="BJ3:BJ9" si="4">BH3+BI3</f>
        <v>-3809223000</v>
      </c>
      <c r="BK3" s="7">
        <f>(-12341-22036-12153)*1000</f>
        <v>-46530000</v>
      </c>
      <c r="BL3" s="7">
        <f>(123+217+120)*1000</f>
        <v>460000</v>
      </c>
      <c r="BM3" s="7"/>
      <c r="BN3" s="7">
        <f>(14502362+26076425+14393949)*1000</f>
        <v>54972736000</v>
      </c>
      <c r="BO3" s="7">
        <f>(5598398+12084700+2507469)*1000</f>
        <v>20190567000</v>
      </c>
    </row>
    <row r="4" spans="1:67" x14ac:dyDescent="0.25">
      <c r="A4" s="25" t="s">
        <v>129</v>
      </c>
      <c r="B4" s="4">
        <f t="shared" ref="B4:B7" si="5">B3+1</f>
        <v>2015</v>
      </c>
      <c r="C4" s="26">
        <v>41820</v>
      </c>
      <c r="D4" s="26">
        <v>41820</v>
      </c>
      <c r="E4" s="26">
        <v>42185</v>
      </c>
      <c r="F4" s="7">
        <f>57482+81423+55928</f>
        <v>194833</v>
      </c>
      <c r="G4" s="32">
        <f>11602+20060+14131</f>
        <v>45793</v>
      </c>
      <c r="H4" s="7">
        <f>23782+28958+33799</f>
        <v>86539</v>
      </c>
      <c r="I4" s="7">
        <f>77865+146977+105787+9022+5380+28148</f>
        <v>373179</v>
      </c>
      <c r="J4" s="32">
        <f>179753+282798+237793</f>
        <v>700344</v>
      </c>
      <c r="K4" s="5">
        <v>7.0000000000000007E-2</v>
      </c>
      <c r="L4" s="5"/>
      <c r="M4" s="5"/>
      <c r="N4" s="4"/>
      <c r="O4" s="5">
        <v>7.0000000000000007E-2</v>
      </c>
      <c r="P4" s="5">
        <v>7.0000000000000007E-2</v>
      </c>
      <c r="Q4" s="7">
        <f>(22521130+42930422+19935054)*1000</f>
        <v>85386606000</v>
      </c>
      <c r="R4" s="7">
        <f>(16398575+30344072+17283021)*1000</f>
        <v>64025668000</v>
      </c>
      <c r="S4" s="7">
        <f>(6122555+12586350+2652033)*1000</f>
        <v>21360938000</v>
      </c>
      <c r="T4" s="27" t="s">
        <v>131</v>
      </c>
      <c r="U4" s="7">
        <f>(3878632+7434932+4513335)*1000</f>
        <v>15826899000</v>
      </c>
      <c r="V4" s="7"/>
      <c r="W4" s="7"/>
      <c r="X4" s="7"/>
      <c r="Y4" s="12">
        <f t="shared" si="0"/>
        <v>0.15839116683565113</v>
      </c>
      <c r="Z4" s="12">
        <f t="shared" si="1"/>
        <v>0.13219386817341794</v>
      </c>
      <c r="AA4" s="7">
        <f>(612824+1353158+540859)*1000</f>
        <v>2506841000</v>
      </c>
      <c r="AB4" s="7">
        <f>(478235+1078065+535919)*1000</f>
        <v>2092219000</v>
      </c>
      <c r="AC4" s="11">
        <f t="shared" si="2"/>
        <v>414622000</v>
      </c>
      <c r="AD4" s="12">
        <f t="shared" si="3"/>
        <v>0.83460379018852815</v>
      </c>
      <c r="AE4" s="7">
        <f>(375149+828901+530945)*1000</f>
        <v>1734995000</v>
      </c>
      <c r="AF4" s="7">
        <f>(1482951+2834138+1309484)*1000</f>
        <v>5626573000</v>
      </c>
      <c r="AG4" s="7">
        <v>1135000</v>
      </c>
      <c r="AH4" s="28"/>
      <c r="AI4" s="28"/>
      <c r="AJ4" s="7">
        <f>-(195582+373525+227060)*1000</f>
        <v>-796167000</v>
      </c>
      <c r="AK4" s="28"/>
      <c r="AL4" s="7"/>
      <c r="AM4" s="7">
        <f>-(-10302-18238-10358)*1000</f>
        <v>38898000</v>
      </c>
      <c r="AN4" s="7"/>
      <c r="AO4" s="7"/>
      <c r="AP4" s="28"/>
      <c r="AQ4" s="7"/>
      <c r="AR4" s="5">
        <v>0.06</v>
      </c>
      <c r="AS4" s="5">
        <v>7.0000000000000007E-2</v>
      </c>
      <c r="AT4" s="5">
        <v>0.08</v>
      </c>
      <c r="AU4" s="7">
        <f>(8793831+18418928+5279959)*1000</f>
        <v>32492718000</v>
      </c>
      <c r="AV4" s="7">
        <f>(6122555+12586350+2652033)*1000</f>
        <v>21360938000</v>
      </c>
      <c r="AW4" s="7">
        <f>(3882469+7784902+224093)*1000</f>
        <v>11891464000</v>
      </c>
      <c r="AX4" s="29"/>
      <c r="AY4" s="7">
        <f>(21766933+41495883+19135008)*1000</f>
        <v>82397824000</v>
      </c>
      <c r="AZ4" s="7">
        <f>(375149+828901+530945)*1000</f>
        <v>1734995000</v>
      </c>
      <c r="BA4" s="7">
        <f>(1482951+2834138+1309484)*1000</f>
        <v>5626573000</v>
      </c>
      <c r="BB4" s="7">
        <v>1135000</v>
      </c>
      <c r="BC4" s="7">
        <f>(59923-212089-185419)*1000</f>
        <v>-337585000</v>
      </c>
      <c r="BD4" s="7">
        <v>0</v>
      </c>
      <c r="BE4" s="7">
        <f>(480657+1267250+533877)*1000</f>
        <v>2281784000</v>
      </c>
      <c r="BF4" s="7">
        <f>(195582+373525+227060)*1000</f>
        <v>796167000</v>
      </c>
      <c r="BG4" s="7">
        <f>(728083+1327047+761164)*1000</f>
        <v>2816294000</v>
      </c>
      <c r="BH4" s="7">
        <f>(-1136102-1980353-819201)*1000</f>
        <v>-3935656000</v>
      </c>
      <c r="BI4" s="7">
        <f>(-27724-36058-36898)*1000</f>
        <v>-100680000</v>
      </c>
      <c r="BJ4" s="7">
        <f t="shared" si="4"/>
        <v>-4036336000</v>
      </c>
      <c r="BK4" s="7">
        <f>(-10302-18238-10358)*1000</f>
        <v>-38898000</v>
      </c>
      <c r="BL4" s="7">
        <f>(-154-284-162)*1000</f>
        <v>-600000</v>
      </c>
      <c r="BM4" s="7"/>
      <c r="BN4" s="7">
        <f>(16168535+29411183+16627539)*1000</f>
        <v>62207257000</v>
      </c>
      <c r="BO4" s="7">
        <f>(6122555+12586350+2652033)*1000</f>
        <v>21360938000</v>
      </c>
    </row>
    <row r="5" spans="1:67" x14ac:dyDescent="0.25">
      <c r="A5" s="25" t="s">
        <v>129</v>
      </c>
      <c r="B5" s="4">
        <f t="shared" si="5"/>
        <v>2016</v>
      </c>
      <c r="C5" s="26">
        <v>42185</v>
      </c>
      <c r="D5" s="26">
        <v>42185</v>
      </c>
      <c r="E5" s="26">
        <v>42551</v>
      </c>
      <c r="F5" s="7">
        <f>59392+84977+59601</f>
        <v>203970</v>
      </c>
      <c r="G5" s="32">
        <f>11731+20912+14951</f>
        <v>47594</v>
      </c>
      <c r="H5" s="7">
        <f>24447+29048+29015</f>
        <v>82510</v>
      </c>
      <c r="I5" s="7">
        <f>77541+147645+105932+8894+5345+28953</f>
        <v>374310</v>
      </c>
      <c r="J5" s="32">
        <f>182005+287927+238452</f>
        <v>708384</v>
      </c>
      <c r="K5" s="5">
        <v>7.0000000000000007E-2</v>
      </c>
      <c r="L5" s="5"/>
      <c r="M5" s="5"/>
      <c r="N5" s="4"/>
      <c r="O5" s="5">
        <v>7.0000000000000007E-2</v>
      </c>
      <c r="P5" s="5">
        <v>7.0000000000000007E-2</v>
      </c>
      <c r="Q5" s="7">
        <f>(22958593+44182326+20817088)*1000</f>
        <v>87958007000</v>
      </c>
      <c r="R5" s="7">
        <f>(16367842+30168211+17418106)*1000</f>
        <v>63954159000</v>
      </c>
      <c r="S5" s="7">
        <f>(6590751+14014115+3398982)*1000</f>
        <v>24003848000</v>
      </c>
      <c r="T5" s="27" t="s">
        <v>132</v>
      </c>
      <c r="U5" s="7">
        <f>(3977759+7624612+4628806)*1000</f>
        <v>16231177000</v>
      </c>
      <c r="V5" s="7">
        <f>(525575+1199611+407271)*1000</f>
        <v>2132457000</v>
      </c>
      <c r="W5" s="7">
        <f>(592493+1028316+511842)*1000</f>
        <v>2132651000</v>
      </c>
      <c r="X5" s="7">
        <f>(323593+681904+206814)*1000</f>
        <v>1212311000</v>
      </c>
      <c r="Y5" s="12">
        <f t="shared" si="0"/>
        <v>0.15573744282377058</v>
      </c>
      <c r="Z5" s="12">
        <f t="shared" si="1"/>
        <v>0.13422242884788946</v>
      </c>
      <c r="AA5" s="7">
        <f>(628486+1344981+554335)*1000</f>
        <v>2527802000</v>
      </c>
      <c r="AB5" s="7">
        <f>(557160+1072020+549408)*1000</f>
        <v>2178588000</v>
      </c>
      <c r="AC5" s="11">
        <f t="shared" si="2"/>
        <v>349214000</v>
      </c>
      <c r="AD5" s="12">
        <f t="shared" si="3"/>
        <v>0.86185073039739668</v>
      </c>
      <c r="AE5" s="7">
        <f>(369779+828856+535322)*1000</f>
        <v>1733957000</v>
      </c>
      <c r="AF5" s="7">
        <f>(1533764+2931065+1362869)*1000</f>
        <v>5827698000</v>
      </c>
      <c r="AG5" s="7">
        <v>2053000</v>
      </c>
      <c r="AH5" s="7">
        <f>(-66211-72303-28583)*1000</f>
        <v>-167097000</v>
      </c>
      <c r="AI5" s="7">
        <v>0</v>
      </c>
      <c r="AJ5" s="7">
        <f>(-200184-380314-231934)*1000</f>
        <v>-812432000</v>
      </c>
      <c r="AK5" s="7">
        <f>(-1137124-2099845-1204005)*1000</f>
        <v>-4440974000</v>
      </c>
      <c r="AL5" s="7">
        <f>(171992+316628+180601)*1000</f>
        <v>669221000</v>
      </c>
      <c r="AM5" s="7">
        <f>(10140+18859+10696)*1000</f>
        <v>39695000</v>
      </c>
      <c r="AN5" s="7">
        <f>(93109+143588+87273)*1000</f>
        <v>323970000</v>
      </c>
      <c r="AO5" s="7">
        <f>(-249812-487145-307151)*1000</f>
        <v>-1044108000</v>
      </c>
      <c r="AP5" s="7">
        <f>(122+222+130)*1000</f>
        <v>474000</v>
      </c>
      <c r="AQ5" s="7">
        <f>(525575+1199611+407271)*1000</f>
        <v>2132457000</v>
      </c>
      <c r="AR5" s="5" t="s">
        <v>133</v>
      </c>
      <c r="AS5" s="5" t="s">
        <v>134</v>
      </c>
      <c r="AT5" s="5" t="s">
        <v>135</v>
      </c>
      <c r="AU5" s="7">
        <f>(9275322+19977164+6108168)*1000</f>
        <v>35360654000</v>
      </c>
      <c r="AV5" s="7">
        <f>(6590751+14014115+3398982)*1000</f>
        <v>24003848000</v>
      </c>
      <c r="AW5" s="7">
        <f>(4336889+9102001+1145636)*1000</f>
        <v>14584526000</v>
      </c>
      <c r="AX5" s="29" t="s">
        <v>136</v>
      </c>
      <c r="AY5" s="7">
        <f>(22521130+42930422+19935054)*1000</f>
        <v>85386606000</v>
      </c>
      <c r="AZ5" s="7">
        <f>(369779+828856+535322)*1000</f>
        <v>1733957000</v>
      </c>
      <c r="BA5" s="7">
        <f>(1533764+2931065+1362892)*1000</f>
        <v>5827721000</v>
      </c>
      <c r="BB5" s="7">
        <v>2053000</v>
      </c>
      <c r="BC5" s="7">
        <f>(-245642-391881-87268)*1000</f>
        <v>-724791000</v>
      </c>
      <c r="BD5" s="7">
        <v>0</v>
      </c>
      <c r="BE5" s="7">
        <f>(722617+1062338+543947)*1000</f>
        <v>2328902000</v>
      </c>
      <c r="BF5" s="7">
        <f>(200184+380314+231934)*1000</f>
        <v>812432000</v>
      </c>
      <c r="BG5" s="7">
        <f>(277166+516704+300995)*1000</f>
        <v>1094865000</v>
      </c>
      <c r="BH5" s="7">
        <f>(-1195198-2081069-893585)*1000</f>
        <v>-4169852000</v>
      </c>
      <c r="BI5" s="7">
        <f>(-25240-35067-37380)*1000</f>
        <v>-97687000</v>
      </c>
      <c r="BJ5" s="7">
        <f t="shared" si="4"/>
        <v>-4267539000</v>
      </c>
      <c r="BK5" s="7">
        <f>(-10140-18859-10696)*1000</f>
        <v>-39695000</v>
      </c>
      <c r="BL5" s="7">
        <f>(-122-222-130)*1000</f>
        <v>-474000</v>
      </c>
      <c r="BM5" s="7"/>
      <c r="BN5" s="7">
        <f>(16398575+30344072+17283021)*1000</f>
        <v>64025668000</v>
      </c>
      <c r="BO5" s="7">
        <f>(6590751+14014115+3398982)*1000</f>
        <v>24003848000</v>
      </c>
    </row>
    <row r="6" spans="1:67" x14ac:dyDescent="0.25">
      <c r="A6" s="25" t="s">
        <v>129</v>
      </c>
      <c r="B6" s="4">
        <f t="shared" si="5"/>
        <v>2017</v>
      </c>
      <c r="C6" s="26">
        <v>42551</v>
      </c>
      <c r="D6" s="26">
        <v>42551</v>
      </c>
      <c r="E6" s="26">
        <v>42916</v>
      </c>
      <c r="F6" s="7">
        <f>61404+88563+63155</f>
        <v>213122</v>
      </c>
      <c r="G6" s="32">
        <f>12232+22081+15862</f>
        <v>50175</v>
      </c>
      <c r="H6" s="7">
        <f>26258+31146+31793</f>
        <v>89197</v>
      </c>
      <c r="I6" s="7">
        <f>77235+149019+106271+8967+5375+30237</f>
        <v>377104</v>
      </c>
      <c r="J6" s="32">
        <f>186096+296184+247318</f>
        <v>729598</v>
      </c>
      <c r="K6" s="5">
        <v>7.0000000000000007E-2</v>
      </c>
      <c r="L6" s="5"/>
      <c r="M6" s="5"/>
      <c r="N6" s="4"/>
      <c r="O6" s="5">
        <v>7.0000000000000007E-2</v>
      </c>
      <c r="P6" s="5">
        <v>7.0000000000000007E-2</v>
      </c>
      <c r="Q6" s="7">
        <f>(23617412+45417520+21564004)*1000</f>
        <v>90598936000</v>
      </c>
      <c r="R6" s="7">
        <f>(17789888+33119545+19250247)*1000</f>
        <v>70159680000</v>
      </c>
      <c r="S6" s="7">
        <f>(5827524+12297975+2313757)*1000</f>
        <v>20439256000</v>
      </c>
      <c r="T6" s="27" t="s">
        <v>137</v>
      </c>
      <c r="U6" s="7">
        <f>(4020893+7891783+4765842)*1000</f>
        <v>16678518000</v>
      </c>
      <c r="V6" s="7">
        <f>(397520+906386+242296)*1000</f>
        <v>1546202000</v>
      </c>
      <c r="W6" s="7">
        <f>(207796+435367+71266)*1000</f>
        <v>714429000</v>
      </c>
      <c r="X6" s="7">
        <f>(564219+1573505+616190)*1000</f>
        <v>2753914000</v>
      </c>
      <c r="Y6" s="12">
        <f t="shared" si="0"/>
        <v>0.13894657786741005</v>
      </c>
      <c r="Z6" s="12">
        <f t="shared" si="1"/>
        <v>0.13113005603975125</v>
      </c>
      <c r="AA6" s="7">
        <f>(542418+1287939+487066)*1000</f>
        <v>2317423000</v>
      </c>
      <c r="AB6" s="7">
        <f>(542418+1156935+487702)*1000</f>
        <v>2187055000</v>
      </c>
      <c r="AC6" s="11">
        <f t="shared" si="2"/>
        <v>130368000</v>
      </c>
      <c r="AD6" s="12">
        <f t="shared" si="3"/>
        <v>0.94374440919935632</v>
      </c>
      <c r="AE6" s="7">
        <f>(370235+830475+541594)*1000</f>
        <v>1742304000</v>
      </c>
      <c r="AF6" s="7">
        <f>(1562819+3016207+1422753)*1000</f>
        <v>6001779000</v>
      </c>
      <c r="AG6" s="7">
        <v>36652000</v>
      </c>
      <c r="AH6" s="7">
        <f>(-22745-114981-62313)*1000</f>
        <v>-200039000</v>
      </c>
      <c r="AI6" s="7">
        <f>(20361+39098-18207)*1000</f>
        <v>41252000</v>
      </c>
      <c r="AJ6" s="7">
        <f>(-201391-392730-238636)*1000</f>
        <v>-832757000</v>
      </c>
      <c r="AK6" s="7">
        <f>(-1126787-2087942-1209404)*1000</f>
        <v>-4424133000</v>
      </c>
      <c r="AL6" s="7">
        <f>(-167405-308870-180913)*1000</f>
        <v>-657188000</v>
      </c>
      <c r="AM6" s="7">
        <f>(11612+21123+12221)*1000</f>
        <v>44956000</v>
      </c>
      <c r="AN6" s="7">
        <f>(265101+460216+281832)*1000</f>
        <v>1007149000</v>
      </c>
      <c r="AO6" s="7">
        <f>(-316023-559448-345170)*1000</f>
        <v>-1220641000</v>
      </c>
      <c r="AP6" s="7">
        <f>(1743+3238+1887)*1000</f>
        <v>6868000</v>
      </c>
      <c r="AQ6" s="7">
        <f>(397520+906386+242296)*1000</f>
        <v>1546202000</v>
      </c>
      <c r="AR6" s="5" t="s">
        <v>138</v>
      </c>
      <c r="AS6" s="5" t="s">
        <v>139</v>
      </c>
      <c r="AT6" s="5" t="s">
        <v>140</v>
      </c>
      <c r="AU6" s="7">
        <f>(8608043+18364993+5104178)*1000</f>
        <v>32077214000</v>
      </c>
      <c r="AV6" s="7">
        <f>(5827524+12297975+2313757)*1000</f>
        <v>20439256000</v>
      </c>
      <c r="AW6" s="7">
        <f>(3492489+7279318+-6487)*1000</f>
        <v>10765320000</v>
      </c>
      <c r="AX6" s="29" t="s">
        <v>141</v>
      </c>
      <c r="AY6" s="7">
        <f>(22958593+44182326+20817088)*1000</f>
        <v>87958007000</v>
      </c>
      <c r="AZ6" s="7">
        <f>(370235+830475+541594)*1000</f>
        <v>1742304000</v>
      </c>
      <c r="BA6" s="7">
        <f>(1562819+3016207+1422753)*1000</f>
        <v>6001779000</v>
      </c>
      <c r="BB6" s="7">
        <v>36652000</v>
      </c>
      <c r="BC6" s="7">
        <f>(-85975-642745-205649)*1000</f>
        <v>-934369000</v>
      </c>
      <c r="BD6" s="7">
        <f>(76965+218559-64510)*1000</f>
        <v>231014000</v>
      </c>
      <c r="BE6" s="7">
        <f>(535424+1137976+477563)*1000</f>
        <v>2150963000</v>
      </c>
      <c r="BF6" s="7">
        <f>(201391+392730+238636)*1000</f>
        <v>832757000</v>
      </c>
      <c r="BG6" s="7">
        <f>(1963811+3632291+2113973)*1000</f>
        <v>7710075000</v>
      </c>
      <c r="BH6" s="7">
        <f>(-1234388-2147781-941856)*1000</f>
        <v>-4324025000</v>
      </c>
      <c r="BI6" s="7">
        <f>(-30837-39521-42068)*1000</f>
        <v>-112426000</v>
      </c>
      <c r="BJ6" s="7">
        <f t="shared" si="4"/>
        <v>-4436451000</v>
      </c>
      <c r="BK6" s="7">
        <f>(-11612-21123-12220)*1000</f>
        <v>-44955000</v>
      </c>
      <c r="BL6" s="7">
        <f>(-1743-3238-1887)*1000</f>
        <v>-6868000</v>
      </c>
      <c r="BM6" s="7"/>
      <c r="BN6" s="7">
        <f>(16367842+30168211+17418106)*1000</f>
        <v>63954159000</v>
      </c>
      <c r="BO6" s="7">
        <f>(5827524+12297975+2313757)*1000</f>
        <v>20439256000</v>
      </c>
    </row>
    <row r="7" spans="1:67" x14ac:dyDescent="0.25">
      <c r="A7" s="25" t="s">
        <v>129</v>
      </c>
      <c r="B7" s="4">
        <f t="shared" si="5"/>
        <v>2018</v>
      </c>
      <c r="C7" s="26">
        <v>42916</v>
      </c>
      <c r="D7" s="26">
        <v>42916</v>
      </c>
      <c r="E7" s="26">
        <v>43281</v>
      </c>
      <c r="F7" s="7">
        <f>63180+91737+66663</f>
        <v>221580</v>
      </c>
      <c r="G7" s="32">
        <f>12618+23150+16516</f>
        <v>52284</v>
      </c>
      <c r="H7" s="7">
        <f>25730+31163+31951</f>
        <v>88844</v>
      </c>
      <c r="I7" s="7">
        <f>77005+150416+107320+9089+5452+31279</f>
        <v>380561</v>
      </c>
      <c r="J7" s="32">
        <f>187622+301918+253729</f>
        <v>743269</v>
      </c>
      <c r="K7" s="5">
        <v>7.0000000000000007E-2</v>
      </c>
      <c r="L7" s="5"/>
      <c r="M7" s="5"/>
      <c r="N7" s="4"/>
      <c r="O7" s="5">
        <v>7.0000000000000007E-2</v>
      </c>
      <c r="P7" s="5">
        <v>7.0000000000000007E-2</v>
      </c>
      <c r="Q7" s="7">
        <f>(23945821+46679555+22497735)*1000</f>
        <v>93123111000</v>
      </c>
      <c r="R7" s="7">
        <f>(18532189+34919563+20302821)*1000</f>
        <v>73754573000</v>
      </c>
      <c r="S7" s="7">
        <f>(5413632+11759992+2194914)*1000</f>
        <v>19368538000</v>
      </c>
      <c r="T7" s="27" t="s">
        <v>142</v>
      </c>
      <c r="U7" s="7">
        <f>(4152368+8086986+4932344)*1000</f>
        <v>17171698000</v>
      </c>
      <c r="V7" s="7">
        <f>(210254+731473+155590)*1000</f>
        <v>1097317000</v>
      </c>
      <c r="W7" s="7">
        <f>(161248+399719+89103)*1000</f>
        <v>650070000</v>
      </c>
      <c r="X7" s="7">
        <f>(593659+1514325+418177)*1000</f>
        <v>2526161000</v>
      </c>
      <c r="Y7" s="12">
        <f t="shared" si="0"/>
        <v>0.13888579917955696</v>
      </c>
      <c r="Z7" s="12">
        <f t="shared" si="1"/>
        <v>0.14210033276848918</v>
      </c>
      <c r="AA7" s="7">
        <f>(560154+1319796+504955)*1000</f>
        <v>2384905000</v>
      </c>
      <c r="AB7" s="7">
        <f>(560154+1319796+560154)*1000</f>
        <v>2440104000</v>
      </c>
      <c r="AC7" s="11">
        <f t="shared" si="2"/>
        <v>-55199000</v>
      </c>
      <c r="AD7" s="12">
        <f t="shared" si="3"/>
        <v>1.0231451567253202</v>
      </c>
      <c r="AE7" s="7">
        <f>(375965+885510+544762)*1000</f>
        <v>1806237000</v>
      </c>
      <c r="AF7" s="7">
        <f>(1606772+3099338+1472680)*1000</f>
        <v>6178790000</v>
      </c>
      <c r="AG7" s="7">
        <v>10811000</v>
      </c>
      <c r="AH7" s="7">
        <f>(-87510-79478-17559)*1000</f>
        <v>-184547000</v>
      </c>
      <c r="AI7" s="7">
        <v>0</v>
      </c>
      <c r="AJ7" s="7">
        <f>(-201920-391490-241339)*1000</f>
        <v>-834749000</v>
      </c>
      <c r="AK7" s="7">
        <f>(-1226732-2296628-1333779)*1000</f>
        <v>-4857139000</v>
      </c>
      <c r="AL7" s="7">
        <f>(-15102-24906-16335)*1000</f>
        <v>-56343000</v>
      </c>
      <c r="AM7" s="7">
        <f>(11481+20945+12236)*1000</f>
        <v>44662000</v>
      </c>
      <c r="AN7" s="7">
        <f>(281973+499314+291707)*1000</f>
        <v>1072994000</v>
      </c>
      <c r="AO7" s="7">
        <f>(-506171-983299-598518)*1000</f>
        <v>-2087988000</v>
      </c>
      <c r="AP7" s="7">
        <f>(-28502+2167+30924)*1000</f>
        <v>4589000</v>
      </c>
      <c r="AQ7" s="7">
        <f>(210254+731473+155590)*1000</f>
        <v>1097317000</v>
      </c>
      <c r="AR7" s="5" t="s">
        <v>143</v>
      </c>
      <c r="AS7" s="5" t="s">
        <v>144</v>
      </c>
      <c r="AT7" s="5" t="s">
        <v>145</v>
      </c>
      <c r="AU7" s="7">
        <f>(8196537+17963676+5073684)*1000</f>
        <v>31233897000</v>
      </c>
      <c r="AV7" s="7">
        <f>(5413632+11759992+2194914)*1000</f>
        <v>19368538000</v>
      </c>
      <c r="AW7" s="7">
        <f>(3071046+6625048-228193)*1000</f>
        <v>9467901000</v>
      </c>
      <c r="AX7" s="29" t="s">
        <v>146</v>
      </c>
      <c r="AY7" s="7">
        <f>(23617412+45417520+21564004)*1000</f>
        <v>90598936000</v>
      </c>
      <c r="AZ7" s="7">
        <f>(375965+885510+544762)*1000</f>
        <v>1806237000</v>
      </c>
      <c r="BA7" s="7">
        <f>(1606772+3099338+1472680)*1000</f>
        <v>6178790000</v>
      </c>
      <c r="BB7" s="7">
        <v>10811000</v>
      </c>
      <c r="BC7" s="7">
        <f>(-327289-440308-43177)*1000</f>
        <v>-810774000</v>
      </c>
      <c r="BD7" s="7">
        <v>0</v>
      </c>
      <c r="BE7" s="7">
        <f>(548158+1292988+490286)*1000</f>
        <v>2331432000</v>
      </c>
      <c r="BF7" s="7">
        <f>(201920+391490+241339)*1000</f>
        <v>834749000</v>
      </c>
      <c r="BG7" s="7">
        <f>(1302241+2421157+1415454)*1000</f>
        <v>5138852000</v>
      </c>
      <c r="BH7" s="7">
        <f>(-1296803-2241927-1010021)*1000</f>
        <v>-4548751000</v>
      </c>
      <c r="BI7" s="7">
        <f>(-30236-40578-41324)*1000</f>
        <v>-112138000</v>
      </c>
      <c r="BJ7" s="7">
        <f t="shared" si="4"/>
        <v>-4660889000</v>
      </c>
      <c r="BK7" s="7">
        <f>(-11481-20945-12236)*1000</f>
        <v>-44662000</v>
      </c>
      <c r="BL7" s="7">
        <f>(28502-2167-30924)*1000</f>
        <v>-4589000</v>
      </c>
      <c r="BM7" s="7"/>
      <c r="BN7" s="7">
        <f>(17789888+33119545+19250247)*1000</f>
        <v>70159680000</v>
      </c>
      <c r="BO7" s="7">
        <f>(5413632+11759992+2194914)*1000</f>
        <v>19368538000</v>
      </c>
    </row>
    <row r="8" spans="1:67" x14ac:dyDescent="0.25">
      <c r="A8" s="25" t="s">
        <v>129</v>
      </c>
      <c r="B8" s="4">
        <v>2019</v>
      </c>
      <c r="C8" s="26">
        <v>43281</v>
      </c>
      <c r="D8" s="26">
        <v>43281</v>
      </c>
      <c r="E8" s="26">
        <v>43646</v>
      </c>
      <c r="F8" s="7">
        <f>65096+94983+70246</f>
        <v>230325</v>
      </c>
      <c r="G8" s="32">
        <f>13108+24136+17196</f>
        <v>54440</v>
      </c>
      <c r="H8" s="7">
        <f>27280+33204+35039</f>
        <v>95523</v>
      </c>
      <c r="I8" s="7">
        <f>76787+151591+108716+9009+5464+32071</f>
        <v>383638</v>
      </c>
      <c r="J8" s="32">
        <f>191280+309378+263268</f>
        <v>763926</v>
      </c>
      <c r="K8" s="5">
        <v>7.0000000000000007E-2</v>
      </c>
      <c r="L8" s="5"/>
      <c r="M8" s="5"/>
      <c r="N8" s="4"/>
      <c r="O8" s="5">
        <v>7.0000000000000007E-2</v>
      </c>
      <c r="P8" s="5">
        <v>6.7500000000000004E-2</v>
      </c>
      <c r="Q8" s="32">
        <f>(25409842+49683336+24206763)*1000</f>
        <v>99299941000</v>
      </c>
      <c r="R8" s="32">
        <f>(19090110+36522769+21259032)*1000</f>
        <v>76871911000</v>
      </c>
      <c r="S8" s="32">
        <f>(6319732+13160567+2947731)*1000</f>
        <v>22428030000</v>
      </c>
      <c r="T8" s="27" t="s">
        <v>147</v>
      </c>
      <c r="U8" s="7">
        <f>(4197484+8387503+5118622)*1000</f>
        <v>17703609000</v>
      </c>
      <c r="V8" s="7">
        <f>717456951+1395429873+626923150</f>
        <v>2739809974</v>
      </c>
      <c r="W8" s="7">
        <f>749926736+1555895887+621841755</f>
        <v>2927664378</v>
      </c>
      <c r="X8" s="7">
        <f>448111609+1384392718+325729377</f>
        <v>2158233704</v>
      </c>
      <c r="Y8" s="12">
        <f t="shared" si="0"/>
        <v>0.13548446534263156</v>
      </c>
      <c r="Z8" s="12">
        <f t="shared" si="1"/>
        <v>0.13563183642386137</v>
      </c>
      <c r="AA8" s="7">
        <f>(567500+1315160+515904)*1000</f>
        <v>2398564000</v>
      </c>
      <c r="AB8" s="7">
        <f>(567500+1315160+518513)*1000</f>
        <v>2401173000</v>
      </c>
      <c r="AC8" s="11">
        <f t="shared" si="2"/>
        <v>-2609000</v>
      </c>
      <c r="AD8" s="12">
        <f t="shared" si="3"/>
        <v>1.0010877341609397</v>
      </c>
      <c r="AE8" s="7">
        <f>379359288+889003292+556149437</f>
        <v>1824512017</v>
      </c>
      <c r="AF8" s="7">
        <f>1627636919+3184697542+1535532384</f>
        <v>6347866845</v>
      </c>
      <c r="AG8" s="7">
        <v>3948465</v>
      </c>
      <c r="AH8" s="32">
        <f>49505445-32135142+5163822</f>
        <v>22534125</v>
      </c>
      <c r="AI8" s="7">
        <f>181301818+270707236+200822723</f>
        <v>652831777</v>
      </c>
      <c r="AJ8" s="7">
        <f>-201481234-403257714-248421687</f>
        <v>-853160635</v>
      </c>
      <c r="AK8" s="7">
        <f>-1274370174-2419595573-1407563351</f>
        <v>-5101529098</v>
      </c>
      <c r="AL8" s="7">
        <f>12529665+21713307+12360829</f>
        <v>46603801</v>
      </c>
      <c r="AM8" s="7">
        <f>12373471+22843327+13368660</f>
        <v>48585458</v>
      </c>
      <c r="AN8" s="33">
        <f>269610236+499314829+304041715</f>
        <v>1072966780</v>
      </c>
      <c r="AO8" s="33">
        <f>-339770383-639310676-349330888</f>
        <v>-1328411947</v>
      </c>
      <c r="AP8" s="33">
        <f>761900+1449445+851041</f>
        <v>3062386</v>
      </c>
      <c r="AQ8" s="33">
        <f>717456951+1395429873+626923150</f>
        <v>2739809974</v>
      </c>
      <c r="AR8" s="5" t="s">
        <v>148</v>
      </c>
      <c r="AS8" s="5" t="s">
        <v>149</v>
      </c>
      <c r="AT8" s="5" t="s">
        <v>150</v>
      </c>
      <c r="AU8" s="7">
        <f>(9283632+19812371+6063120)*1000</f>
        <v>35159123000</v>
      </c>
      <c r="AV8" s="7">
        <f>(6319732+13160567+2947731)*1000</f>
        <v>22428030000</v>
      </c>
      <c r="AW8" s="7">
        <f>(3828162+7660756+462729)*1000</f>
        <v>11951647000</v>
      </c>
      <c r="AX8" s="29" t="s">
        <v>151</v>
      </c>
      <c r="AY8" s="7">
        <f>(23945821+46679555+22497735)*1000</f>
        <v>93123111000</v>
      </c>
      <c r="AZ8" s="7">
        <f>(379359+889003+556149)*1000</f>
        <v>1824511000</v>
      </c>
      <c r="BA8" s="7">
        <f>(1627637+3184697+1535532)*1000</f>
        <v>6347866000</v>
      </c>
      <c r="BB8" s="7">
        <v>3948000</v>
      </c>
      <c r="BC8" s="7">
        <f>(181189-174815+45032)*1000</f>
        <v>51406000</v>
      </c>
      <c r="BD8" s="7">
        <f>(663566+1472649+691407)*1000</f>
        <v>2827622000</v>
      </c>
      <c r="BE8" s="7">
        <f>(545584+1280964+499293)*1000</f>
        <v>2325841000</v>
      </c>
      <c r="BF8" s="7">
        <f>(201481+403258+248421)*1000</f>
        <v>853160000</v>
      </c>
      <c r="BG8" s="7">
        <f>(1211722+2311028+1345759)*1000</f>
        <v>4868509000</v>
      </c>
      <c r="BH8" s="7">
        <f>(-1360833-2331038-1082791)*1000</f>
        <v>-4774662000</v>
      </c>
      <c r="BI8" s="7">
        <f>(-26897-36715-40249)*1000</f>
        <v>-103861000</v>
      </c>
      <c r="BJ8" s="7">
        <f t="shared" si="4"/>
        <v>-4878523000</v>
      </c>
      <c r="BK8" s="7">
        <f>(-12374-22843-13369)*1000</f>
        <v>-48586000</v>
      </c>
      <c r="BL8" s="7">
        <f>(-762-1448-853)*1000</f>
        <v>-3063000</v>
      </c>
      <c r="BM8" s="7"/>
      <c r="BN8" s="7">
        <f>(18532189+34919563+20302821)*1000</f>
        <v>73754573000</v>
      </c>
      <c r="BO8" s="7">
        <f>(6319732+13160567+2947731)*1000</f>
        <v>22428030000</v>
      </c>
    </row>
    <row r="9" spans="1:67" x14ac:dyDescent="0.25">
      <c r="A9" s="4" t="s">
        <v>129</v>
      </c>
      <c r="B9" s="4">
        <v>2020</v>
      </c>
      <c r="C9" s="26">
        <v>43646</v>
      </c>
      <c r="D9" s="26">
        <v>43646</v>
      </c>
      <c r="E9" s="26">
        <v>44012</v>
      </c>
      <c r="F9" s="7">
        <f>67076+99175+73791</f>
        <v>240042</v>
      </c>
      <c r="G9" s="32">
        <f>13884+26926+18373</f>
        <v>59183</v>
      </c>
      <c r="H9" s="7">
        <f>29462+37598+38754</f>
        <v>105814</v>
      </c>
      <c r="I9" s="7">
        <f>76911+149403+110445+9250+5677+34199</f>
        <v>385885</v>
      </c>
      <c r="J9" s="32">
        <f>196583+318779+275562</f>
        <v>790924</v>
      </c>
      <c r="K9" s="5">
        <v>6.7500000000000004E-2</v>
      </c>
      <c r="L9" s="4"/>
      <c r="M9" s="4"/>
      <c r="N9" s="4"/>
      <c r="O9" s="5">
        <v>6.7500000000000004E-2</v>
      </c>
      <c r="P9" s="5">
        <v>6.7500000000000004E-2</v>
      </c>
      <c r="Q9" s="32">
        <f>26014925097+51001854903+25449316227</f>
        <v>102466096227</v>
      </c>
      <c r="R9" s="32">
        <f>18770067396+36449228745+21234090566</f>
        <v>76453386707</v>
      </c>
      <c r="S9" s="32">
        <f>7244857701+14552626158+4215225661</f>
        <v>26012709520</v>
      </c>
      <c r="T9" s="27" t="s">
        <v>152</v>
      </c>
      <c r="U9" s="7">
        <f>4440135406+8766666892+5368250421</f>
        <v>18575052719</v>
      </c>
      <c r="V9" s="7">
        <f>930358269+1644053651+974209100</f>
        <v>3548621020</v>
      </c>
      <c r="W9" s="7">
        <f>1061280189+2360544774+1192162021</f>
        <v>4613986984</v>
      </c>
      <c r="X9" s="7">
        <f>188254770+1113265351+81149794</f>
        <v>1382669915</v>
      </c>
      <c r="Y9" s="12">
        <f t="shared" si="0"/>
        <v>0.13564408091411564</v>
      </c>
      <c r="Z9" s="12">
        <f t="shared" si="1"/>
        <v>0.13578973762050187</v>
      </c>
      <c r="AA9" s="7">
        <f>600306307+1374613369+544676278</f>
        <v>2519595954</v>
      </c>
      <c r="AB9" s="7">
        <f>600306307+1374613369+547381859</f>
        <v>2522301535</v>
      </c>
      <c r="AC9" s="11">
        <f t="shared" si="2"/>
        <v>-2705581</v>
      </c>
      <c r="AD9" s="12">
        <f t="shared" si="3"/>
        <v>1.0010738154249315</v>
      </c>
      <c r="AE9" s="7">
        <f>406776003+938143989+603765952</f>
        <v>1948685944</v>
      </c>
      <c r="AF9" s="7">
        <f>1666047947+3269776154+1593594255</f>
        <v>6529418356</v>
      </c>
      <c r="AG9" s="7">
        <f>0+19656740</f>
        <v>19656740</v>
      </c>
      <c r="AH9" s="32">
        <f>0+0+60122055</f>
        <v>60122055</v>
      </c>
      <c r="AI9" s="7">
        <v>0</v>
      </c>
      <c r="AJ9" s="18">
        <f>-(210896385+418909152+258396039)</f>
        <v>-888201576</v>
      </c>
      <c r="AK9" s="33">
        <f>-(1265595180+2439550684+1420472485)</f>
        <v>-5125618349</v>
      </c>
      <c r="AL9" s="33">
        <f>203084323</f>
        <v>203084323</v>
      </c>
      <c r="AM9" s="7">
        <f>(12602679+23649318+13841789)</f>
        <v>50093786</v>
      </c>
      <c r="AN9" s="33">
        <f>612116695+998254782+455516159</f>
        <v>2065887636</v>
      </c>
      <c r="AO9" s="33">
        <f>-291232675-728479267-296836445</f>
        <v>-1316548387</v>
      </c>
      <c r="AP9" s="33">
        <f>539185+1168511+332796</f>
        <v>2040492</v>
      </c>
      <c r="AQ9" s="33">
        <f>930358269+1644053651+974209100</f>
        <v>3548621020</v>
      </c>
      <c r="AR9" s="5" t="s">
        <v>153</v>
      </c>
      <c r="AS9" s="5" t="s">
        <v>154</v>
      </c>
      <c r="AT9" s="5" t="s">
        <v>155</v>
      </c>
      <c r="AU9" s="7">
        <f>10267605264+21351970919+7398382341</f>
        <v>39017958524</v>
      </c>
      <c r="AV9" s="7">
        <f>7244857701+14552626158+4215225661</f>
        <v>26012709520</v>
      </c>
      <c r="AW9" s="7">
        <f>4703245575+8928708480+1566473727</f>
        <v>15198427782</v>
      </c>
      <c r="AX9" s="30" t="s">
        <v>156</v>
      </c>
      <c r="AY9" s="7">
        <f>25409841764+49683336378+24206763285</f>
        <v>99299941427</v>
      </c>
      <c r="AZ9" s="7">
        <f>406776003+938143989+603765952</f>
        <v>1948685944</v>
      </c>
      <c r="BA9" s="7">
        <f>1666047947+3269776154+1593594255</f>
        <v>6529418356</v>
      </c>
      <c r="BB9" s="7">
        <f>0+19656740</f>
        <v>19656740</v>
      </c>
      <c r="BC9" s="7">
        <f>-12440702-404985282+221364302</f>
        <v>-196061682</v>
      </c>
      <c r="BD9" s="7">
        <f>0</f>
        <v>0</v>
      </c>
      <c r="BE9" s="7">
        <f>576443391+1327772013+521543157</f>
        <v>2425758561</v>
      </c>
      <c r="BF9" s="7">
        <f>210896385+418909152+258408142</f>
        <v>888213679</v>
      </c>
      <c r="BG9" s="7">
        <f>361060166+689013633+405050874</f>
        <v>1455124673</v>
      </c>
      <c r="BH9" s="7">
        <f>-1427873034-2448204545-1157505004</f>
        <v>-5033582583</v>
      </c>
      <c r="BI9" s="7">
        <f>-27426881-36211791-38323303</f>
        <v>-101961975</v>
      </c>
      <c r="BJ9" s="7">
        <f t="shared" si="4"/>
        <v>-5135544558</v>
      </c>
      <c r="BK9" s="7">
        <f>-12602679-23649318-13841789</f>
        <v>-50093786</v>
      </c>
      <c r="BL9" s="7">
        <f>-539185-1168511-275471</f>
        <v>-1983167</v>
      </c>
      <c r="BM9" s="4"/>
      <c r="BN9" s="7">
        <f>19090109233+36522768112+21259033960</f>
        <v>76871911305</v>
      </c>
      <c r="BO9" s="7">
        <f>7244857701+14552626158+4215225661</f>
        <v>26012709520</v>
      </c>
    </row>
    <row r="10" spans="1:67" x14ac:dyDescent="0.25">
      <c r="A10" s="4" t="s">
        <v>129</v>
      </c>
      <c r="B10" s="4">
        <v>2021</v>
      </c>
      <c r="C10" s="26">
        <v>44012</v>
      </c>
      <c r="D10" s="26">
        <v>44012</v>
      </c>
      <c r="E10" s="26">
        <v>44377</v>
      </c>
      <c r="F10" s="7">
        <f>60478+97378+59678</f>
        <v>217534</v>
      </c>
      <c r="G10" s="32">
        <f>13173+30232+15052</f>
        <v>58457</v>
      </c>
      <c r="H10" s="7"/>
      <c r="I10" s="7">
        <f>76108+149853+108712</f>
        <v>334673</v>
      </c>
      <c r="J10" s="32">
        <f>F10+G10+I10</f>
        <v>610664</v>
      </c>
      <c r="K10" s="5">
        <v>6.7500000000000004E-2</v>
      </c>
      <c r="L10" s="4"/>
      <c r="M10" s="4"/>
      <c r="N10" s="4"/>
      <c r="O10" s="5">
        <v>6.7500000000000004E-2</v>
      </c>
      <c r="P10" s="5">
        <v>6.7500000000000004E-2</v>
      </c>
      <c r="Q10" s="32">
        <v>107430454000</v>
      </c>
      <c r="R10" s="32">
        <v>95288645000</v>
      </c>
      <c r="S10" s="32">
        <v>12141809000</v>
      </c>
      <c r="T10" s="27" t="s">
        <v>157</v>
      </c>
      <c r="U10" s="7">
        <v>18647123000</v>
      </c>
      <c r="V10" s="4"/>
      <c r="W10" s="4"/>
      <c r="X10" s="4"/>
      <c r="Y10" s="12">
        <f t="shared" si="0"/>
        <v>0.14568059641157513</v>
      </c>
      <c r="Z10" s="12">
        <f t="shared" si="1"/>
        <v>0.14568268788702687</v>
      </c>
      <c r="AA10" s="7">
        <f>636236000+1469854000+610434000</f>
        <v>2716524000</v>
      </c>
      <c r="AB10" s="7">
        <f>636236000+1469854000+610473000</f>
        <v>2716563000</v>
      </c>
      <c r="AC10" s="11">
        <f t="shared" si="2"/>
        <v>-39000</v>
      </c>
      <c r="AD10" s="12">
        <f t="shared" si="3"/>
        <v>1.0000143565821615</v>
      </c>
      <c r="AE10" s="7">
        <f>(404703+948915+613227)*1000</f>
        <v>1966845000</v>
      </c>
      <c r="AF10" s="7">
        <f>(1704842+3355158+1674640)*1000</f>
        <v>6734640000</v>
      </c>
      <c r="AG10" s="7">
        <v>13507000</v>
      </c>
      <c r="AH10" s="32"/>
      <c r="AI10" s="4"/>
      <c r="AJ10" s="7">
        <f>(-207065-419415-258562)*1000</f>
        <v>-885042000</v>
      </c>
      <c r="AK10" s="33"/>
      <c r="AL10" s="33"/>
      <c r="AM10" s="7">
        <f>(12904+24543+14412)*1000</f>
        <v>51859000</v>
      </c>
      <c r="AN10" s="4"/>
      <c r="AO10" s="4"/>
      <c r="AP10" s="4"/>
      <c r="AQ10" s="7"/>
      <c r="AR10" s="5" t="s">
        <v>158</v>
      </c>
      <c r="AS10" s="5" t="s">
        <v>159</v>
      </c>
      <c r="AT10" s="5" t="s">
        <v>160</v>
      </c>
      <c r="AU10" s="7">
        <v>26047941000</v>
      </c>
      <c r="AV10" s="7">
        <v>12141809000</v>
      </c>
      <c r="AW10" s="7">
        <v>565172000</v>
      </c>
      <c r="AX10" s="4"/>
      <c r="AY10" s="7">
        <f>(26014925+51001855+25449316)*1000</f>
        <v>102466096000</v>
      </c>
      <c r="AZ10" s="7">
        <f>(404703+948915+613227)*1000</f>
        <v>1966845000</v>
      </c>
      <c r="BA10" s="7">
        <f>(1704842+3355158+1674640)*1000</f>
        <v>6734640000</v>
      </c>
      <c r="BB10" s="7">
        <v>13507000</v>
      </c>
      <c r="BC10" s="7">
        <f>(-281382-178349-164872)*1000</f>
        <v>-624603000</v>
      </c>
      <c r="BD10" s="7">
        <f>(412575+845179+1003382)*1000</f>
        <v>2261136000</v>
      </c>
      <c r="BE10" s="7">
        <f>(609778+1416135+61344+579989)*1000</f>
        <v>2667246000</v>
      </c>
      <c r="BF10" s="7">
        <f>(207065+419415+258562)*1000</f>
        <v>885042000</v>
      </c>
      <c r="BG10" s="7">
        <f>(5055163+9887249+5779327)*1000</f>
        <v>20721739000</v>
      </c>
      <c r="BH10" s="7">
        <f>(-1486951-2553153-1237074)*1000</f>
        <v>-5277178000</v>
      </c>
      <c r="BI10" s="7">
        <f>(-29065-38464-42460)*1000</f>
        <v>-109989000</v>
      </c>
      <c r="BJ10" s="7">
        <f>(BH10+BI10)</f>
        <v>-5387167000</v>
      </c>
      <c r="BK10" s="7">
        <f>(-12904-24543-14412)*1000</f>
        <v>-51859000</v>
      </c>
      <c r="BL10" s="7">
        <f>(-737+666+328)*1000</f>
        <v>257000</v>
      </c>
      <c r="BM10" s="4"/>
      <c r="BN10" s="7">
        <f>(18770068+36449229+21234090)*1000</f>
        <v>76453387000</v>
      </c>
      <c r="BO10" s="7">
        <f>(3627230+7763263+751316)*1000</f>
        <v>12141809000</v>
      </c>
    </row>
    <row r="11" spans="1:67" x14ac:dyDescent="0.25">
      <c r="A11" s="4"/>
      <c r="B11" s="4"/>
      <c r="C11" s="4"/>
      <c r="D11" s="4"/>
      <c r="E11" s="4"/>
      <c r="F11" s="4"/>
      <c r="G11" s="4"/>
      <c r="H11" s="4"/>
      <c r="I11" s="4"/>
      <c r="J11" s="7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7"/>
    </row>
    <row r="12" spans="1:67" x14ac:dyDescent="0.25">
      <c r="A12" s="31" t="s">
        <v>161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x14ac:dyDescent="0.25">
      <c r="A13" s="25" t="s">
        <v>129</v>
      </c>
      <c r="B13" s="4">
        <v>2014</v>
      </c>
      <c r="C13" s="4" t="s">
        <v>162</v>
      </c>
      <c r="D13" s="4"/>
      <c r="E13" s="4" t="s">
        <v>163</v>
      </c>
      <c r="F13" s="4" t="s">
        <v>162</v>
      </c>
      <c r="G13" s="4" t="s">
        <v>162</v>
      </c>
      <c r="H13" s="4" t="s">
        <v>162</v>
      </c>
      <c r="I13" s="4" t="s">
        <v>162</v>
      </c>
      <c r="J13" s="4" t="s">
        <v>162</v>
      </c>
      <c r="K13" s="4" t="s">
        <v>164</v>
      </c>
      <c r="L13" s="4"/>
      <c r="M13" s="4"/>
      <c r="N13" s="4"/>
      <c r="O13" s="4"/>
      <c r="P13" s="4" t="s">
        <v>165</v>
      </c>
      <c r="Q13" s="4" t="s">
        <v>166</v>
      </c>
      <c r="R13" s="4" t="s">
        <v>166</v>
      </c>
      <c r="S13" s="4" t="s">
        <v>166</v>
      </c>
      <c r="T13" s="4" t="s">
        <v>166</v>
      </c>
      <c r="U13" s="4" t="s">
        <v>166</v>
      </c>
      <c r="V13" s="4"/>
      <c r="W13" s="4"/>
      <c r="X13" s="4"/>
      <c r="Y13" s="4"/>
      <c r="Z13" s="4"/>
      <c r="AA13" s="4" t="s">
        <v>167</v>
      </c>
      <c r="AB13" s="4" t="s">
        <v>167</v>
      </c>
      <c r="AC13" s="17" t="s">
        <v>167</v>
      </c>
      <c r="AD13" s="4"/>
      <c r="AE13" s="4" t="s">
        <v>168</v>
      </c>
      <c r="AF13" s="4" t="s">
        <v>168</v>
      </c>
      <c r="AG13" s="4" t="s">
        <v>168</v>
      </c>
      <c r="AH13" s="28"/>
      <c r="AI13" s="28"/>
      <c r="AJ13" s="4" t="s">
        <v>168</v>
      </c>
      <c r="AK13" s="28"/>
      <c r="AL13" s="4"/>
      <c r="AM13" s="4" t="s">
        <v>168</v>
      </c>
      <c r="AN13" s="4"/>
      <c r="AO13" s="4"/>
      <c r="AP13" s="28"/>
      <c r="AQ13" s="4"/>
      <c r="AR13" s="4" t="s">
        <v>169</v>
      </c>
      <c r="AS13" s="4" t="s">
        <v>169</v>
      </c>
      <c r="AT13" s="4" t="s">
        <v>169</v>
      </c>
      <c r="AU13" s="4" t="s">
        <v>169</v>
      </c>
      <c r="AV13" s="4" t="s">
        <v>169</v>
      </c>
      <c r="AW13" s="4" t="s">
        <v>169</v>
      </c>
      <c r="AX13" s="4"/>
      <c r="AY13" s="4" t="s">
        <v>168</v>
      </c>
      <c r="AZ13" s="4" t="s">
        <v>168</v>
      </c>
      <c r="BA13" s="4" t="s">
        <v>168</v>
      </c>
      <c r="BB13" s="4" t="s">
        <v>168</v>
      </c>
      <c r="BC13" s="4" t="s">
        <v>168</v>
      </c>
      <c r="BD13" s="4" t="s">
        <v>168</v>
      </c>
      <c r="BE13" s="4" t="s">
        <v>168</v>
      </c>
      <c r="BF13" s="4" t="s">
        <v>168</v>
      </c>
      <c r="BG13" s="4" t="s">
        <v>168</v>
      </c>
      <c r="BH13" s="4" t="s">
        <v>168</v>
      </c>
      <c r="BI13" s="4" t="s">
        <v>168</v>
      </c>
      <c r="BJ13" s="4" t="s">
        <v>168</v>
      </c>
      <c r="BK13" s="4" t="s">
        <v>168</v>
      </c>
      <c r="BL13" s="4" t="s">
        <v>168</v>
      </c>
      <c r="BM13" s="4"/>
      <c r="BN13" s="4" t="s">
        <v>168</v>
      </c>
      <c r="BO13" s="4" t="s">
        <v>168</v>
      </c>
    </row>
    <row r="14" spans="1:67" x14ac:dyDescent="0.25">
      <c r="A14" s="25" t="s">
        <v>129</v>
      </c>
      <c r="B14" s="4">
        <f t="shared" ref="B14:B17" si="6">B13+1</f>
        <v>2015</v>
      </c>
      <c r="C14" s="4" t="s">
        <v>170</v>
      </c>
      <c r="D14" s="4" t="s">
        <v>163</v>
      </c>
      <c r="E14" s="4" t="s">
        <v>171</v>
      </c>
      <c r="F14" s="4" t="s">
        <v>170</v>
      </c>
      <c r="G14" s="4" t="s">
        <v>170</v>
      </c>
      <c r="H14" s="4" t="s">
        <v>170</v>
      </c>
      <c r="I14" s="4" t="s">
        <v>170</v>
      </c>
      <c r="J14" s="4" t="s">
        <v>170</v>
      </c>
      <c r="K14" s="4" t="s">
        <v>172</v>
      </c>
      <c r="L14" s="4"/>
      <c r="M14" s="4"/>
      <c r="N14" s="4"/>
      <c r="O14" s="4" t="s">
        <v>165</v>
      </c>
      <c r="P14" s="4" t="s">
        <v>173</v>
      </c>
      <c r="Q14" s="4" t="s">
        <v>174</v>
      </c>
      <c r="R14" s="4" t="s">
        <v>174</v>
      </c>
      <c r="S14" s="4" t="s">
        <v>174</v>
      </c>
      <c r="T14" s="4" t="s">
        <v>174</v>
      </c>
      <c r="U14" s="4" t="s">
        <v>174</v>
      </c>
      <c r="V14" s="4"/>
      <c r="W14" s="4"/>
      <c r="X14" s="4"/>
      <c r="Y14" s="4"/>
      <c r="Z14" s="4"/>
      <c r="AA14" s="4" t="s">
        <v>175</v>
      </c>
      <c r="AB14" s="4" t="s">
        <v>175</v>
      </c>
      <c r="AC14" s="17" t="s">
        <v>175</v>
      </c>
      <c r="AD14" s="4"/>
      <c r="AE14" s="4" t="s">
        <v>176</v>
      </c>
      <c r="AF14" s="4" t="s">
        <v>176</v>
      </c>
      <c r="AG14" s="4" t="s">
        <v>176</v>
      </c>
      <c r="AH14" s="28"/>
      <c r="AI14" s="28"/>
      <c r="AJ14" s="4" t="s">
        <v>176</v>
      </c>
      <c r="AK14" s="28"/>
      <c r="AL14" s="4"/>
      <c r="AM14" s="4" t="s">
        <v>176</v>
      </c>
      <c r="AN14" s="4"/>
      <c r="AO14" s="4"/>
      <c r="AP14" s="28"/>
      <c r="AQ14" s="4"/>
      <c r="AR14" s="4" t="s">
        <v>177</v>
      </c>
      <c r="AS14" s="4" t="s">
        <v>177</v>
      </c>
      <c r="AT14" s="4" t="s">
        <v>177</v>
      </c>
      <c r="AU14" s="4" t="s">
        <v>177</v>
      </c>
      <c r="AV14" s="4" t="s">
        <v>177</v>
      </c>
      <c r="AW14" s="4" t="s">
        <v>177</v>
      </c>
      <c r="AX14" s="4"/>
      <c r="AY14" s="4" t="s">
        <v>176</v>
      </c>
      <c r="AZ14" s="4" t="s">
        <v>176</v>
      </c>
      <c r="BA14" s="4" t="s">
        <v>176</v>
      </c>
      <c r="BB14" s="4" t="s">
        <v>176</v>
      </c>
      <c r="BC14" s="4" t="s">
        <v>176</v>
      </c>
      <c r="BD14" s="4" t="s">
        <v>176</v>
      </c>
      <c r="BE14" s="4" t="s">
        <v>176</v>
      </c>
      <c r="BF14" s="4" t="s">
        <v>176</v>
      </c>
      <c r="BG14" s="4" t="s">
        <v>176</v>
      </c>
      <c r="BH14" s="4" t="s">
        <v>176</v>
      </c>
      <c r="BI14" s="4" t="s">
        <v>176</v>
      </c>
      <c r="BJ14" s="4" t="s">
        <v>176</v>
      </c>
      <c r="BK14" s="4" t="s">
        <v>176</v>
      </c>
      <c r="BL14" s="4" t="s">
        <v>176</v>
      </c>
      <c r="BM14" s="4"/>
      <c r="BN14" s="4" t="s">
        <v>176</v>
      </c>
      <c r="BO14" s="4" t="s">
        <v>176</v>
      </c>
    </row>
    <row r="15" spans="1:67" x14ac:dyDescent="0.25">
      <c r="A15" s="25" t="s">
        <v>129</v>
      </c>
      <c r="B15" s="4">
        <f t="shared" si="6"/>
        <v>2016</v>
      </c>
      <c r="C15" s="4" t="s">
        <v>178</v>
      </c>
      <c r="D15" s="4" t="s">
        <v>171</v>
      </c>
      <c r="E15" s="4" t="s">
        <v>179</v>
      </c>
      <c r="F15" s="4" t="s">
        <v>178</v>
      </c>
      <c r="G15" s="4" t="s">
        <v>178</v>
      </c>
      <c r="H15" s="4" t="s">
        <v>178</v>
      </c>
      <c r="I15" s="4" t="s">
        <v>178</v>
      </c>
      <c r="J15" s="4" t="s">
        <v>178</v>
      </c>
      <c r="K15" s="4" t="s">
        <v>180</v>
      </c>
      <c r="L15" s="4"/>
      <c r="M15" s="4"/>
      <c r="N15" s="4"/>
      <c r="O15" s="4" t="s">
        <v>173</v>
      </c>
      <c r="P15" s="4" t="s">
        <v>181</v>
      </c>
      <c r="Q15" s="4" t="s">
        <v>182</v>
      </c>
      <c r="R15" s="4" t="s">
        <v>182</v>
      </c>
      <c r="S15" s="4" t="s">
        <v>182</v>
      </c>
      <c r="T15" s="4" t="s">
        <v>182</v>
      </c>
      <c r="U15" s="4" t="s">
        <v>182</v>
      </c>
      <c r="V15" s="4" t="s">
        <v>183</v>
      </c>
      <c r="W15" s="4" t="s">
        <v>183</v>
      </c>
      <c r="X15" s="4" t="s">
        <v>183</v>
      </c>
      <c r="Y15" s="4"/>
      <c r="Z15" s="4"/>
      <c r="AA15" s="4" t="s">
        <v>184</v>
      </c>
      <c r="AB15" s="4" t="s">
        <v>184</v>
      </c>
      <c r="AC15" s="17" t="s">
        <v>184</v>
      </c>
      <c r="AD15" s="4"/>
      <c r="AE15" s="4" t="s">
        <v>185</v>
      </c>
      <c r="AF15" s="4" t="s">
        <v>185</v>
      </c>
      <c r="AG15" s="4" t="s">
        <v>185</v>
      </c>
      <c r="AH15" s="4" t="s">
        <v>185</v>
      </c>
      <c r="AI15" s="4" t="s">
        <v>185</v>
      </c>
      <c r="AJ15" s="4" t="s">
        <v>185</v>
      </c>
      <c r="AK15" s="4" t="s">
        <v>185</v>
      </c>
      <c r="AL15" s="4" t="s">
        <v>185</v>
      </c>
      <c r="AM15" s="4" t="s">
        <v>185</v>
      </c>
      <c r="AN15" s="4" t="s">
        <v>185</v>
      </c>
      <c r="AO15" s="4" t="s">
        <v>185</v>
      </c>
      <c r="AP15" s="4" t="s">
        <v>185</v>
      </c>
      <c r="AQ15" s="4" t="s">
        <v>185</v>
      </c>
      <c r="AR15" s="4" t="s">
        <v>186</v>
      </c>
      <c r="AS15" s="4" t="s">
        <v>186</v>
      </c>
      <c r="AT15" s="4" t="s">
        <v>186</v>
      </c>
      <c r="AU15" s="4" t="s">
        <v>186</v>
      </c>
      <c r="AV15" s="4" t="s">
        <v>186</v>
      </c>
      <c r="AW15" s="4" t="s">
        <v>186</v>
      </c>
      <c r="AX15" s="4" t="s">
        <v>187</v>
      </c>
      <c r="AY15" s="4" t="s">
        <v>188</v>
      </c>
      <c r="AZ15" s="4" t="s">
        <v>188</v>
      </c>
      <c r="BA15" s="4" t="s">
        <v>188</v>
      </c>
      <c r="BB15" s="4" t="s">
        <v>188</v>
      </c>
      <c r="BC15" s="4" t="s">
        <v>188</v>
      </c>
      <c r="BD15" s="4" t="s">
        <v>188</v>
      </c>
      <c r="BE15" s="4" t="s">
        <v>188</v>
      </c>
      <c r="BF15" s="4" t="s">
        <v>188</v>
      </c>
      <c r="BG15" s="4" t="s">
        <v>188</v>
      </c>
      <c r="BH15" s="4" t="s">
        <v>188</v>
      </c>
      <c r="BI15" s="4" t="s">
        <v>188</v>
      </c>
      <c r="BJ15" s="4" t="s">
        <v>188</v>
      </c>
      <c r="BK15" s="4" t="s">
        <v>188</v>
      </c>
      <c r="BL15" s="4" t="s">
        <v>188</v>
      </c>
      <c r="BM15" s="4"/>
      <c r="BN15" s="4" t="s">
        <v>188</v>
      </c>
      <c r="BO15" s="4" t="s">
        <v>188</v>
      </c>
    </row>
    <row r="16" spans="1:67" x14ac:dyDescent="0.25">
      <c r="A16" s="25" t="s">
        <v>129</v>
      </c>
      <c r="B16" s="4">
        <f t="shared" si="6"/>
        <v>2017</v>
      </c>
      <c r="C16" s="4" t="s">
        <v>189</v>
      </c>
      <c r="D16" s="4" t="s">
        <v>179</v>
      </c>
      <c r="E16" s="4" t="s">
        <v>190</v>
      </c>
      <c r="F16" s="4" t="s">
        <v>189</v>
      </c>
      <c r="G16" s="4" t="s">
        <v>189</v>
      </c>
      <c r="H16" s="4" t="s">
        <v>189</v>
      </c>
      <c r="I16" s="4" t="s">
        <v>189</v>
      </c>
      <c r="J16" s="4" t="s">
        <v>189</v>
      </c>
      <c r="K16" s="4" t="s">
        <v>191</v>
      </c>
      <c r="L16" s="4"/>
      <c r="M16" s="4"/>
      <c r="N16" s="4"/>
      <c r="O16" s="4" t="s">
        <v>181</v>
      </c>
      <c r="P16" s="4" t="s">
        <v>192</v>
      </c>
      <c r="Q16" s="4" t="s">
        <v>193</v>
      </c>
      <c r="R16" s="4" t="s">
        <v>193</v>
      </c>
      <c r="S16" s="4" t="s">
        <v>193</v>
      </c>
      <c r="T16" s="4" t="s">
        <v>193</v>
      </c>
      <c r="U16" s="4" t="s">
        <v>193</v>
      </c>
      <c r="V16" s="4" t="s">
        <v>194</v>
      </c>
      <c r="W16" s="4" t="s">
        <v>194</v>
      </c>
      <c r="X16" s="4" t="s">
        <v>194</v>
      </c>
      <c r="Y16" s="4"/>
      <c r="Z16" s="4"/>
      <c r="AA16" s="4" t="s">
        <v>195</v>
      </c>
      <c r="AB16" s="4" t="s">
        <v>195</v>
      </c>
      <c r="AC16" s="17" t="s">
        <v>195</v>
      </c>
      <c r="AD16" s="4"/>
      <c r="AE16" s="4" t="s">
        <v>196</v>
      </c>
      <c r="AF16" s="4" t="s">
        <v>196</v>
      </c>
      <c r="AG16" s="4" t="s">
        <v>196</v>
      </c>
      <c r="AH16" s="4" t="s">
        <v>196</v>
      </c>
      <c r="AI16" s="4" t="s">
        <v>196</v>
      </c>
      <c r="AJ16" s="4" t="s">
        <v>196</v>
      </c>
      <c r="AK16" s="4" t="s">
        <v>196</v>
      </c>
      <c r="AL16" s="4" t="s">
        <v>196</v>
      </c>
      <c r="AM16" s="4" t="s">
        <v>196</v>
      </c>
      <c r="AN16" s="4" t="s">
        <v>196</v>
      </c>
      <c r="AO16" s="4" t="s">
        <v>196</v>
      </c>
      <c r="AP16" s="4" t="s">
        <v>196</v>
      </c>
      <c r="AQ16" s="4" t="s">
        <v>196</v>
      </c>
      <c r="AR16" s="4" t="s">
        <v>197</v>
      </c>
      <c r="AS16" s="4" t="s">
        <v>197</v>
      </c>
      <c r="AT16" s="4" t="s">
        <v>197</v>
      </c>
      <c r="AU16" s="4" t="s">
        <v>197</v>
      </c>
      <c r="AV16" s="4" t="s">
        <v>197</v>
      </c>
      <c r="AW16" s="4" t="s">
        <v>197</v>
      </c>
      <c r="AX16" s="4" t="s">
        <v>198</v>
      </c>
      <c r="AY16" s="4" t="s">
        <v>199</v>
      </c>
      <c r="AZ16" s="4" t="s">
        <v>199</v>
      </c>
      <c r="BA16" s="4" t="s">
        <v>199</v>
      </c>
      <c r="BB16" s="4" t="s">
        <v>199</v>
      </c>
      <c r="BC16" s="4" t="s">
        <v>199</v>
      </c>
      <c r="BD16" s="4" t="s">
        <v>199</v>
      </c>
      <c r="BE16" s="4" t="s">
        <v>199</v>
      </c>
      <c r="BF16" s="4" t="s">
        <v>199</v>
      </c>
      <c r="BG16" s="4" t="s">
        <v>199</v>
      </c>
      <c r="BH16" s="4" t="s">
        <v>199</v>
      </c>
      <c r="BI16" s="4" t="s">
        <v>199</v>
      </c>
      <c r="BJ16" s="4" t="s">
        <v>199</v>
      </c>
      <c r="BK16" s="4" t="s">
        <v>199</v>
      </c>
      <c r="BL16" s="4" t="s">
        <v>199</v>
      </c>
      <c r="BM16" s="4"/>
      <c r="BN16" s="4" t="s">
        <v>199</v>
      </c>
      <c r="BO16" s="4" t="s">
        <v>199</v>
      </c>
    </row>
    <row r="17" spans="1:67" x14ac:dyDescent="0.25">
      <c r="A17" s="25" t="s">
        <v>129</v>
      </c>
      <c r="B17" s="4">
        <f t="shared" si="6"/>
        <v>2018</v>
      </c>
      <c r="C17" s="4" t="s">
        <v>200</v>
      </c>
      <c r="D17" s="4" t="s">
        <v>190</v>
      </c>
      <c r="E17" s="4" t="s">
        <v>201</v>
      </c>
      <c r="F17" s="4" t="s">
        <v>200</v>
      </c>
      <c r="G17" s="4" t="s">
        <v>200</v>
      </c>
      <c r="H17" s="4" t="s">
        <v>200</v>
      </c>
      <c r="I17" s="4" t="s">
        <v>200</v>
      </c>
      <c r="J17" s="4" t="s">
        <v>200</v>
      </c>
      <c r="K17" s="4" t="s">
        <v>202</v>
      </c>
      <c r="L17" s="4"/>
      <c r="M17" s="4"/>
      <c r="N17" s="4"/>
      <c r="O17" s="4" t="s">
        <v>192</v>
      </c>
      <c r="P17" s="4" t="s">
        <v>203</v>
      </c>
      <c r="Q17" s="4" t="s">
        <v>204</v>
      </c>
      <c r="R17" s="4" t="s">
        <v>204</v>
      </c>
      <c r="S17" s="4" t="s">
        <v>204</v>
      </c>
      <c r="T17" s="4" t="s">
        <v>204</v>
      </c>
      <c r="U17" s="4" t="s">
        <v>204</v>
      </c>
      <c r="V17" s="4" t="s">
        <v>205</v>
      </c>
      <c r="W17" s="4" t="s">
        <v>205</v>
      </c>
      <c r="X17" s="4" t="s">
        <v>205</v>
      </c>
      <c r="Y17" s="4"/>
      <c r="Z17" s="4"/>
      <c r="AA17" s="4" t="s">
        <v>206</v>
      </c>
      <c r="AB17" s="4" t="s">
        <v>206</v>
      </c>
      <c r="AC17" s="17" t="s">
        <v>206</v>
      </c>
      <c r="AD17" s="4"/>
      <c r="AE17" s="4" t="s">
        <v>207</v>
      </c>
      <c r="AF17" s="4" t="s">
        <v>207</v>
      </c>
      <c r="AG17" s="4" t="s">
        <v>207</v>
      </c>
      <c r="AH17" s="4" t="s">
        <v>207</v>
      </c>
      <c r="AI17" s="4" t="s">
        <v>207</v>
      </c>
      <c r="AJ17" s="4" t="s">
        <v>207</v>
      </c>
      <c r="AK17" s="4" t="s">
        <v>207</v>
      </c>
      <c r="AL17" s="4" t="s">
        <v>207</v>
      </c>
      <c r="AM17" s="4" t="s">
        <v>207</v>
      </c>
      <c r="AN17" s="4" t="s">
        <v>207</v>
      </c>
      <c r="AO17" s="4" t="s">
        <v>207</v>
      </c>
      <c r="AP17" s="4" t="s">
        <v>207</v>
      </c>
      <c r="AQ17" s="4" t="s">
        <v>207</v>
      </c>
      <c r="AR17" s="4" t="s">
        <v>208</v>
      </c>
      <c r="AS17" s="4" t="s">
        <v>208</v>
      </c>
      <c r="AT17" s="4" t="s">
        <v>208</v>
      </c>
      <c r="AU17" s="4" t="s">
        <v>208</v>
      </c>
      <c r="AV17" s="4" t="s">
        <v>208</v>
      </c>
      <c r="AW17" s="4" t="s">
        <v>208</v>
      </c>
      <c r="AX17" s="4" t="s">
        <v>209</v>
      </c>
      <c r="AY17" s="4" t="s">
        <v>210</v>
      </c>
      <c r="AZ17" s="4" t="s">
        <v>210</v>
      </c>
      <c r="BA17" s="4" t="s">
        <v>210</v>
      </c>
      <c r="BB17" s="4" t="s">
        <v>210</v>
      </c>
      <c r="BC17" s="4" t="s">
        <v>210</v>
      </c>
      <c r="BD17" s="4" t="s">
        <v>210</v>
      </c>
      <c r="BE17" s="4" t="s">
        <v>210</v>
      </c>
      <c r="BF17" s="4" t="s">
        <v>210</v>
      </c>
      <c r="BG17" s="4" t="s">
        <v>210</v>
      </c>
      <c r="BH17" s="4" t="s">
        <v>210</v>
      </c>
      <c r="BI17" s="4" t="s">
        <v>210</v>
      </c>
      <c r="BJ17" s="4" t="s">
        <v>210</v>
      </c>
      <c r="BK17" s="4" t="s">
        <v>210</v>
      </c>
      <c r="BL17" s="4" t="s">
        <v>210</v>
      </c>
      <c r="BM17" s="4"/>
      <c r="BN17" s="4" t="s">
        <v>210</v>
      </c>
      <c r="BO17" s="4" t="s">
        <v>210</v>
      </c>
    </row>
    <row r="18" spans="1:67" x14ac:dyDescent="0.25">
      <c r="A18" s="25" t="s">
        <v>129</v>
      </c>
      <c r="B18" s="4">
        <v>2019</v>
      </c>
      <c r="C18" s="4" t="s">
        <v>211</v>
      </c>
      <c r="D18" s="4" t="s">
        <v>201</v>
      </c>
      <c r="E18" s="4" t="s">
        <v>212</v>
      </c>
      <c r="F18" s="4" t="s">
        <v>211</v>
      </c>
      <c r="G18" s="4" t="s">
        <v>211</v>
      </c>
      <c r="H18" s="4" t="s">
        <v>211</v>
      </c>
      <c r="I18" s="4" t="s">
        <v>211</v>
      </c>
      <c r="J18" s="4" t="s">
        <v>211</v>
      </c>
      <c r="K18" s="4" t="s">
        <v>213</v>
      </c>
      <c r="L18" s="4"/>
      <c r="M18" s="4"/>
      <c r="N18" s="4"/>
      <c r="O18" s="4" t="s">
        <v>203</v>
      </c>
      <c r="P18" s="4" t="s">
        <v>214</v>
      </c>
      <c r="Q18" s="4" t="s">
        <v>215</v>
      </c>
      <c r="R18" s="4" t="s">
        <v>215</v>
      </c>
      <c r="S18" s="4" t="s">
        <v>215</v>
      </c>
      <c r="T18" s="4" t="s">
        <v>215</v>
      </c>
      <c r="U18" s="4" t="s">
        <v>215</v>
      </c>
      <c r="V18" s="4" t="s">
        <v>216</v>
      </c>
      <c r="W18" s="4" t="s">
        <v>216</v>
      </c>
      <c r="X18" s="4" t="s">
        <v>216</v>
      </c>
      <c r="Y18" s="4"/>
      <c r="Z18" s="4"/>
      <c r="AA18" s="4" t="s">
        <v>217</v>
      </c>
      <c r="AB18" s="4" t="s">
        <v>217</v>
      </c>
      <c r="AC18" s="17" t="s">
        <v>217</v>
      </c>
      <c r="AD18" s="4"/>
      <c r="AE18" s="4" t="s">
        <v>218</v>
      </c>
      <c r="AF18" s="4" t="s">
        <v>218</v>
      </c>
      <c r="AG18" s="4" t="s">
        <v>218</v>
      </c>
      <c r="AH18" s="4" t="s">
        <v>218</v>
      </c>
      <c r="AI18" s="4" t="s">
        <v>218</v>
      </c>
      <c r="AJ18" s="4" t="s">
        <v>218</v>
      </c>
      <c r="AK18" s="4" t="s">
        <v>218</v>
      </c>
      <c r="AL18" s="4" t="s">
        <v>218</v>
      </c>
      <c r="AM18" s="4" t="s">
        <v>218</v>
      </c>
      <c r="AN18" s="4" t="s">
        <v>218</v>
      </c>
      <c r="AO18" s="4" t="s">
        <v>218</v>
      </c>
      <c r="AP18" s="4" t="s">
        <v>218</v>
      </c>
      <c r="AQ18" s="4" t="s">
        <v>218</v>
      </c>
      <c r="AR18" s="4" t="s">
        <v>219</v>
      </c>
      <c r="AS18" s="4" t="s">
        <v>219</v>
      </c>
      <c r="AT18" s="4" t="s">
        <v>219</v>
      </c>
      <c r="AU18" s="4" t="s">
        <v>219</v>
      </c>
      <c r="AV18" s="4" t="s">
        <v>219</v>
      </c>
      <c r="AW18" s="4" t="s">
        <v>219</v>
      </c>
      <c r="AX18" s="4" t="s">
        <v>220</v>
      </c>
      <c r="AY18" s="4" t="s">
        <v>221</v>
      </c>
      <c r="AZ18" s="4" t="s">
        <v>221</v>
      </c>
      <c r="BA18" s="4" t="s">
        <v>221</v>
      </c>
      <c r="BB18" s="4" t="s">
        <v>221</v>
      </c>
      <c r="BC18" s="4" t="s">
        <v>221</v>
      </c>
      <c r="BD18" s="4" t="s">
        <v>221</v>
      </c>
      <c r="BE18" s="4" t="s">
        <v>221</v>
      </c>
      <c r="BF18" s="4" t="s">
        <v>221</v>
      </c>
      <c r="BG18" s="4" t="s">
        <v>221</v>
      </c>
      <c r="BH18" s="4" t="s">
        <v>221</v>
      </c>
      <c r="BI18" s="4" t="s">
        <v>221</v>
      </c>
      <c r="BJ18" s="4" t="s">
        <v>221</v>
      </c>
      <c r="BK18" s="4" t="s">
        <v>221</v>
      </c>
      <c r="BL18" s="4" t="s">
        <v>221</v>
      </c>
      <c r="BM18" s="4"/>
      <c r="BN18" s="4" t="s">
        <v>221</v>
      </c>
      <c r="BO18" s="4" t="s">
        <v>221</v>
      </c>
    </row>
    <row r="19" spans="1:67" x14ac:dyDescent="0.25">
      <c r="A19" s="4" t="s">
        <v>129</v>
      </c>
      <c r="B19" s="4">
        <v>2020</v>
      </c>
      <c r="C19" s="4" t="s">
        <v>222</v>
      </c>
      <c r="D19" s="4" t="s">
        <v>212</v>
      </c>
      <c r="E19" s="4" t="s">
        <v>223</v>
      </c>
      <c r="F19" s="4" t="s">
        <v>222</v>
      </c>
      <c r="G19" s="4" t="s">
        <v>222</v>
      </c>
      <c r="H19" s="4" t="s">
        <v>222</v>
      </c>
      <c r="I19" s="4" t="s">
        <v>222</v>
      </c>
      <c r="J19" s="4" t="s">
        <v>222</v>
      </c>
      <c r="K19" s="4" t="s">
        <v>224</v>
      </c>
      <c r="L19" s="4"/>
      <c r="M19" s="4"/>
      <c r="N19" s="4"/>
      <c r="O19" s="4" t="s">
        <v>214</v>
      </c>
      <c r="P19" s="4" t="s">
        <v>225</v>
      </c>
      <c r="Q19" s="4" t="s">
        <v>226</v>
      </c>
      <c r="R19" s="4" t="s">
        <v>226</v>
      </c>
      <c r="S19" s="4" t="s">
        <v>226</v>
      </c>
      <c r="T19" s="4" t="s">
        <v>226</v>
      </c>
      <c r="U19" s="4" t="s">
        <v>226</v>
      </c>
      <c r="V19" s="17" t="s">
        <v>227</v>
      </c>
      <c r="W19" s="17" t="s">
        <v>227</v>
      </c>
      <c r="X19" s="17" t="s">
        <v>227</v>
      </c>
      <c r="Y19" s="4"/>
      <c r="Z19" s="4"/>
      <c r="AA19" s="4" t="s">
        <v>228</v>
      </c>
      <c r="AB19" s="4" t="s">
        <v>228</v>
      </c>
      <c r="AC19" s="17" t="s">
        <v>228</v>
      </c>
      <c r="AD19" s="4"/>
      <c r="AE19" s="17" t="s">
        <v>229</v>
      </c>
      <c r="AF19" s="17" t="s">
        <v>229</v>
      </c>
      <c r="AG19" s="17" t="s">
        <v>229</v>
      </c>
      <c r="AH19" s="17" t="s">
        <v>229</v>
      </c>
      <c r="AI19" s="17" t="s">
        <v>229</v>
      </c>
      <c r="AJ19" s="17" t="s">
        <v>229</v>
      </c>
      <c r="AK19" s="17" t="s">
        <v>229</v>
      </c>
      <c r="AL19" s="17" t="s">
        <v>229</v>
      </c>
      <c r="AM19" s="17" t="s">
        <v>229</v>
      </c>
      <c r="AN19" s="17" t="s">
        <v>229</v>
      </c>
      <c r="AO19" s="17" t="s">
        <v>229</v>
      </c>
      <c r="AP19" s="17" t="s">
        <v>229</v>
      </c>
      <c r="AQ19" s="17" t="s">
        <v>229</v>
      </c>
      <c r="AR19" s="4" t="s">
        <v>230</v>
      </c>
      <c r="AS19" s="4" t="s">
        <v>230</v>
      </c>
      <c r="AT19" s="4" t="s">
        <v>230</v>
      </c>
      <c r="AU19" s="4" t="s">
        <v>230</v>
      </c>
      <c r="AV19" s="4" t="s">
        <v>230</v>
      </c>
      <c r="AW19" s="4" t="s">
        <v>230</v>
      </c>
      <c r="AX19" s="17" t="s">
        <v>231</v>
      </c>
      <c r="AY19" s="4" t="s">
        <v>232</v>
      </c>
      <c r="AZ19" s="4" t="s">
        <v>232</v>
      </c>
      <c r="BA19" s="4" t="s">
        <v>232</v>
      </c>
      <c r="BB19" s="4" t="s">
        <v>232</v>
      </c>
      <c r="BC19" s="4" t="s">
        <v>232</v>
      </c>
      <c r="BD19" s="4" t="s">
        <v>232</v>
      </c>
      <c r="BE19" s="4" t="s">
        <v>232</v>
      </c>
      <c r="BF19" s="4" t="s">
        <v>232</v>
      </c>
      <c r="BG19" s="4" t="s">
        <v>232</v>
      </c>
      <c r="BH19" s="4" t="s">
        <v>232</v>
      </c>
      <c r="BI19" s="4" t="s">
        <v>232</v>
      </c>
      <c r="BJ19" s="4" t="s">
        <v>232</v>
      </c>
      <c r="BK19" s="4" t="s">
        <v>232</v>
      </c>
      <c r="BL19" s="4" t="s">
        <v>232</v>
      </c>
      <c r="BM19" s="4"/>
      <c r="BN19" s="4" t="s">
        <v>232</v>
      </c>
      <c r="BO19" s="4" t="s">
        <v>232</v>
      </c>
    </row>
    <row r="20" spans="1:67" x14ac:dyDescent="0.25">
      <c r="A20" s="4" t="s">
        <v>129</v>
      </c>
      <c r="B20" s="4">
        <v>2021</v>
      </c>
      <c r="C20" s="4" t="s">
        <v>1246</v>
      </c>
      <c r="D20" s="4" t="s">
        <v>223</v>
      </c>
      <c r="E20" s="4" t="s">
        <v>1247</v>
      </c>
      <c r="F20" s="4" t="s">
        <v>1248</v>
      </c>
      <c r="G20" s="4" t="s">
        <v>1248</v>
      </c>
      <c r="H20" s="4"/>
      <c r="I20" s="4" t="s">
        <v>1248</v>
      </c>
      <c r="J20" s="4" t="s">
        <v>1248</v>
      </c>
      <c r="K20" s="4" t="s">
        <v>1246</v>
      </c>
      <c r="L20" s="4"/>
      <c r="M20" s="4"/>
      <c r="N20" s="4"/>
      <c r="O20" s="4" t="s">
        <v>225</v>
      </c>
      <c r="P20" s="4" t="s">
        <v>1246</v>
      </c>
      <c r="Q20" s="4" t="s">
        <v>1247</v>
      </c>
      <c r="R20" s="4" t="s">
        <v>1247</v>
      </c>
      <c r="S20" s="4" t="s">
        <v>1247</v>
      </c>
      <c r="T20" s="4" t="s">
        <v>1247</v>
      </c>
      <c r="U20" s="4" t="s">
        <v>1247</v>
      </c>
      <c r="V20" s="4"/>
      <c r="W20" s="4"/>
      <c r="X20" s="4"/>
      <c r="Y20" s="4"/>
      <c r="Z20" s="4"/>
      <c r="AA20" s="4" t="s">
        <v>1249</v>
      </c>
      <c r="AB20" s="4" t="s">
        <v>1249</v>
      </c>
      <c r="AC20" s="17" t="s">
        <v>1249</v>
      </c>
      <c r="AD20" s="4"/>
      <c r="AE20" s="4" t="s">
        <v>1250</v>
      </c>
      <c r="AF20" s="4" t="s">
        <v>1250</v>
      </c>
      <c r="AG20" s="4" t="s">
        <v>1250</v>
      </c>
      <c r="AH20" s="4"/>
      <c r="AI20" s="4"/>
      <c r="AJ20" s="4" t="s">
        <v>1250</v>
      </c>
      <c r="AK20" s="4"/>
      <c r="AL20" s="4"/>
      <c r="AM20" s="4" t="s">
        <v>1250</v>
      </c>
      <c r="AN20" s="4"/>
      <c r="AO20" s="4"/>
      <c r="AP20" s="4"/>
      <c r="AQ20" s="4"/>
      <c r="AR20" s="4" t="s">
        <v>1251</v>
      </c>
      <c r="AS20" s="4" t="s">
        <v>1251</v>
      </c>
      <c r="AT20" s="4" t="s">
        <v>1251</v>
      </c>
      <c r="AU20" s="4" t="s">
        <v>1251</v>
      </c>
      <c r="AV20" s="4" t="s">
        <v>1251</v>
      </c>
      <c r="AW20" s="4" t="s">
        <v>1251</v>
      </c>
      <c r="AX20" s="4"/>
      <c r="AY20" s="4" t="s">
        <v>1250</v>
      </c>
      <c r="AZ20" s="4" t="s">
        <v>1250</v>
      </c>
      <c r="BA20" s="4" t="s">
        <v>1250</v>
      </c>
      <c r="BB20" s="4" t="s">
        <v>1250</v>
      </c>
      <c r="BC20" s="4" t="s">
        <v>1250</v>
      </c>
      <c r="BD20" s="4" t="s">
        <v>1250</v>
      </c>
      <c r="BE20" s="4" t="s">
        <v>1250</v>
      </c>
      <c r="BF20" s="4" t="s">
        <v>1250</v>
      </c>
      <c r="BG20" s="4" t="s">
        <v>1250</v>
      </c>
      <c r="BH20" s="4" t="s">
        <v>1250</v>
      </c>
      <c r="BI20" s="4" t="s">
        <v>1250</v>
      </c>
      <c r="BJ20" s="4" t="s">
        <v>1250</v>
      </c>
      <c r="BK20" s="4" t="s">
        <v>1250</v>
      </c>
      <c r="BL20" s="4" t="s">
        <v>1250</v>
      </c>
      <c r="BM20" s="4"/>
      <c r="BN20" s="4" t="s">
        <v>1250</v>
      </c>
      <c r="BO20" s="4" t="s">
        <v>1250</v>
      </c>
    </row>
    <row r="21" spans="1:67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</row>
    <row r="28" spans="1:67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</row>
    <row r="29" spans="1:67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</row>
    <row r="30" spans="1:67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</row>
    <row r="32" spans="1:67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</row>
    <row r="33" spans="1:67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</row>
    <row r="34" spans="1:67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</row>
    <row r="35" spans="1:67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spans="1:67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spans="1:67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spans="1:67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spans="1:67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spans="1:67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spans="1:67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spans="1:67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spans="1:67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spans="1:67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spans="1:67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spans="1:67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spans="1:67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spans="1:67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spans="1:67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spans="1:67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spans="1:67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spans="1:67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spans="1:67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spans="1:67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spans="1:67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spans="1:67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spans="1:67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spans="1:67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spans="1:67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spans="1:67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spans="1:67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spans="1:67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spans="1:67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spans="1:67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spans="1:67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spans="1:67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spans="1:67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spans="1:67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spans="1:67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spans="1:67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spans="1:67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spans="1:67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spans="1:67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spans="1:67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spans="1:67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spans="1:67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spans="1:67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spans="1:67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spans="1:67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spans="1:67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spans="1:67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spans="1:67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spans="1:67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spans="1:67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spans="1:67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spans="1:67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spans="1:67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spans="1:67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spans="1:67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spans="1:67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spans="1:67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spans="1:67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spans="1:67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spans="1:67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spans="1:67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spans="1:67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spans="1:67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spans="1:67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spans="1:67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spans="1:67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spans="1:67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spans="1:67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spans="1:67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  <row r="105" spans="1:67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</row>
    <row r="106" spans="1:67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</row>
    <row r="107" spans="1:67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</row>
    <row r="108" spans="1:67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</row>
    <row r="109" spans="1:67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</row>
    <row r="110" spans="1:67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</row>
    <row r="111" spans="1:67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</row>
    <row r="112" spans="1:67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</row>
    <row r="113" spans="1:67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</row>
    <row r="114" spans="1:67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</row>
    <row r="115" spans="1:67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</row>
    <row r="116" spans="1:67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</row>
    <row r="117" spans="1:67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</row>
    <row r="118" spans="1:67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</row>
    <row r="119" spans="1:67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</row>
    <row r="120" spans="1:67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</row>
    <row r="121" spans="1:67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</row>
    <row r="122" spans="1:67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</row>
    <row r="123" spans="1:67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</row>
    <row r="124" spans="1:67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</row>
    <row r="125" spans="1:67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</row>
    <row r="126" spans="1:67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</row>
    <row r="127" spans="1:67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</row>
    <row r="128" spans="1:67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</row>
    <row r="129" spans="1:67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</row>
    <row r="130" spans="1:67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</row>
    <row r="131" spans="1:67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</row>
    <row r="132" spans="1:67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</row>
    <row r="133" spans="1:67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</row>
    <row r="134" spans="1:67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</row>
    <row r="135" spans="1:67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</row>
    <row r="136" spans="1:67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</row>
    <row r="137" spans="1:67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</row>
    <row r="138" spans="1:67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</row>
    <row r="139" spans="1:67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</row>
    <row r="140" spans="1:67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</row>
    <row r="141" spans="1:67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</row>
    <row r="142" spans="1:67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</row>
    <row r="143" spans="1:67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</row>
    <row r="144" spans="1:67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</row>
    <row r="145" spans="1:67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</row>
    <row r="146" spans="1:67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</row>
    <row r="147" spans="1:67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</row>
    <row r="148" spans="1:67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</row>
    <row r="149" spans="1:67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</row>
    <row r="150" spans="1:67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</row>
    <row r="151" spans="1:67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</row>
    <row r="152" spans="1:67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</row>
    <row r="153" spans="1:67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</row>
    <row r="154" spans="1:67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</row>
    <row r="155" spans="1:67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</row>
    <row r="156" spans="1:67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</row>
    <row r="157" spans="1:67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</row>
    <row r="158" spans="1:67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</row>
    <row r="159" spans="1:67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</row>
    <row r="160" spans="1:67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</row>
    <row r="161" spans="1:67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</row>
    <row r="162" spans="1:67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</row>
    <row r="163" spans="1:67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</row>
    <row r="164" spans="1:67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</row>
    <row r="165" spans="1:67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</row>
    <row r="166" spans="1:67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</row>
    <row r="167" spans="1:67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</row>
    <row r="168" spans="1:67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</row>
    <row r="169" spans="1:67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</row>
    <row r="170" spans="1:6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</row>
    <row r="171" spans="1:6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</row>
    <row r="172" spans="1:6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</row>
    <row r="173" spans="1:6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</row>
    <row r="174" spans="1:6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</row>
    <row r="175" spans="1:6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</row>
    <row r="176" spans="1:6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</row>
    <row r="177" spans="1:6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</row>
    <row r="178" spans="1:6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</row>
    <row r="179" spans="1:6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</row>
    <row r="180" spans="1:6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</row>
    <row r="181" spans="1:6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</row>
    <row r="182" spans="1:6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</row>
    <row r="183" spans="1:6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</row>
    <row r="184" spans="1:6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</row>
    <row r="185" spans="1:6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</row>
    <row r="186" spans="1:6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</row>
    <row r="187" spans="1:6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</row>
    <row r="188" spans="1:6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</row>
    <row r="189" spans="1:6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</row>
    <row r="190" spans="1:6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</row>
    <row r="191" spans="1:6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</row>
    <row r="192" spans="1:6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</row>
    <row r="193" spans="1:6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</row>
    <row r="194" spans="1:6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</row>
    <row r="195" spans="1:6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</row>
    <row r="196" spans="1:6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</row>
    <row r="197" spans="1:6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</row>
    <row r="198" spans="1:6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</row>
    <row r="199" spans="1:6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</row>
    <row r="200" spans="1:6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</row>
    <row r="201" spans="1:6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</row>
    <row r="202" spans="1:6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</row>
    <row r="203" spans="1:6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</row>
    <row r="204" spans="1:6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</row>
    <row r="205" spans="1:6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</row>
    <row r="206" spans="1:6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</row>
    <row r="207" spans="1:6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</row>
    <row r="208" spans="1:6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</row>
    <row r="209" spans="1:6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</row>
    <row r="210" spans="1:6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</row>
    <row r="211" spans="1:6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</row>
    <row r="212" spans="1:6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</row>
    <row r="213" spans="1:6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</row>
    <row r="214" spans="1:6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</row>
    <row r="215" spans="1:6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</row>
    <row r="216" spans="1:6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</row>
    <row r="217" spans="1:6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</row>
    <row r="218" spans="1:6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</row>
    <row r="219" spans="1:6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</row>
    <row r="220" spans="1:6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</row>
    <row r="221" spans="1:6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</row>
    <row r="222" spans="1:6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</row>
    <row r="223" spans="1:6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</row>
    <row r="224" spans="1:6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</row>
    <row r="225" spans="1:6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</row>
    <row r="226" spans="1:6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</row>
    <row r="227" spans="1:6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</row>
    <row r="228" spans="1:6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</row>
    <row r="229" spans="1:6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</row>
    <row r="230" spans="1:6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</row>
    <row r="231" spans="1:6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</row>
    <row r="232" spans="1:6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</row>
    <row r="233" spans="1:6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</row>
    <row r="234" spans="1:6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</row>
    <row r="235" spans="1:6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</row>
    <row r="236" spans="1:6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</row>
    <row r="237" spans="1:6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</row>
    <row r="238" spans="1:6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</row>
    <row r="239" spans="1:6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</row>
    <row r="240" spans="1:6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</row>
    <row r="241" spans="1:6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</row>
    <row r="242" spans="1:6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</row>
    <row r="243" spans="1:6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</row>
    <row r="244" spans="1:6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</row>
    <row r="245" spans="1:6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</row>
    <row r="246" spans="1:6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</row>
    <row r="247" spans="1:6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</row>
    <row r="248" spans="1:6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</row>
    <row r="249" spans="1:6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</row>
    <row r="250" spans="1:6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</row>
    <row r="251" spans="1:6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</row>
    <row r="252" spans="1:6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</row>
    <row r="253" spans="1:6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</row>
    <row r="254" spans="1:6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</row>
    <row r="255" spans="1:6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</row>
    <row r="256" spans="1:6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</row>
    <row r="257" spans="1:6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</row>
    <row r="258" spans="1:6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</row>
    <row r="259" spans="1:6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</row>
    <row r="260" spans="1:6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</row>
    <row r="261" spans="1:6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</row>
    <row r="262" spans="1:6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</row>
    <row r="263" spans="1:6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</row>
    <row r="264" spans="1:6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</row>
    <row r="265" spans="1:6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</row>
    <row r="266" spans="1:6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</row>
    <row r="267" spans="1:6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</row>
    <row r="268" spans="1:6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</row>
    <row r="269" spans="1:6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</row>
    <row r="270" spans="1:6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</row>
    <row r="271" spans="1:6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</row>
    <row r="272" spans="1:6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</row>
    <row r="273" spans="1:6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</row>
    <row r="274" spans="1:6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</row>
    <row r="275" spans="1:6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</row>
    <row r="276" spans="1:6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</row>
    <row r="277" spans="1:6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</row>
    <row r="278" spans="1:6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</row>
    <row r="279" spans="1:6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</row>
    <row r="280" spans="1:6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</row>
    <row r="281" spans="1:6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</row>
    <row r="282" spans="1:6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</row>
    <row r="283" spans="1:6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</row>
    <row r="284" spans="1:6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</row>
    <row r="285" spans="1:6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</row>
    <row r="286" spans="1:6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</row>
    <row r="287" spans="1:6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</row>
    <row r="288" spans="1:6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</row>
    <row r="289" spans="1:6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</row>
    <row r="290" spans="1:6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</row>
    <row r="291" spans="1:6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</row>
    <row r="292" spans="1:6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</row>
    <row r="293" spans="1:6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</row>
    <row r="294" spans="1:6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</row>
    <row r="295" spans="1:6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</row>
    <row r="296" spans="1:6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</row>
    <row r="297" spans="1:6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</row>
    <row r="298" spans="1:6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</row>
    <row r="299" spans="1:6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</row>
    <row r="300" spans="1:6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</row>
    <row r="301" spans="1:6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</row>
    <row r="302" spans="1:6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</row>
    <row r="303" spans="1:6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</row>
    <row r="304" spans="1:6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</row>
    <row r="305" spans="1:6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</row>
    <row r="306" spans="1:6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</row>
    <row r="307" spans="1:6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</row>
    <row r="308" spans="1:6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</row>
    <row r="309" spans="1:6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</row>
    <row r="310" spans="1:6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</row>
    <row r="311" spans="1:6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</row>
    <row r="312" spans="1:6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</row>
    <row r="313" spans="1:6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</row>
    <row r="314" spans="1:6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</row>
    <row r="315" spans="1:6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</row>
    <row r="316" spans="1:6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</row>
    <row r="317" spans="1:6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</row>
    <row r="318" spans="1:6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</row>
    <row r="319" spans="1:6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</row>
    <row r="320" spans="1:6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</row>
    <row r="321" spans="1:6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</row>
    <row r="322" spans="1:6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</row>
    <row r="323" spans="1:6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</row>
    <row r="324" spans="1:6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</row>
    <row r="325" spans="1:6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</row>
    <row r="326" spans="1:6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</row>
    <row r="327" spans="1:6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</row>
    <row r="328" spans="1:6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</row>
    <row r="329" spans="1:6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</row>
    <row r="330" spans="1:6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</row>
    <row r="331" spans="1:6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</row>
    <row r="332" spans="1:6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</row>
    <row r="333" spans="1:6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</row>
    <row r="334" spans="1:6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</row>
    <row r="335" spans="1:6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</row>
    <row r="336" spans="1:6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</row>
    <row r="337" spans="1:6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</row>
    <row r="338" spans="1:6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</row>
    <row r="339" spans="1:6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</row>
    <row r="340" spans="1:6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</row>
    <row r="341" spans="1:6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</row>
    <row r="342" spans="1:6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</row>
    <row r="343" spans="1:6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</row>
    <row r="344" spans="1:6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</row>
    <row r="345" spans="1:6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</row>
    <row r="346" spans="1:6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</row>
    <row r="347" spans="1:6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</row>
    <row r="348" spans="1:6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</row>
    <row r="349" spans="1:6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</row>
    <row r="350" spans="1:6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</row>
    <row r="351" spans="1:6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</row>
    <row r="352" spans="1:6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</row>
    <row r="353" spans="1:6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</row>
    <row r="354" spans="1:6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</row>
    <row r="355" spans="1:6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</row>
    <row r="356" spans="1:6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</row>
    <row r="357" spans="1:6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</row>
    <row r="358" spans="1:6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</row>
    <row r="359" spans="1:6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</row>
    <row r="360" spans="1:6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</row>
    <row r="361" spans="1:6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</row>
    <row r="362" spans="1:6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</row>
    <row r="363" spans="1:6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</row>
    <row r="364" spans="1:6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</row>
    <row r="365" spans="1:6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</row>
    <row r="366" spans="1:6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</row>
    <row r="367" spans="1:6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</row>
    <row r="368" spans="1:6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</row>
    <row r="369" spans="1:6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</row>
    <row r="370" spans="1:6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</row>
    <row r="371" spans="1:6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</row>
    <row r="372" spans="1:6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</row>
    <row r="373" spans="1:6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</row>
    <row r="374" spans="1:6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</row>
    <row r="375" spans="1:6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</row>
    <row r="376" spans="1:6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</row>
    <row r="377" spans="1:6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</row>
    <row r="378" spans="1:6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</row>
    <row r="379" spans="1:6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</row>
    <row r="380" spans="1:6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</row>
    <row r="381" spans="1:6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</row>
    <row r="382" spans="1:6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</row>
    <row r="383" spans="1:6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</row>
    <row r="384" spans="1:6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</row>
    <row r="385" spans="1:6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</row>
    <row r="386" spans="1:6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</row>
    <row r="387" spans="1:6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</row>
    <row r="388" spans="1:6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</row>
    <row r="389" spans="1:6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</row>
    <row r="390" spans="1:6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</row>
    <row r="391" spans="1:6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</row>
    <row r="392" spans="1:6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</row>
    <row r="393" spans="1:6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</row>
    <row r="394" spans="1:6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</row>
    <row r="395" spans="1:6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</row>
    <row r="396" spans="1:6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</row>
    <row r="397" spans="1:6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</row>
    <row r="398" spans="1:6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</row>
    <row r="399" spans="1:6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</row>
    <row r="400" spans="1:6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</row>
    <row r="401" spans="1:6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</row>
    <row r="402" spans="1:6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</row>
    <row r="403" spans="1:6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</row>
    <row r="404" spans="1:6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</row>
    <row r="405" spans="1:6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</row>
    <row r="406" spans="1:6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</row>
    <row r="407" spans="1:6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</row>
    <row r="408" spans="1:6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</row>
    <row r="409" spans="1:6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</row>
    <row r="410" spans="1:6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</row>
    <row r="411" spans="1:6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</row>
    <row r="412" spans="1:6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</row>
    <row r="413" spans="1:6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</row>
    <row r="414" spans="1:6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</row>
    <row r="415" spans="1:6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</row>
    <row r="416" spans="1:6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</row>
    <row r="417" spans="1:6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</row>
    <row r="418" spans="1:6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</row>
    <row r="419" spans="1:6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</row>
    <row r="420" spans="1:6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</row>
    <row r="421" spans="1:6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</row>
    <row r="422" spans="1:6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</row>
    <row r="423" spans="1:6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</row>
    <row r="424" spans="1:6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</row>
    <row r="425" spans="1:6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</row>
    <row r="426" spans="1:6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</row>
    <row r="427" spans="1:6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</row>
    <row r="428" spans="1:6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</row>
    <row r="429" spans="1:6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</row>
    <row r="430" spans="1:6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</row>
    <row r="431" spans="1:6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</row>
    <row r="432" spans="1:6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</row>
    <row r="433" spans="1:6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</row>
    <row r="434" spans="1:6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</row>
    <row r="435" spans="1:6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</row>
    <row r="436" spans="1:6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</row>
    <row r="437" spans="1:6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</row>
    <row r="438" spans="1:6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</row>
    <row r="439" spans="1:6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</row>
    <row r="440" spans="1:6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</row>
    <row r="441" spans="1:6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</row>
    <row r="442" spans="1:6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</row>
    <row r="443" spans="1:6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</row>
    <row r="444" spans="1:6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</row>
    <row r="445" spans="1:6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</row>
    <row r="446" spans="1:6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</row>
    <row r="447" spans="1:6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</row>
    <row r="448" spans="1:6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</row>
    <row r="449" spans="1:6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</row>
    <row r="450" spans="1:6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</row>
    <row r="451" spans="1:6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</row>
    <row r="452" spans="1:6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</row>
    <row r="453" spans="1:6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</row>
    <row r="454" spans="1:6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</row>
    <row r="455" spans="1:6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</row>
    <row r="456" spans="1:6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</row>
    <row r="457" spans="1:6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</row>
    <row r="458" spans="1:6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</row>
    <row r="459" spans="1:6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</row>
    <row r="460" spans="1:6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</row>
    <row r="461" spans="1:6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</row>
    <row r="462" spans="1:6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</row>
    <row r="463" spans="1:6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</row>
    <row r="464" spans="1:6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</row>
    <row r="465" spans="1:6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</row>
    <row r="466" spans="1:6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</row>
    <row r="467" spans="1:6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</row>
    <row r="468" spans="1:6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</row>
    <row r="469" spans="1:6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</row>
    <row r="470" spans="1:6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</row>
    <row r="471" spans="1:6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</row>
    <row r="472" spans="1:6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</row>
    <row r="473" spans="1:6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</row>
    <row r="474" spans="1:6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</row>
    <row r="475" spans="1:6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</row>
    <row r="476" spans="1:6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</row>
    <row r="477" spans="1:6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</row>
    <row r="478" spans="1:6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</row>
    <row r="479" spans="1:6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</row>
    <row r="480" spans="1:6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</row>
    <row r="481" spans="1:6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</row>
    <row r="482" spans="1:6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</row>
    <row r="483" spans="1:6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</row>
    <row r="484" spans="1:6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</row>
    <row r="485" spans="1:6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</row>
    <row r="486" spans="1:6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</row>
    <row r="487" spans="1:6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</row>
    <row r="488" spans="1:6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</row>
    <row r="489" spans="1:6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</row>
    <row r="490" spans="1:6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</row>
    <row r="491" spans="1:6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</row>
    <row r="492" spans="1:6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</row>
    <row r="493" spans="1:6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</row>
    <row r="494" spans="1:6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</row>
    <row r="495" spans="1:6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spans="1:6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  <row r="497" spans="1:6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</row>
    <row r="498" spans="1:6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</row>
    <row r="499" spans="1:6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</row>
    <row r="500" spans="1:6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</row>
    <row r="501" spans="1:6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</row>
    <row r="502" spans="1:6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</row>
    <row r="503" spans="1:6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</row>
    <row r="504" spans="1:6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</row>
    <row r="505" spans="1:6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</row>
    <row r="506" spans="1:6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</row>
    <row r="507" spans="1:6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</row>
    <row r="508" spans="1:6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</row>
    <row r="509" spans="1:6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</row>
    <row r="510" spans="1:6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</row>
    <row r="511" spans="1:6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</row>
    <row r="512" spans="1:6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</row>
    <row r="513" spans="1:67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</row>
    <row r="514" spans="1:67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</row>
    <row r="515" spans="1:67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</row>
    <row r="516" spans="1:67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</row>
    <row r="517" spans="1:67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</row>
    <row r="518" spans="1:67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</row>
    <row r="519" spans="1:67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</row>
    <row r="520" spans="1:67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</row>
    <row r="521" spans="1:67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</row>
    <row r="522" spans="1:67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</row>
    <row r="523" spans="1:67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</row>
    <row r="524" spans="1:67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</row>
    <row r="525" spans="1:67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</row>
    <row r="526" spans="1:67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</row>
    <row r="527" spans="1:67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</row>
    <row r="528" spans="1:67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</row>
    <row r="529" spans="1:67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</row>
    <row r="530" spans="1:67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</row>
    <row r="531" spans="1:67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</row>
    <row r="532" spans="1:67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</row>
    <row r="533" spans="1:67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</row>
    <row r="534" spans="1:67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</row>
    <row r="535" spans="1:67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</row>
    <row r="536" spans="1:67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</row>
    <row r="537" spans="1:67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</row>
    <row r="538" spans="1:67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</row>
    <row r="539" spans="1:67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</row>
    <row r="540" spans="1:67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</row>
    <row r="541" spans="1:67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</row>
    <row r="542" spans="1:67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</row>
    <row r="543" spans="1:67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</row>
    <row r="544" spans="1:67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</row>
    <row r="545" spans="1:67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</row>
    <row r="546" spans="1:67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</row>
    <row r="547" spans="1:67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</row>
    <row r="548" spans="1:67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</row>
    <row r="549" spans="1:67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</row>
    <row r="550" spans="1:67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</row>
    <row r="551" spans="1:67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</row>
    <row r="552" spans="1:67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</row>
    <row r="553" spans="1:67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</row>
    <row r="554" spans="1:67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</row>
    <row r="555" spans="1:67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</row>
    <row r="556" spans="1:67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</row>
    <row r="557" spans="1:67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</row>
    <row r="558" spans="1:67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</row>
    <row r="559" spans="1:67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</row>
    <row r="560" spans="1:67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</row>
    <row r="561" spans="1:67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</row>
    <row r="562" spans="1:67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</row>
    <row r="563" spans="1:67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</row>
    <row r="564" spans="1:67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</row>
    <row r="565" spans="1:67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</row>
    <row r="566" spans="1:67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</row>
    <row r="567" spans="1:67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</row>
    <row r="568" spans="1:67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</row>
    <row r="569" spans="1:67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</row>
    <row r="570" spans="1:67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</row>
    <row r="571" spans="1:67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</row>
    <row r="572" spans="1:67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</row>
    <row r="573" spans="1:67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</row>
    <row r="574" spans="1:67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</row>
    <row r="575" spans="1:67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</row>
    <row r="576" spans="1:67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</row>
    <row r="577" spans="1:67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</row>
    <row r="578" spans="1:67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</row>
    <row r="579" spans="1:67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</row>
    <row r="580" spans="1:67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</row>
    <row r="581" spans="1:67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</row>
    <row r="582" spans="1:67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</row>
    <row r="583" spans="1:67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</row>
    <row r="584" spans="1:67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</row>
    <row r="585" spans="1:67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</row>
    <row r="586" spans="1:67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</row>
    <row r="587" spans="1:67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</row>
    <row r="588" spans="1:67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</row>
    <row r="589" spans="1:67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</row>
    <row r="590" spans="1:67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</row>
    <row r="591" spans="1:67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</row>
    <row r="592" spans="1:67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</row>
    <row r="593" spans="1:67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</row>
    <row r="594" spans="1:67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</row>
    <row r="595" spans="1:67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</row>
    <row r="596" spans="1:67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</row>
    <row r="597" spans="1:67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</row>
    <row r="598" spans="1:67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</row>
    <row r="599" spans="1:67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</row>
    <row r="600" spans="1:67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</row>
    <row r="601" spans="1:67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</row>
    <row r="602" spans="1:67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</row>
    <row r="603" spans="1:67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</row>
    <row r="604" spans="1:67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</row>
    <row r="605" spans="1:67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</row>
    <row r="606" spans="1:67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</row>
    <row r="607" spans="1:67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</row>
    <row r="608" spans="1:67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</row>
    <row r="609" spans="1:67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</row>
    <row r="610" spans="1:67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</row>
    <row r="611" spans="1:67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</row>
    <row r="612" spans="1:67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</row>
    <row r="613" spans="1:67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</row>
    <row r="614" spans="1:67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</row>
    <row r="615" spans="1:67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</row>
    <row r="616" spans="1:67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</row>
    <row r="617" spans="1:67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</row>
    <row r="618" spans="1:67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</row>
    <row r="619" spans="1:67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</row>
    <row r="620" spans="1:67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</row>
    <row r="621" spans="1:67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</row>
    <row r="622" spans="1:67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</row>
    <row r="623" spans="1:67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</row>
    <row r="624" spans="1:67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</row>
    <row r="625" spans="1:67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</row>
    <row r="626" spans="1:67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</row>
    <row r="627" spans="1:67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</row>
    <row r="628" spans="1:67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</row>
    <row r="629" spans="1:67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</row>
    <row r="630" spans="1:67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</row>
    <row r="631" spans="1:67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</row>
    <row r="632" spans="1:67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</row>
    <row r="633" spans="1:67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</row>
    <row r="634" spans="1:67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</row>
    <row r="635" spans="1:67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</row>
    <row r="636" spans="1:67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</row>
    <row r="637" spans="1:67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</row>
    <row r="638" spans="1:67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</row>
    <row r="639" spans="1:67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</row>
    <row r="640" spans="1:67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</row>
    <row r="641" spans="1:67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</row>
    <row r="642" spans="1:67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</row>
    <row r="643" spans="1:67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</row>
    <row r="644" spans="1:67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</row>
    <row r="645" spans="1:67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</row>
    <row r="646" spans="1:67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</row>
    <row r="647" spans="1:67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</row>
    <row r="648" spans="1:67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</row>
    <row r="649" spans="1:67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</row>
    <row r="650" spans="1:67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</row>
    <row r="651" spans="1:67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</row>
    <row r="652" spans="1:67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</row>
    <row r="653" spans="1:67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</row>
    <row r="654" spans="1:67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</row>
    <row r="655" spans="1:67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</row>
    <row r="656" spans="1:67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</row>
    <row r="657" spans="1:67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</row>
    <row r="658" spans="1:67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</row>
    <row r="659" spans="1:67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</row>
    <row r="660" spans="1:67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</row>
    <row r="661" spans="1:67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</row>
    <row r="662" spans="1:67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</row>
    <row r="663" spans="1:67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</row>
    <row r="664" spans="1:67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</row>
    <row r="665" spans="1:67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</row>
    <row r="666" spans="1:67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</row>
    <row r="667" spans="1:67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</row>
    <row r="668" spans="1:67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</row>
    <row r="669" spans="1:67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</row>
    <row r="670" spans="1:67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</row>
    <row r="671" spans="1:67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</row>
    <row r="672" spans="1:67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</row>
    <row r="673" spans="1:67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</row>
    <row r="674" spans="1:67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</row>
    <row r="675" spans="1:67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</row>
    <row r="676" spans="1:67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</row>
    <row r="677" spans="1:67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</row>
    <row r="678" spans="1:67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</row>
    <row r="679" spans="1:67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</row>
    <row r="680" spans="1:67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</row>
    <row r="681" spans="1:67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</row>
    <row r="682" spans="1:67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</row>
    <row r="683" spans="1:67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</row>
    <row r="684" spans="1:67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</row>
    <row r="685" spans="1:67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</row>
    <row r="686" spans="1:67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</row>
    <row r="687" spans="1:67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</row>
    <row r="688" spans="1:67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</row>
    <row r="689" spans="1:67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</row>
    <row r="690" spans="1:67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</row>
    <row r="691" spans="1:67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</row>
    <row r="692" spans="1:67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</row>
    <row r="693" spans="1:67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</row>
    <row r="694" spans="1:67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</row>
    <row r="695" spans="1:67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</row>
    <row r="696" spans="1:67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</row>
    <row r="697" spans="1:67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</row>
    <row r="698" spans="1:67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</row>
    <row r="699" spans="1:67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</row>
    <row r="700" spans="1:67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</row>
    <row r="701" spans="1:67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</row>
    <row r="702" spans="1:67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</row>
    <row r="703" spans="1:67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</row>
    <row r="704" spans="1:67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</row>
    <row r="705" spans="1:67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</row>
    <row r="706" spans="1:67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</row>
    <row r="707" spans="1:67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</row>
    <row r="708" spans="1:67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</row>
    <row r="709" spans="1:67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</row>
    <row r="710" spans="1:67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</row>
    <row r="711" spans="1:67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</row>
    <row r="712" spans="1:67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</row>
    <row r="713" spans="1:67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</row>
    <row r="714" spans="1:67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</row>
    <row r="715" spans="1:67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</row>
    <row r="716" spans="1:67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</row>
    <row r="717" spans="1:67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</row>
    <row r="718" spans="1:67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</row>
    <row r="719" spans="1:67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</row>
    <row r="720" spans="1:67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</row>
    <row r="721" spans="1:67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</row>
    <row r="722" spans="1:67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</row>
    <row r="723" spans="1:67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</row>
    <row r="724" spans="1:67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</row>
    <row r="725" spans="1:67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</row>
    <row r="726" spans="1:67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</row>
    <row r="727" spans="1:67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</row>
    <row r="728" spans="1:67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</row>
    <row r="729" spans="1:67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</row>
    <row r="730" spans="1:67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</row>
    <row r="731" spans="1:67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</row>
    <row r="732" spans="1:67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</row>
    <row r="733" spans="1:67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</row>
    <row r="734" spans="1:67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</row>
    <row r="735" spans="1:67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</row>
    <row r="736" spans="1:67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</row>
    <row r="737" spans="1:67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</row>
    <row r="738" spans="1:67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</row>
    <row r="739" spans="1:67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</row>
    <row r="740" spans="1:67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</row>
    <row r="741" spans="1:67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</row>
    <row r="742" spans="1:67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</row>
    <row r="743" spans="1:67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</row>
    <row r="744" spans="1:67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</row>
    <row r="745" spans="1:67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</row>
    <row r="746" spans="1:67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</row>
    <row r="747" spans="1:67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</row>
    <row r="748" spans="1:67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</row>
    <row r="749" spans="1:67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</row>
    <row r="750" spans="1:67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</row>
    <row r="751" spans="1:67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</row>
    <row r="752" spans="1:67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</row>
    <row r="753" spans="1:67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</row>
    <row r="754" spans="1:67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</row>
    <row r="755" spans="1:67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</row>
    <row r="756" spans="1:67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</row>
    <row r="757" spans="1:67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</row>
    <row r="758" spans="1:67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</row>
    <row r="759" spans="1:67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</row>
    <row r="760" spans="1:67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</row>
    <row r="761" spans="1:67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</row>
    <row r="762" spans="1:67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</row>
    <row r="763" spans="1:67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</row>
    <row r="764" spans="1:67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</row>
    <row r="765" spans="1:67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</row>
    <row r="766" spans="1:67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</row>
    <row r="767" spans="1:67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</row>
    <row r="768" spans="1:67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</row>
    <row r="769" spans="1:67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</row>
    <row r="770" spans="1:67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</row>
    <row r="771" spans="1:67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</row>
    <row r="772" spans="1:67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</row>
    <row r="773" spans="1:67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</row>
    <row r="774" spans="1:67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</row>
    <row r="775" spans="1:67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</row>
    <row r="776" spans="1:67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</row>
    <row r="777" spans="1:67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</row>
    <row r="778" spans="1:67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</row>
    <row r="779" spans="1:67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</row>
    <row r="780" spans="1:67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</row>
    <row r="781" spans="1:67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</row>
    <row r="782" spans="1:67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</row>
    <row r="783" spans="1:67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</row>
    <row r="784" spans="1:67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</row>
    <row r="785" spans="1:67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</row>
    <row r="786" spans="1:67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</row>
    <row r="787" spans="1:67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</row>
    <row r="788" spans="1:67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</row>
    <row r="789" spans="1:67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</row>
    <row r="790" spans="1:67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</row>
    <row r="791" spans="1:67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</row>
    <row r="792" spans="1:67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</row>
    <row r="793" spans="1:67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</row>
    <row r="794" spans="1:67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</row>
    <row r="795" spans="1:67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</row>
    <row r="796" spans="1:67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</row>
    <row r="797" spans="1:67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</row>
    <row r="798" spans="1:67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</row>
    <row r="799" spans="1:67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</row>
    <row r="800" spans="1:67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</row>
    <row r="801" spans="1:67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</row>
    <row r="802" spans="1:67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</row>
    <row r="803" spans="1:67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</row>
    <row r="804" spans="1:67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</row>
    <row r="805" spans="1:67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</row>
    <row r="806" spans="1:67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</row>
    <row r="807" spans="1:67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</row>
    <row r="808" spans="1:67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</row>
    <row r="809" spans="1:67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</row>
    <row r="810" spans="1:67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</row>
    <row r="811" spans="1:67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</row>
    <row r="812" spans="1:67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</row>
    <row r="813" spans="1:67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</row>
    <row r="814" spans="1:67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</row>
    <row r="815" spans="1:67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</row>
    <row r="816" spans="1:67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</row>
    <row r="817" spans="1:67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</row>
    <row r="818" spans="1:67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</row>
    <row r="819" spans="1:67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</row>
    <row r="820" spans="1:67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</row>
    <row r="821" spans="1:67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</row>
    <row r="822" spans="1:67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</row>
    <row r="823" spans="1:67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</row>
    <row r="824" spans="1:67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</row>
    <row r="825" spans="1:67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</row>
    <row r="826" spans="1:67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</row>
    <row r="827" spans="1:67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</row>
    <row r="828" spans="1:67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</row>
    <row r="829" spans="1:67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</row>
    <row r="830" spans="1:67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</row>
    <row r="831" spans="1:67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</row>
    <row r="832" spans="1:67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</row>
    <row r="833" spans="1:67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</row>
    <row r="834" spans="1:67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</row>
    <row r="835" spans="1:67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</row>
    <row r="836" spans="1:67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</row>
    <row r="837" spans="1:67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</row>
    <row r="838" spans="1:67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</row>
    <row r="839" spans="1:67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</row>
    <row r="840" spans="1:67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</row>
    <row r="841" spans="1:67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</row>
    <row r="842" spans="1:67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</row>
    <row r="843" spans="1:67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</row>
    <row r="844" spans="1:67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</row>
    <row r="845" spans="1:67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</row>
    <row r="846" spans="1:67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</row>
    <row r="847" spans="1:67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</row>
    <row r="848" spans="1:67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</row>
    <row r="849" spans="1:67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</row>
    <row r="850" spans="1:67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</row>
    <row r="851" spans="1:67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</row>
    <row r="852" spans="1:67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</row>
    <row r="853" spans="1:67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</row>
    <row r="854" spans="1:67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</row>
    <row r="855" spans="1:67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</row>
    <row r="856" spans="1:67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</row>
    <row r="857" spans="1:67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</row>
    <row r="858" spans="1:67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</row>
    <row r="859" spans="1:67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</row>
    <row r="860" spans="1:67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</row>
    <row r="861" spans="1:67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</row>
    <row r="862" spans="1:67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</row>
    <row r="863" spans="1:67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</row>
    <row r="864" spans="1:67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</row>
    <row r="865" spans="1:67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</row>
    <row r="866" spans="1:67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</row>
    <row r="867" spans="1:67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</row>
    <row r="868" spans="1:67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</row>
    <row r="869" spans="1:67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</row>
    <row r="870" spans="1:67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</row>
    <row r="871" spans="1:67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</row>
    <row r="872" spans="1:67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</row>
    <row r="873" spans="1:67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</row>
    <row r="874" spans="1:67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</row>
    <row r="875" spans="1:67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</row>
    <row r="876" spans="1:67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</row>
    <row r="877" spans="1:67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</row>
    <row r="878" spans="1:67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</row>
    <row r="879" spans="1:67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</row>
    <row r="880" spans="1:67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</row>
    <row r="881" spans="1:67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</row>
    <row r="882" spans="1:67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</row>
    <row r="883" spans="1:67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</row>
    <row r="884" spans="1:67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</row>
    <row r="885" spans="1:67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</row>
    <row r="886" spans="1:67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</row>
    <row r="887" spans="1:67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</row>
    <row r="888" spans="1:67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</row>
    <row r="889" spans="1:67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</row>
    <row r="890" spans="1:67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</row>
    <row r="891" spans="1:67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</row>
    <row r="892" spans="1:67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</row>
    <row r="893" spans="1:67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</row>
    <row r="894" spans="1:67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</row>
    <row r="895" spans="1:67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</row>
    <row r="896" spans="1:67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</row>
    <row r="897" spans="1:67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</row>
    <row r="898" spans="1:67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</row>
    <row r="899" spans="1:67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</row>
    <row r="900" spans="1:67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</row>
    <row r="901" spans="1:67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</row>
    <row r="902" spans="1:67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</row>
    <row r="903" spans="1:67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</row>
    <row r="904" spans="1:67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</row>
    <row r="905" spans="1:67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</row>
    <row r="906" spans="1:67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</row>
    <row r="907" spans="1:67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</row>
    <row r="908" spans="1:67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</row>
    <row r="909" spans="1:67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</row>
    <row r="910" spans="1:67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</row>
    <row r="911" spans="1:67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</row>
    <row r="912" spans="1:67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</row>
    <row r="913" spans="1:67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</row>
    <row r="914" spans="1:67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</row>
    <row r="915" spans="1:67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</row>
    <row r="916" spans="1:67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</row>
    <row r="917" spans="1:67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</row>
    <row r="918" spans="1:67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</row>
    <row r="919" spans="1:67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</row>
    <row r="920" spans="1:67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</row>
    <row r="921" spans="1:67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</row>
    <row r="922" spans="1:67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</row>
    <row r="923" spans="1:67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</row>
    <row r="924" spans="1:67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</row>
    <row r="925" spans="1:67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</row>
    <row r="926" spans="1:67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</row>
    <row r="927" spans="1:67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</row>
    <row r="928" spans="1:67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</row>
    <row r="929" spans="1:67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</row>
    <row r="930" spans="1:67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</row>
    <row r="931" spans="1:67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</row>
    <row r="932" spans="1:67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</row>
    <row r="933" spans="1:67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</row>
    <row r="934" spans="1:67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</row>
    <row r="935" spans="1:67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</row>
    <row r="936" spans="1:67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</row>
    <row r="937" spans="1:67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</row>
    <row r="938" spans="1:67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</row>
    <row r="939" spans="1:67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</row>
    <row r="940" spans="1:67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</row>
    <row r="941" spans="1:67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</row>
    <row r="942" spans="1:67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</row>
    <row r="943" spans="1:67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</row>
    <row r="944" spans="1:67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</row>
    <row r="945" spans="1:67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</row>
    <row r="946" spans="1:67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</row>
    <row r="947" spans="1:67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</row>
    <row r="948" spans="1:67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</row>
    <row r="949" spans="1:67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</row>
    <row r="950" spans="1:67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</row>
    <row r="951" spans="1:67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</row>
    <row r="952" spans="1:67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</row>
    <row r="953" spans="1:67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</row>
    <row r="954" spans="1:67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</row>
    <row r="955" spans="1:67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</row>
    <row r="956" spans="1:67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</row>
    <row r="957" spans="1:67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</row>
    <row r="958" spans="1:67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</row>
    <row r="959" spans="1:67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</row>
    <row r="960" spans="1:67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</row>
    <row r="961" spans="1:67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</row>
    <row r="962" spans="1:67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</row>
    <row r="963" spans="1:67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</row>
    <row r="964" spans="1:67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</row>
    <row r="965" spans="1:67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</row>
    <row r="966" spans="1:67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</row>
    <row r="967" spans="1:67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</row>
    <row r="968" spans="1:67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</row>
    <row r="969" spans="1:67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</row>
    <row r="970" spans="1:67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</row>
    <row r="971" spans="1:67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</row>
    <row r="972" spans="1:67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</row>
    <row r="973" spans="1:67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</row>
    <row r="974" spans="1:67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</row>
    <row r="975" spans="1:67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</row>
    <row r="976" spans="1:67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</row>
    <row r="977" spans="1:67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</row>
    <row r="978" spans="1:67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</row>
    <row r="979" spans="1:67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</row>
    <row r="980" spans="1:67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</row>
    <row r="981" spans="1:67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</row>
    <row r="982" spans="1:67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</row>
    <row r="983" spans="1:67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</row>
    <row r="984" spans="1:67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</row>
    <row r="985" spans="1:67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</row>
    <row r="986" spans="1:67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</row>
    <row r="987" spans="1:67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</row>
    <row r="988" spans="1:67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</row>
    <row r="989" spans="1:67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</row>
    <row r="990" spans="1:67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</row>
    <row r="991" spans="1:67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</row>
    <row r="992" spans="1:67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</row>
    <row r="993" spans="1:67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</row>
    <row r="994" spans="1:67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</row>
    <row r="995" spans="1:67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</row>
    <row r="996" spans="1:67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</row>
    <row r="997" spans="1:67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</row>
    <row r="998" spans="1:67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</row>
    <row r="999" spans="1:67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</row>
    <row r="1000" spans="1:67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"/>
  <sheetViews>
    <sheetView zoomScale="80" zoomScaleNormal="80" workbookViewId="0"/>
  </sheetViews>
  <sheetFormatPr defaultColWidth="12.625" defaultRowHeight="15" x14ac:dyDescent="0.25"/>
  <cols>
    <col min="1" max="1" width="24.625" style="24" bestFit="1" customWidth="1"/>
    <col min="2" max="2" width="12.625" style="24" bestFit="1" customWidth="1"/>
    <col min="3" max="3" width="39.625" style="24" bestFit="1" customWidth="1"/>
    <col min="4" max="4" width="34.75" style="24" bestFit="1" customWidth="1"/>
    <col min="5" max="7" width="40.625" style="24" bestFit="1" customWidth="1"/>
    <col min="8" max="8" width="40.125" style="24" bestFit="1" customWidth="1"/>
    <col min="9" max="10" width="40.625" style="24" bestFit="1" customWidth="1"/>
    <col min="11" max="11" width="34.625" style="24" bestFit="1" customWidth="1"/>
    <col min="12" max="12" width="42.5" style="24" bestFit="1" customWidth="1"/>
    <col min="13" max="13" width="40.625" style="24" bestFit="1" customWidth="1"/>
    <col min="14" max="14" width="43.375" style="24" bestFit="1" customWidth="1"/>
    <col min="15" max="15" width="43.75" style="24" bestFit="1" customWidth="1"/>
    <col min="16" max="16" width="44.25" style="24" bestFit="1" customWidth="1"/>
    <col min="17" max="18" width="40.625" style="24" bestFit="1" customWidth="1"/>
    <col min="19" max="19" width="48.125" style="24" customWidth="1"/>
    <col min="20" max="20" width="25.25" style="24" bestFit="1" customWidth="1"/>
    <col min="21" max="21" width="24.625" style="24" bestFit="1" customWidth="1"/>
    <col min="22" max="22" width="149.75" style="24" bestFit="1" customWidth="1"/>
    <col min="23" max="24" width="36.5" style="24" bestFit="1" customWidth="1"/>
    <col min="25" max="25" width="15" style="24" bestFit="1" customWidth="1"/>
    <col min="26" max="26" width="16.375" style="24" bestFit="1" customWidth="1"/>
    <col min="27" max="27" width="36.5" style="24" bestFit="1" customWidth="1"/>
    <col min="28" max="28" width="49.375" style="24" bestFit="1" customWidth="1"/>
    <col min="29" max="29" width="32.625" style="24" bestFit="1" customWidth="1"/>
    <col min="30" max="30" width="59.25" style="24" bestFit="1" customWidth="1"/>
    <col min="31" max="31" width="78.875" style="24" bestFit="1" customWidth="1"/>
    <col min="32" max="32" width="40.125" style="24" bestFit="1" customWidth="1"/>
    <col min="33" max="33" width="66.75" style="24" bestFit="1" customWidth="1"/>
    <col min="34" max="34" width="47.5" style="24" bestFit="1" customWidth="1"/>
    <col min="35" max="37" width="36.5" style="24" bestFit="1" customWidth="1"/>
    <col min="38" max="38" width="83.75" style="24" bestFit="1" customWidth="1"/>
    <col min="39" max="39" width="44.25" style="24" bestFit="1" customWidth="1"/>
    <col min="40" max="40" width="30.125" style="24" bestFit="1" customWidth="1"/>
    <col min="41" max="41" width="69.625" style="24" bestFit="1" customWidth="1"/>
    <col min="42" max="42" width="41.875" style="24" bestFit="1" customWidth="1"/>
    <col min="43" max="43" width="40.25" style="24" customWidth="1"/>
    <col min="44" max="44" width="112.5" style="24" bestFit="1" customWidth="1"/>
    <col min="45" max="45" width="49.625" style="24" bestFit="1" customWidth="1"/>
    <col min="46" max="46" width="114.625" style="24" bestFit="1" customWidth="1"/>
    <col min="47" max="47" width="56.375" style="24" bestFit="1" customWidth="1"/>
    <col min="48" max="48" width="59.25" style="24" bestFit="1" customWidth="1"/>
    <col min="49" max="49" width="36.5" style="24" bestFit="1" customWidth="1"/>
    <col min="50" max="50" width="79" style="24" bestFit="1" customWidth="1"/>
    <col min="51" max="51" width="36.5" style="24" bestFit="1" customWidth="1"/>
    <col min="52" max="52" width="56" style="24" bestFit="1" customWidth="1"/>
    <col min="53" max="53" width="42.25" style="24" bestFit="1" customWidth="1"/>
    <col min="54" max="54" width="41.375" style="24" bestFit="1" customWidth="1"/>
    <col min="55" max="55" width="61.25" style="24" bestFit="1" customWidth="1"/>
    <col min="56" max="56" width="44.625" style="24" bestFit="1" customWidth="1"/>
    <col min="57" max="59" width="42.125" style="24" bestFit="1" customWidth="1"/>
    <col min="60" max="60" width="65.875" style="24" bestFit="1" customWidth="1"/>
    <col min="61" max="61" width="42.125" style="24" bestFit="1" customWidth="1"/>
    <col min="62" max="62" width="56.25" style="24" bestFit="1" customWidth="1"/>
    <col min="63" max="63" width="50.25" style="24" bestFit="1" customWidth="1"/>
    <col min="64" max="64" width="47.5" style="24" bestFit="1" customWidth="1"/>
    <col min="65" max="65" width="39.625" style="24" bestFit="1" customWidth="1"/>
    <col min="66" max="66" width="38.875" style="24" bestFit="1" customWidth="1"/>
    <col min="67" max="67" width="36.75" style="24" bestFit="1" customWidth="1"/>
    <col min="68" max="68" width="56.75" style="24" bestFit="1" customWidth="1"/>
    <col min="69" max="69" width="38.375" style="24" bestFit="1" customWidth="1"/>
    <col min="70" max="70" width="37.625" style="24" bestFit="1" customWidth="1"/>
    <col min="71" max="71" width="36.5" style="24" bestFit="1" customWidth="1"/>
    <col min="72" max="72" width="57.125" style="24" bestFit="1" customWidth="1"/>
    <col min="73" max="73" width="38.75" style="24" bestFit="1" customWidth="1"/>
    <col min="74" max="74" width="38" style="24" bestFit="1" customWidth="1"/>
    <col min="75" max="75" width="36.5" style="24" bestFit="1" customWidth="1"/>
    <col min="76" max="76" width="53.5" style="24" bestFit="1" customWidth="1"/>
    <col min="77" max="77" width="47.5" style="24" bestFit="1" customWidth="1"/>
    <col min="78" max="78" width="48.125" style="24" bestFit="1" customWidth="1"/>
    <col min="79" max="79" width="55.125" style="24" bestFit="1" customWidth="1"/>
    <col min="80" max="80" width="21.875" style="24" bestFit="1" customWidth="1"/>
    <col min="81" max="81" width="54.25" style="24" bestFit="1" customWidth="1"/>
    <col min="82" max="82" width="21.25" style="24" bestFit="1" customWidth="1"/>
    <col min="83" max="83" width="54.625" style="24" bestFit="1" customWidth="1"/>
    <col min="84" max="84" width="54.25" style="24" bestFit="1" customWidth="1"/>
    <col min="85" max="85" width="48" style="24" bestFit="1" customWidth="1"/>
    <col min="86" max="86" width="41.25" style="24" bestFit="1" customWidth="1"/>
    <col min="87" max="87" width="49.75" style="24" bestFit="1" customWidth="1"/>
    <col min="88" max="88" width="49.25" style="24" bestFit="1" customWidth="1"/>
    <col min="89" max="89" width="48.5" style="24" bestFit="1" customWidth="1"/>
    <col min="90" max="90" width="55.25" style="24" bestFit="1" customWidth="1"/>
    <col min="91" max="91" width="56.75" style="24" bestFit="1" customWidth="1"/>
    <col min="92" max="92" width="57.25" style="24" bestFit="1" customWidth="1"/>
    <col min="93" max="93" width="47.625" style="24" bestFit="1" customWidth="1"/>
    <col min="94" max="16384" width="12.625" style="24"/>
  </cols>
  <sheetData>
    <row r="1" spans="1:93" x14ac:dyDescent="0.25">
      <c r="A1" s="21" t="s">
        <v>0</v>
      </c>
      <c r="B1" s="21" t="s">
        <v>1</v>
      </c>
      <c r="C1" s="21" t="s">
        <v>235</v>
      </c>
      <c r="D1" s="21" t="s">
        <v>236</v>
      </c>
      <c r="E1" s="21" t="s">
        <v>237</v>
      </c>
      <c r="F1" s="21" t="s">
        <v>238</v>
      </c>
      <c r="G1" s="21" t="s">
        <v>239</v>
      </c>
      <c r="H1" s="21" t="s">
        <v>240</v>
      </c>
      <c r="I1" s="21" t="s">
        <v>241</v>
      </c>
      <c r="J1" s="21" t="s">
        <v>242</v>
      </c>
      <c r="K1" s="21" t="s">
        <v>243</v>
      </c>
      <c r="L1" s="21" t="s">
        <v>244</v>
      </c>
      <c r="M1" s="21" t="s">
        <v>245</v>
      </c>
      <c r="N1" s="21" t="s">
        <v>246</v>
      </c>
      <c r="O1" s="21" t="s">
        <v>247</v>
      </c>
      <c r="P1" s="21" t="s">
        <v>248</v>
      </c>
      <c r="Q1" s="21" t="s">
        <v>249</v>
      </c>
      <c r="R1" s="21" t="s">
        <v>250</v>
      </c>
      <c r="S1" s="21" t="s">
        <v>251</v>
      </c>
      <c r="T1" s="21" t="s">
        <v>252</v>
      </c>
      <c r="U1" s="21" t="s">
        <v>253</v>
      </c>
      <c r="V1" s="21" t="s">
        <v>254</v>
      </c>
      <c r="W1" s="21" t="s">
        <v>255</v>
      </c>
      <c r="X1" s="21" t="s">
        <v>256</v>
      </c>
      <c r="Y1" s="21" t="s">
        <v>257</v>
      </c>
      <c r="Z1" s="21" t="s">
        <v>258</v>
      </c>
      <c r="AA1" s="21" t="s">
        <v>259</v>
      </c>
      <c r="AB1" s="21" t="s">
        <v>260</v>
      </c>
      <c r="AC1" s="21" t="s">
        <v>261</v>
      </c>
      <c r="AD1" s="21" t="s">
        <v>262</v>
      </c>
      <c r="AE1" s="21" t="s">
        <v>263</v>
      </c>
      <c r="AF1" s="21" t="s">
        <v>264</v>
      </c>
      <c r="AG1" s="21" t="s">
        <v>265</v>
      </c>
      <c r="AH1" s="21" t="s">
        <v>266</v>
      </c>
      <c r="AI1" s="21" t="s">
        <v>267</v>
      </c>
      <c r="AJ1" s="21" t="s">
        <v>268</v>
      </c>
      <c r="AK1" s="21" t="s">
        <v>269</v>
      </c>
      <c r="AL1" s="21" t="s">
        <v>270</v>
      </c>
      <c r="AM1" s="21" t="s">
        <v>271</v>
      </c>
      <c r="AN1" s="21" t="s">
        <v>272</v>
      </c>
      <c r="AO1" s="21" t="s">
        <v>273</v>
      </c>
      <c r="AP1" s="21" t="s">
        <v>274</v>
      </c>
      <c r="AQ1" s="21" t="s">
        <v>275</v>
      </c>
      <c r="AR1" s="21" t="s">
        <v>276</v>
      </c>
      <c r="AS1" s="21" t="s">
        <v>277</v>
      </c>
      <c r="AT1" s="21" t="s">
        <v>278</v>
      </c>
      <c r="AU1" s="21" t="s">
        <v>279</v>
      </c>
      <c r="AV1" s="21" t="s">
        <v>280</v>
      </c>
      <c r="AW1" s="21" t="s">
        <v>281</v>
      </c>
      <c r="AX1" s="21" t="s">
        <v>282</v>
      </c>
      <c r="AY1" s="21" t="s">
        <v>283</v>
      </c>
      <c r="AZ1" s="21" t="s">
        <v>284</v>
      </c>
      <c r="BA1" s="21" t="s">
        <v>285</v>
      </c>
      <c r="BB1" s="21" t="s">
        <v>286</v>
      </c>
      <c r="BC1" s="21" t="s">
        <v>287</v>
      </c>
      <c r="BD1" s="21" t="s">
        <v>288</v>
      </c>
      <c r="BE1" s="21" t="s">
        <v>289</v>
      </c>
      <c r="BF1" s="21" t="s">
        <v>290</v>
      </c>
      <c r="BG1" s="21" t="s">
        <v>291</v>
      </c>
      <c r="BH1" s="21" t="s">
        <v>292</v>
      </c>
      <c r="BI1" s="21" t="s">
        <v>20</v>
      </c>
      <c r="BJ1" s="21"/>
      <c r="BK1" s="72" t="s">
        <v>293</v>
      </c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</row>
    <row r="2" spans="1:93" x14ac:dyDescent="0.25">
      <c r="A2" s="1" t="s">
        <v>64</v>
      </c>
      <c r="B2" s="1" t="s">
        <v>65</v>
      </c>
      <c r="C2" s="1" t="s">
        <v>294</v>
      </c>
      <c r="D2" s="1" t="s">
        <v>295</v>
      </c>
      <c r="E2" s="1" t="s">
        <v>296</v>
      </c>
      <c r="F2" s="1" t="s">
        <v>297</v>
      </c>
      <c r="G2" s="1" t="s">
        <v>298</v>
      </c>
      <c r="H2" s="1" t="s">
        <v>299</v>
      </c>
      <c r="I2" s="1" t="s">
        <v>300</v>
      </c>
      <c r="J2" s="1" t="s">
        <v>301</v>
      </c>
      <c r="K2" s="21" t="s">
        <v>302</v>
      </c>
      <c r="L2" s="1" t="s">
        <v>303</v>
      </c>
      <c r="M2" s="1" t="s">
        <v>304</v>
      </c>
      <c r="N2" s="1" t="s">
        <v>305</v>
      </c>
      <c r="O2" s="21" t="s">
        <v>306</v>
      </c>
      <c r="P2" s="21" t="s">
        <v>307</v>
      </c>
      <c r="Q2" s="1" t="s">
        <v>308</v>
      </c>
      <c r="R2" s="1" t="s">
        <v>309</v>
      </c>
      <c r="S2" s="1" t="s">
        <v>310</v>
      </c>
      <c r="T2" s="1" t="s">
        <v>311</v>
      </c>
      <c r="U2" s="1" t="s">
        <v>312</v>
      </c>
      <c r="V2" s="1" t="s">
        <v>313</v>
      </c>
      <c r="W2" s="1" t="s">
        <v>314</v>
      </c>
      <c r="X2" s="1" t="s">
        <v>315</v>
      </c>
      <c r="Y2" s="1" t="s">
        <v>316</v>
      </c>
      <c r="Z2" s="1" t="s">
        <v>317</v>
      </c>
      <c r="AA2" s="1" t="s">
        <v>318</v>
      </c>
      <c r="AB2" s="1" t="s">
        <v>319</v>
      </c>
      <c r="AC2" s="1" t="s">
        <v>320</v>
      </c>
      <c r="AD2" s="1" t="s">
        <v>321</v>
      </c>
      <c r="AE2" s="1" t="s">
        <v>322</v>
      </c>
      <c r="AF2" s="1" t="s">
        <v>323</v>
      </c>
      <c r="AG2" s="1" t="s">
        <v>324</v>
      </c>
      <c r="AH2" s="1" t="s">
        <v>325</v>
      </c>
      <c r="AI2" s="1" t="s">
        <v>326</v>
      </c>
      <c r="AJ2" s="1" t="s">
        <v>327</v>
      </c>
      <c r="AK2" s="1" t="s">
        <v>328</v>
      </c>
      <c r="AL2" s="1" t="s">
        <v>329</v>
      </c>
      <c r="AM2" s="1" t="s">
        <v>330</v>
      </c>
      <c r="AN2" s="1" t="s">
        <v>331</v>
      </c>
      <c r="AO2" s="1" t="s">
        <v>332</v>
      </c>
      <c r="AP2" s="1" t="s">
        <v>333</v>
      </c>
      <c r="AQ2" s="1" t="s">
        <v>334</v>
      </c>
      <c r="AR2" s="1" t="s">
        <v>335</v>
      </c>
      <c r="AS2" s="1" t="s">
        <v>336</v>
      </c>
      <c r="AT2" s="1" t="s">
        <v>337</v>
      </c>
      <c r="AU2" s="1" t="s">
        <v>338</v>
      </c>
      <c r="AV2" s="1" t="s">
        <v>339</v>
      </c>
      <c r="AW2" s="1" t="s">
        <v>340</v>
      </c>
      <c r="AX2" s="1" t="s">
        <v>341</v>
      </c>
      <c r="AY2" s="1" t="s">
        <v>342</v>
      </c>
      <c r="AZ2" s="1" t="s">
        <v>343</v>
      </c>
      <c r="BA2" s="1" t="s">
        <v>344</v>
      </c>
      <c r="BB2" s="1" t="s">
        <v>345</v>
      </c>
      <c r="BC2" s="1" t="s">
        <v>346</v>
      </c>
      <c r="BD2" s="1" t="s">
        <v>347</v>
      </c>
      <c r="BE2" s="1" t="s">
        <v>348</v>
      </c>
      <c r="BF2" s="1" t="s">
        <v>349</v>
      </c>
      <c r="BG2" s="1" t="s">
        <v>350</v>
      </c>
      <c r="BH2" s="1" t="s">
        <v>351</v>
      </c>
      <c r="BI2" s="1" t="s">
        <v>352</v>
      </c>
      <c r="BJ2" s="21" t="s">
        <v>353</v>
      </c>
      <c r="BK2" s="21" t="s">
        <v>354</v>
      </c>
      <c r="BL2" s="21" t="s">
        <v>355</v>
      </c>
      <c r="BM2" s="21" t="s">
        <v>356</v>
      </c>
      <c r="BN2" s="21" t="s">
        <v>357</v>
      </c>
      <c r="BO2" s="21" t="s">
        <v>358</v>
      </c>
      <c r="BP2" s="21" t="s">
        <v>359</v>
      </c>
      <c r="BQ2" s="21" t="s">
        <v>360</v>
      </c>
      <c r="BR2" s="21" t="s">
        <v>361</v>
      </c>
      <c r="BS2" s="21" t="s">
        <v>362</v>
      </c>
      <c r="BT2" s="21" t="s">
        <v>363</v>
      </c>
      <c r="BU2" s="21" t="s">
        <v>364</v>
      </c>
      <c r="BV2" s="21" t="s">
        <v>365</v>
      </c>
      <c r="BW2" s="21" t="s">
        <v>366</v>
      </c>
      <c r="BX2" s="21" t="s">
        <v>367</v>
      </c>
      <c r="BY2" s="21" t="s">
        <v>368</v>
      </c>
      <c r="BZ2" s="21" t="s">
        <v>369</v>
      </c>
      <c r="CA2" s="21" t="s">
        <v>370</v>
      </c>
      <c r="CB2" s="21" t="s">
        <v>371</v>
      </c>
      <c r="CC2" s="21" t="s">
        <v>372</v>
      </c>
      <c r="CD2" s="21" t="s">
        <v>373</v>
      </c>
      <c r="CE2" s="21" t="s">
        <v>374</v>
      </c>
      <c r="CF2" s="21" t="s">
        <v>375</v>
      </c>
      <c r="CG2" s="21" t="s">
        <v>376</v>
      </c>
      <c r="CH2" s="21" t="s">
        <v>377</v>
      </c>
      <c r="CI2" s="21" t="s">
        <v>378</v>
      </c>
      <c r="CJ2" s="21" t="s">
        <v>379</v>
      </c>
      <c r="CK2" s="21" t="s">
        <v>380</v>
      </c>
      <c r="CL2" s="21" t="s">
        <v>381</v>
      </c>
      <c r="CM2" s="21" t="s">
        <v>382</v>
      </c>
      <c r="CN2" s="21" t="s">
        <v>383</v>
      </c>
      <c r="CO2" s="21" t="s">
        <v>384</v>
      </c>
    </row>
    <row r="3" spans="1:93" ht="30" x14ac:dyDescent="0.25">
      <c r="A3" s="2"/>
      <c r="B3" s="2"/>
      <c r="C3" s="2"/>
      <c r="D3" s="2"/>
      <c r="E3" s="2"/>
      <c r="F3" s="2"/>
      <c r="G3" s="2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1" t="s">
        <v>385</v>
      </c>
      <c r="BK3" s="21" t="s">
        <v>386</v>
      </c>
      <c r="BL3" s="1" t="s">
        <v>387</v>
      </c>
      <c r="BM3" s="1"/>
      <c r="BN3" s="1"/>
      <c r="BO3" s="1"/>
      <c r="BP3" s="1" t="s">
        <v>388</v>
      </c>
      <c r="BQ3" s="1"/>
      <c r="BR3" s="1"/>
      <c r="BS3" s="1"/>
      <c r="BT3" s="1" t="s">
        <v>389</v>
      </c>
      <c r="BU3" s="1"/>
      <c r="BV3" s="1"/>
      <c r="BW3" s="1"/>
      <c r="BX3" s="21" t="s">
        <v>390</v>
      </c>
      <c r="BY3" s="21" t="s">
        <v>391</v>
      </c>
      <c r="BZ3" s="21" t="s">
        <v>392</v>
      </c>
      <c r="CA3" s="21" t="s">
        <v>393</v>
      </c>
      <c r="CB3" s="21"/>
      <c r="CC3" s="21" t="s">
        <v>394</v>
      </c>
      <c r="CD3" s="21"/>
      <c r="CE3" s="21" t="s">
        <v>395</v>
      </c>
      <c r="CF3" s="21" t="s">
        <v>396</v>
      </c>
      <c r="CG3" s="21" t="s">
        <v>397</v>
      </c>
      <c r="CH3" s="21" t="s">
        <v>398</v>
      </c>
      <c r="CI3" s="21" t="s">
        <v>399</v>
      </c>
      <c r="CJ3" s="21" t="s">
        <v>400</v>
      </c>
      <c r="CK3" s="21" t="s">
        <v>401</v>
      </c>
      <c r="CL3" s="21" t="s">
        <v>402</v>
      </c>
      <c r="CM3" s="21" t="s">
        <v>403</v>
      </c>
      <c r="CN3" s="21" t="s">
        <v>404</v>
      </c>
      <c r="CO3" s="21" t="s">
        <v>405</v>
      </c>
    </row>
    <row r="4" spans="1:93" x14ac:dyDescent="0.25">
      <c r="A4" s="4" t="s">
        <v>129</v>
      </c>
      <c r="B4" s="4">
        <v>2001</v>
      </c>
      <c r="C4" s="4" t="s">
        <v>406</v>
      </c>
      <c r="D4" s="4" t="s">
        <v>407</v>
      </c>
      <c r="E4" s="5" t="s">
        <v>408</v>
      </c>
      <c r="F4" s="5" t="s">
        <v>409</v>
      </c>
      <c r="G4" s="5" t="s">
        <v>410</v>
      </c>
      <c r="H4" s="6"/>
      <c r="I4" s="5" t="s">
        <v>411</v>
      </c>
      <c r="J4" s="5" t="s">
        <v>411</v>
      </c>
      <c r="K4" s="5"/>
      <c r="L4" s="7">
        <f>(6195+142461+53288+187796)*1000</f>
        <v>389740000</v>
      </c>
      <c r="M4" s="5"/>
      <c r="N4" s="5"/>
      <c r="O4" s="5"/>
      <c r="P4" s="5"/>
      <c r="Q4" s="5" t="s">
        <v>412</v>
      </c>
      <c r="R4" s="5" t="s">
        <v>410</v>
      </c>
      <c r="S4" s="4" t="s">
        <v>413</v>
      </c>
      <c r="T4" s="5"/>
      <c r="U4" s="5"/>
      <c r="V4" s="4" t="s">
        <v>414</v>
      </c>
      <c r="W4" s="4" t="s">
        <v>314</v>
      </c>
      <c r="X4" s="4" t="s">
        <v>415</v>
      </c>
      <c r="Y4" s="5"/>
      <c r="Z4" s="5"/>
      <c r="AA4" s="5">
        <v>0.03</v>
      </c>
      <c r="AB4" s="4" t="s">
        <v>416</v>
      </c>
      <c r="AC4" s="4" t="s">
        <v>416</v>
      </c>
      <c r="AD4" s="4"/>
      <c r="AE4" s="4"/>
      <c r="AF4" s="4" t="s">
        <v>416</v>
      </c>
      <c r="AG4" s="4"/>
      <c r="AH4" s="4" t="s">
        <v>416</v>
      </c>
      <c r="AI4" s="5">
        <v>0.03</v>
      </c>
      <c r="AJ4" s="5">
        <v>0.08</v>
      </c>
      <c r="AK4" s="5">
        <v>0.03</v>
      </c>
      <c r="AL4" s="4" t="s">
        <v>417</v>
      </c>
      <c r="AM4" s="4" t="s">
        <v>418</v>
      </c>
      <c r="AN4" s="4" t="s">
        <v>419</v>
      </c>
      <c r="AO4" s="4" t="s">
        <v>420</v>
      </c>
      <c r="AP4" s="4">
        <v>1994</v>
      </c>
      <c r="AQ4" s="4"/>
      <c r="AR4" s="4" t="s">
        <v>421</v>
      </c>
      <c r="AS4" s="4"/>
      <c r="AT4" s="4" t="s">
        <v>422</v>
      </c>
      <c r="AU4" s="4" t="s">
        <v>423</v>
      </c>
      <c r="AV4" s="4" t="s">
        <v>424</v>
      </c>
      <c r="AW4" s="5">
        <v>0.08</v>
      </c>
      <c r="AX4" s="4" t="s">
        <v>416</v>
      </c>
      <c r="AY4" s="5">
        <v>0.08</v>
      </c>
      <c r="AZ4" s="4" t="s">
        <v>425</v>
      </c>
      <c r="BA4" s="22" t="s">
        <v>426</v>
      </c>
      <c r="BB4" s="22" t="s">
        <v>427</v>
      </c>
      <c r="BC4" s="5">
        <f>(6482000+9875000)/(11029782000+17453855000)</f>
        <v>5.7425953012952668E-4</v>
      </c>
      <c r="BD4" s="4" t="s">
        <v>416</v>
      </c>
      <c r="BE4" s="7">
        <f>(11747242+18614489)*1000</f>
        <v>30361731000</v>
      </c>
      <c r="BF4" s="7">
        <f>(10998307+17530470)*1000</f>
        <v>28528777000</v>
      </c>
      <c r="BG4" s="7">
        <f>(-748935-1084019)*1000</f>
        <v>-1832954000</v>
      </c>
      <c r="BH4" s="5" t="s">
        <v>428</v>
      </c>
      <c r="BI4" s="7">
        <f>(2922448+4648059)*1000</f>
        <v>7570507000</v>
      </c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7"/>
      <c r="CH4" s="7"/>
      <c r="CI4" s="7"/>
      <c r="CJ4" s="7"/>
      <c r="CK4" s="7"/>
      <c r="CL4" s="4"/>
      <c r="CM4" s="4"/>
      <c r="CN4" s="4"/>
      <c r="CO4" s="4"/>
    </row>
    <row r="5" spans="1:93" x14ac:dyDescent="0.25">
      <c r="A5" s="4" t="s">
        <v>129</v>
      </c>
      <c r="B5" s="4">
        <f t="shared" ref="B5:B21" si="0">B4+1</f>
        <v>2002</v>
      </c>
      <c r="C5" s="4" t="s">
        <v>429</v>
      </c>
      <c r="D5" s="4" t="s">
        <v>407</v>
      </c>
      <c r="E5" s="5" t="s">
        <v>408</v>
      </c>
      <c r="F5" s="5" t="s">
        <v>409</v>
      </c>
      <c r="G5" s="5" t="s">
        <v>410</v>
      </c>
      <c r="H5" s="6"/>
      <c r="I5" s="5" t="s">
        <v>430</v>
      </c>
      <c r="J5" s="5" t="s">
        <v>430</v>
      </c>
      <c r="K5" s="5"/>
      <c r="L5" s="7">
        <f>(24463+146024+73097+202797)*1000</f>
        <v>446381000</v>
      </c>
      <c r="M5" s="5"/>
      <c r="N5" s="5"/>
      <c r="O5" s="5"/>
      <c r="P5" s="5"/>
      <c r="Q5" s="5" t="s">
        <v>431</v>
      </c>
      <c r="R5" s="5" t="s">
        <v>410</v>
      </c>
      <c r="S5" s="4" t="s">
        <v>413</v>
      </c>
      <c r="T5" s="5"/>
      <c r="U5" s="5"/>
      <c r="V5" s="4" t="s">
        <v>414</v>
      </c>
      <c r="W5" s="4" t="s">
        <v>314</v>
      </c>
      <c r="X5" s="4" t="s">
        <v>415</v>
      </c>
      <c r="Y5" s="5"/>
      <c r="Z5" s="5"/>
      <c r="AA5" s="5">
        <v>0.03</v>
      </c>
      <c r="AB5" s="4" t="s">
        <v>416</v>
      </c>
      <c r="AC5" s="4" t="s">
        <v>416</v>
      </c>
      <c r="AD5" s="4"/>
      <c r="AE5" s="4" t="s">
        <v>432</v>
      </c>
      <c r="AF5" s="4" t="s">
        <v>416</v>
      </c>
      <c r="AG5" s="4" t="s">
        <v>432</v>
      </c>
      <c r="AH5" s="4" t="s">
        <v>416</v>
      </c>
      <c r="AI5" s="5">
        <v>0.03</v>
      </c>
      <c r="AJ5" s="5">
        <v>0.08</v>
      </c>
      <c r="AK5" s="5">
        <v>0.03</v>
      </c>
      <c r="AL5" s="4" t="s">
        <v>417</v>
      </c>
      <c r="AM5" s="4" t="s">
        <v>433</v>
      </c>
      <c r="AN5" s="4" t="s">
        <v>418</v>
      </c>
      <c r="AO5" s="4" t="s">
        <v>420</v>
      </c>
      <c r="AP5" s="4">
        <v>1994</v>
      </c>
      <c r="AQ5" s="4"/>
      <c r="AR5" s="4" t="s">
        <v>421</v>
      </c>
      <c r="AS5" s="4"/>
      <c r="AT5" s="4" t="s">
        <v>422</v>
      </c>
      <c r="AU5" s="4" t="s">
        <v>434</v>
      </c>
      <c r="AV5" s="4" t="s">
        <v>424</v>
      </c>
      <c r="AW5" s="5">
        <v>0.08</v>
      </c>
      <c r="AX5" s="4" t="s">
        <v>416</v>
      </c>
      <c r="AY5" s="5">
        <v>0.08</v>
      </c>
      <c r="AZ5" s="4" t="s">
        <v>425</v>
      </c>
      <c r="BA5" s="22" t="s">
        <v>435</v>
      </c>
      <c r="BB5" s="22" t="s">
        <v>436</v>
      </c>
      <c r="BC5" s="5">
        <f>(7661000+12000000)/(9972781000+15856948000)</f>
        <v>7.6117716914490276E-4</v>
      </c>
      <c r="BD5" s="4" t="s">
        <v>416</v>
      </c>
      <c r="BE5" s="7">
        <f>(11967337+19028338)*1000</f>
        <v>30995675000</v>
      </c>
      <c r="BF5" s="7">
        <f>(11490889+19148318)*1000</f>
        <v>30639207000</v>
      </c>
      <c r="BG5" s="7">
        <f>(-476448+119980)*1000</f>
        <v>-356468000</v>
      </c>
      <c r="BH5" s="5" t="s">
        <v>437</v>
      </c>
      <c r="BI5" s="7">
        <f>(2940501+4950363)*1000</f>
        <v>7890864000</v>
      </c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7"/>
      <c r="CH5" s="7"/>
      <c r="CI5" s="7"/>
      <c r="CJ5" s="7"/>
      <c r="CK5" s="7"/>
      <c r="CL5" s="4"/>
      <c r="CM5" s="4"/>
      <c r="CN5" s="4"/>
      <c r="CO5" s="4"/>
    </row>
    <row r="6" spans="1:93" x14ac:dyDescent="0.25">
      <c r="A6" s="4" t="s">
        <v>129</v>
      </c>
      <c r="B6" s="4">
        <f t="shared" si="0"/>
        <v>2003</v>
      </c>
      <c r="C6" s="4" t="s">
        <v>429</v>
      </c>
      <c r="D6" s="4" t="s">
        <v>407</v>
      </c>
      <c r="E6" s="5" t="s">
        <v>408</v>
      </c>
      <c r="F6" s="5" t="s">
        <v>409</v>
      </c>
      <c r="G6" s="5" t="s">
        <v>410</v>
      </c>
      <c r="H6" s="6"/>
      <c r="I6" s="5" t="s">
        <v>438</v>
      </c>
      <c r="J6" s="5" t="s">
        <v>438</v>
      </c>
      <c r="K6" s="5"/>
      <c r="L6" s="7">
        <f>(25029+143528+82074+214033)*1000</f>
        <v>464664000</v>
      </c>
      <c r="M6" s="5"/>
      <c r="N6" s="5"/>
      <c r="O6" s="5"/>
      <c r="P6" s="5"/>
      <c r="Q6" s="5" t="s">
        <v>439</v>
      </c>
      <c r="R6" s="5" t="s">
        <v>410</v>
      </c>
      <c r="S6" s="4" t="s">
        <v>413</v>
      </c>
      <c r="T6" s="5"/>
      <c r="U6" s="5"/>
      <c r="V6" s="4" t="s">
        <v>414</v>
      </c>
      <c r="W6" s="4" t="s">
        <v>314</v>
      </c>
      <c r="X6" s="4" t="s">
        <v>415</v>
      </c>
      <c r="Y6" s="5"/>
      <c r="Z6" s="5"/>
      <c r="AA6" s="5">
        <v>0.03</v>
      </c>
      <c r="AB6" s="4" t="s">
        <v>416</v>
      </c>
      <c r="AC6" s="4" t="s">
        <v>416</v>
      </c>
      <c r="AD6" s="4"/>
      <c r="AE6" s="4" t="s">
        <v>432</v>
      </c>
      <c r="AF6" s="4" t="s">
        <v>416</v>
      </c>
      <c r="AG6" s="4" t="s">
        <v>432</v>
      </c>
      <c r="AH6" s="4" t="s">
        <v>416</v>
      </c>
      <c r="AI6" s="5">
        <v>0.03</v>
      </c>
      <c r="AJ6" s="5">
        <v>0.08</v>
      </c>
      <c r="AK6" s="5">
        <v>0.03</v>
      </c>
      <c r="AL6" s="4" t="s">
        <v>417</v>
      </c>
      <c r="AM6" s="4" t="s">
        <v>418</v>
      </c>
      <c r="AN6" s="4" t="s">
        <v>419</v>
      </c>
      <c r="AO6" s="4" t="s">
        <v>420</v>
      </c>
      <c r="AP6" s="4">
        <v>1994</v>
      </c>
      <c r="AQ6" s="4"/>
      <c r="AR6" s="4" t="s">
        <v>421</v>
      </c>
      <c r="AS6" s="4"/>
      <c r="AT6" s="4" t="s">
        <v>422</v>
      </c>
      <c r="AU6" s="4" t="s">
        <v>440</v>
      </c>
      <c r="AV6" s="4" t="s">
        <v>424</v>
      </c>
      <c r="AW6" s="5">
        <v>0.08</v>
      </c>
      <c r="AX6" s="4" t="s">
        <v>416</v>
      </c>
      <c r="AY6" s="5">
        <v>0.08</v>
      </c>
      <c r="AZ6" s="4" t="s">
        <v>425</v>
      </c>
      <c r="BA6" s="22" t="s">
        <v>441</v>
      </c>
      <c r="BB6" s="22" t="s">
        <v>442</v>
      </c>
      <c r="BC6" s="5">
        <f>(5995000+9922000)/(9923640000+15985467000)</f>
        <v>6.1433996933973835E-4</v>
      </c>
      <c r="BD6" s="4" t="s">
        <v>416</v>
      </c>
      <c r="BE6" s="7">
        <f>(11908368+19182560)*1000</f>
        <v>31090928000</v>
      </c>
      <c r="BF6" s="7">
        <f>(11860803+20480092)*1000</f>
        <v>32340895000</v>
      </c>
      <c r="BG6" s="7">
        <f>(-47565+1297532)*1000</f>
        <v>1249967000</v>
      </c>
      <c r="BH6" s="5" t="s">
        <v>443</v>
      </c>
      <c r="BI6" s="7">
        <f>(2852370+5109840)*1000</f>
        <v>7962210000</v>
      </c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4"/>
    </row>
    <row r="7" spans="1:93" x14ac:dyDescent="0.25">
      <c r="A7" s="4" t="s">
        <v>129</v>
      </c>
      <c r="B7" s="4">
        <f t="shared" si="0"/>
        <v>2004</v>
      </c>
      <c r="C7" s="4" t="s">
        <v>444</v>
      </c>
      <c r="D7" s="4" t="s">
        <v>407</v>
      </c>
      <c r="E7" s="5" t="s">
        <v>408</v>
      </c>
      <c r="F7" s="5" t="s">
        <v>409</v>
      </c>
      <c r="G7" s="5" t="s">
        <v>410</v>
      </c>
      <c r="H7" s="6"/>
      <c r="I7" s="5" t="s">
        <v>445</v>
      </c>
      <c r="J7" s="5" t="s">
        <v>445</v>
      </c>
      <c r="K7" s="5"/>
      <c r="L7" s="7">
        <f>(25474+144132+38085+271013)*1000</f>
        <v>478704000</v>
      </c>
      <c r="M7" s="5"/>
      <c r="N7" s="5"/>
      <c r="O7" s="5"/>
      <c r="P7" s="5"/>
      <c r="Q7" s="5" t="s">
        <v>446</v>
      </c>
      <c r="R7" s="5" t="s">
        <v>410</v>
      </c>
      <c r="S7" s="4" t="s">
        <v>413</v>
      </c>
      <c r="T7" s="5"/>
      <c r="U7" s="5"/>
      <c r="V7" s="4" t="s">
        <v>414</v>
      </c>
      <c r="W7" s="4" t="s">
        <v>314</v>
      </c>
      <c r="X7" s="4" t="s">
        <v>415</v>
      </c>
      <c r="Y7" s="5"/>
      <c r="Z7" s="5"/>
      <c r="AA7" s="5">
        <v>0.03</v>
      </c>
      <c r="AB7" s="4" t="s">
        <v>416</v>
      </c>
      <c r="AC7" s="4" t="s">
        <v>416</v>
      </c>
      <c r="AD7" s="4"/>
      <c r="AE7" s="4" t="s">
        <v>432</v>
      </c>
      <c r="AF7" s="4" t="s">
        <v>416</v>
      </c>
      <c r="AG7" s="4" t="s">
        <v>432</v>
      </c>
      <c r="AH7" s="4" t="s">
        <v>416</v>
      </c>
      <c r="AI7" s="5">
        <v>0.03</v>
      </c>
      <c r="AJ7" s="5">
        <v>0.08</v>
      </c>
      <c r="AK7" s="5">
        <v>0.03</v>
      </c>
      <c r="AL7" s="4" t="s">
        <v>417</v>
      </c>
      <c r="AM7" s="4" t="s">
        <v>418</v>
      </c>
      <c r="AN7" s="4" t="s">
        <v>419</v>
      </c>
      <c r="AO7" s="4" t="s">
        <v>420</v>
      </c>
      <c r="AP7" s="4">
        <v>1994</v>
      </c>
      <c r="AQ7" s="4"/>
      <c r="AR7" s="4" t="s">
        <v>421</v>
      </c>
      <c r="AS7" s="4"/>
      <c r="AT7" s="4" t="s">
        <v>422</v>
      </c>
      <c r="AU7" s="4" t="s">
        <v>447</v>
      </c>
      <c r="AV7" s="4" t="s">
        <v>424</v>
      </c>
      <c r="AW7" s="5">
        <v>0.08</v>
      </c>
      <c r="AX7" s="4" t="s">
        <v>416</v>
      </c>
      <c r="AY7" s="5">
        <v>0.08</v>
      </c>
      <c r="AZ7" s="4" t="s">
        <v>425</v>
      </c>
      <c r="BA7" s="22" t="s">
        <v>448</v>
      </c>
      <c r="BB7" s="22" t="s">
        <v>449</v>
      </c>
      <c r="BC7" s="5">
        <f>(7526000+12083000)/(11379685000+18406676000)</f>
        <v>6.5832143778825488E-4</v>
      </c>
      <c r="BD7" s="4" t="s">
        <v>416</v>
      </c>
      <c r="BE7" s="7">
        <f>(11981566+19343319)*1000</f>
        <v>31324885000</v>
      </c>
      <c r="BF7" s="7">
        <f>(12669013+22173218)*1000</f>
        <v>34842231000</v>
      </c>
      <c r="BG7" s="7">
        <f>(687447+2829899)*1000</f>
        <v>3517346000</v>
      </c>
      <c r="BH7" s="5" t="s">
        <v>450</v>
      </c>
      <c r="BI7" s="7">
        <f>(2946067+5491142)*1000</f>
        <v>8437209000</v>
      </c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4"/>
    </row>
    <row r="8" spans="1:93" x14ac:dyDescent="0.25">
      <c r="A8" s="4" t="s">
        <v>129</v>
      </c>
      <c r="B8" s="4">
        <f t="shared" si="0"/>
        <v>2005</v>
      </c>
      <c r="C8" s="4" t="s">
        <v>444</v>
      </c>
      <c r="D8" s="4" t="s">
        <v>451</v>
      </c>
      <c r="E8" s="5" t="s">
        <v>452</v>
      </c>
      <c r="F8" s="5" t="s">
        <v>453</v>
      </c>
      <c r="G8" s="5" t="s">
        <v>410</v>
      </c>
      <c r="H8" s="6"/>
      <c r="I8" s="5" t="s">
        <v>454</v>
      </c>
      <c r="J8" s="5" t="s">
        <v>454</v>
      </c>
      <c r="K8" s="5"/>
      <c r="L8" s="7">
        <f>(20046+150502+28066+291375)*1000</f>
        <v>489989000</v>
      </c>
      <c r="M8" s="5"/>
      <c r="N8" s="5"/>
      <c r="O8" s="5"/>
      <c r="P8" s="5"/>
      <c r="Q8" s="5" t="s">
        <v>455</v>
      </c>
      <c r="R8" s="5" t="s">
        <v>410</v>
      </c>
      <c r="S8" s="4" t="s">
        <v>413</v>
      </c>
      <c r="T8" s="5"/>
      <c r="U8" s="5"/>
      <c r="V8" s="4" t="s">
        <v>414</v>
      </c>
      <c r="W8" s="4" t="s">
        <v>314</v>
      </c>
      <c r="X8" s="4" t="s">
        <v>415</v>
      </c>
      <c r="Y8" s="5"/>
      <c r="Z8" s="5"/>
      <c r="AA8" s="5">
        <v>2.5000000000000001E-2</v>
      </c>
      <c r="AB8" s="4" t="s">
        <v>416</v>
      </c>
      <c r="AC8" s="4" t="s">
        <v>416</v>
      </c>
      <c r="AD8" s="4"/>
      <c r="AE8" s="4" t="s">
        <v>432</v>
      </c>
      <c r="AF8" s="4" t="s">
        <v>416</v>
      </c>
      <c r="AG8" s="4" t="s">
        <v>432</v>
      </c>
      <c r="AH8" s="4" t="s">
        <v>416</v>
      </c>
      <c r="AI8" s="5">
        <v>2.5000000000000001E-2</v>
      </c>
      <c r="AJ8" s="5">
        <v>7.4999999999999997E-2</v>
      </c>
      <c r="AK8" s="5">
        <v>0.03</v>
      </c>
      <c r="AL8" s="4" t="s">
        <v>456</v>
      </c>
      <c r="AM8" s="4" t="s">
        <v>418</v>
      </c>
      <c r="AN8" s="4" t="s">
        <v>419</v>
      </c>
      <c r="AO8" s="4" t="s">
        <v>420</v>
      </c>
      <c r="AP8" s="4">
        <v>1994</v>
      </c>
      <c r="AQ8" s="4"/>
      <c r="AR8" s="4" t="s">
        <v>457</v>
      </c>
      <c r="AS8" s="4"/>
      <c r="AT8" s="4" t="s">
        <v>422</v>
      </c>
      <c r="AU8" s="4" t="s">
        <v>458</v>
      </c>
      <c r="AV8" s="4" t="s">
        <v>424</v>
      </c>
      <c r="AW8" s="5">
        <v>7.4999999999999997E-2</v>
      </c>
      <c r="AX8" s="4" t="s">
        <v>416</v>
      </c>
      <c r="AY8" s="5">
        <v>7.4999999999999997E-2</v>
      </c>
      <c r="AZ8" s="4" t="s">
        <v>425</v>
      </c>
      <c r="BA8" s="22" t="s">
        <v>459</v>
      </c>
      <c r="BB8" s="22" t="s">
        <v>460</v>
      </c>
      <c r="BC8" s="5">
        <f>(7862000+12641000)/(12398345000+20239648000)</f>
        <v>6.2819426427354152E-4</v>
      </c>
      <c r="BD8" s="4" t="s">
        <v>416</v>
      </c>
      <c r="BE8" s="7">
        <f>(12018175+19639994)*1000</f>
        <v>31658169000</v>
      </c>
      <c r="BF8" s="7">
        <f>(14007274+25205725)*1000</f>
        <v>39212999000</v>
      </c>
      <c r="BG8" s="7">
        <f>(1989099+5565731)*1000</f>
        <v>7554830000</v>
      </c>
      <c r="BH8" s="5" t="s">
        <v>461</v>
      </c>
      <c r="BI8" s="7">
        <f>(3100479+5844860)*1000</f>
        <v>8945339000</v>
      </c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4"/>
    </row>
    <row r="9" spans="1:93" x14ac:dyDescent="0.25">
      <c r="A9" s="4" t="s">
        <v>129</v>
      </c>
      <c r="B9" s="4">
        <f t="shared" si="0"/>
        <v>2006</v>
      </c>
      <c r="C9" s="4" t="s">
        <v>462</v>
      </c>
      <c r="D9" s="4" t="s">
        <v>463</v>
      </c>
      <c r="E9" s="5" t="s">
        <v>464</v>
      </c>
      <c r="F9" s="5" t="s">
        <v>465</v>
      </c>
      <c r="G9" s="5" t="s">
        <v>410</v>
      </c>
      <c r="H9" s="6"/>
      <c r="I9" s="5" t="s">
        <v>466</v>
      </c>
      <c r="J9" s="5" t="s">
        <v>466</v>
      </c>
      <c r="K9" s="5"/>
      <c r="L9" s="7">
        <f>(11679+160075+13878+308811)*1000</f>
        <v>494443000</v>
      </c>
      <c r="M9" s="5"/>
      <c r="N9" s="5"/>
      <c r="O9" s="5"/>
      <c r="P9" s="5"/>
      <c r="Q9" s="5" t="s">
        <v>467</v>
      </c>
      <c r="R9" s="5" t="s">
        <v>410</v>
      </c>
      <c r="S9" s="4" t="s">
        <v>413</v>
      </c>
      <c r="T9" s="5"/>
      <c r="U9" s="5"/>
      <c r="V9" s="4" t="s">
        <v>414</v>
      </c>
      <c r="W9" s="4" t="s">
        <v>314</v>
      </c>
      <c r="X9" s="4" t="s">
        <v>415</v>
      </c>
      <c r="Y9" s="5"/>
      <c r="Z9" s="5"/>
      <c r="AA9" s="5">
        <v>2.5000000000000001E-2</v>
      </c>
      <c r="AB9" s="4" t="s">
        <v>416</v>
      </c>
      <c r="AC9" s="4" t="s">
        <v>416</v>
      </c>
      <c r="AD9" s="4"/>
      <c r="AE9" s="4" t="s">
        <v>432</v>
      </c>
      <c r="AF9" s="4" t="s">
        <v>416</v>
      </c>
      <c r="AG9" s="4" t="s">
        <v>432</v>
      </c>
      <c r="AH9" s="4" t="s">
        <v>416</v>
      </c>
      <c r="AI9" s="5">
        <v>2.5000000000000001E-2</v>
      </c>
      <c r="AJ9" s="5">
        <v>7.4999999999999997E-2</v>
      </c>
      <c r="AK9" s="5">
        <v>0.03</v>
      </c>
      <c r="AL9" s="4" t="s">
        <v>456</v>
      </c>
      <c r="AM9" s="4" t="s">
        <v>468</v>
      </c>
      <c r="AN9" s="4" t="s">
        <v>469</v>
      </c>
      <c r="AO9" s="4" t="s">
        <v>420</v>
      </c>
      <c r="AP9" s="4">
        <v>1994</v>
      </c>
      <c r="AQ9" s="4"/>
      <c r="AR9" s="4" t="s">
        <v>457</v>
      </c>
      <c r="AS9" s="4"/>
      <c r="AT9" s="4" t="s">
        <v>470</v>
      </c>
      <c r="AU9" s="4" t="s">
        <v>471</v>
      </c>
      <c r="AV9" s="4" t="s">
        <v>424</v>
      </c>
      <c r="AW9" s="5">
        <v>7.4999999999999997E-2</v>
      </c>
      <c r="AX9" s="4" t="s">
        <v>416</v>
      </c>
      <c r="AY9" s="5">
        <v>7.4999999999999997E-2</v>
      </c>
      <c r="AZ9" s="4" t="s">
        <v>425</v>
      </c>
      <c r="BA9" s="22" t="s">
        <v>472</v>
      </c>
      <c r="BB9" s="22" t="s">
        <v>473</v>
      </c>
      <c r="BC9" s="5">
        <f>(8857000+14405000)/(13549153000+22330731000)</f>
        <v>6.4832985524702371E-4</v>
      </c>
      <c r="BD9" s="4" t="s">
        <v>416</v>
      </c>
      <c r="BE9" s="7">
        <f>(12542390+20731192)*1000</f>
        <v>33273582000</v>
      </c>
      <c r="BF9" s="7">
        <f>(15064062+27274064)*1000</f>
        <v>42338126000</v>
      </c>
      <c r="BG9" s="7">
        <f>(2521672+6542872)*1000</f>
        <v>9064544000</v>
      </c>
      <c r="BH9" s="5" t="s">
        <v>474</v>
      </c>
      <c r="BI9" s="7">
        <f>(3301286+6195421)*1000</f>
        <v>9496707000</v>
      </c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4"/>
    </row>
    <row r="10" spans="1:93" x14ac:dyDescent="0.25">
      <c r="A10" s="4" t="s">
        <v>129</v>
      </c>
      <c r="B10" s="4">
        <f t="shared" si="0"/>
        <v>2007</v>
      </c>
      <c r="C10" s="4" t="s">
        <v>475</v>
      </c>
      <c r="D10" s="4" t="s">
        <v>463</v>
      </c>
      <c r="E10" s="5" t="s">
        <v>476</v>
      </c>
      <c r="F10" s="5" t="s">
        <v>477</v>
      </c>
      <c r="G10" s="5" t="s">
        <v>410</v>
      </c>
      <c r="H10" s="6"/>
      <c r="I10" s="5" t="s">
        <v>478</v>
      </c>
      <c r="J10" s="5" t="s">
        <v>478</v>
      </c>
      <c r="K10" s="5"/>
      <c r="L10" s="7">
        <f>(9522+168233+11683+328521)*1000</f>
        <v>517959000</v>
      </c>
      <c r="M10" s="5"/>
      <c r="N10" s="5"/>
      <c r="O10" s="5"/>
      <c r="P10" s="5"/>
      <c r="Q10" s="5" t="s">
        <v>479</v>
      </c>
      <c r="R10" s="5" t="s">
        <v>410</v>
      </c>
      <c r="S10" s="4" t="s">
        <v>413</v>
      </c>
      <c r="T10" s="5"/>
      <c r="U10" s="5"/>
      <c r="V10" s="4" t="s">
        <v>414</v>
      </c>
      <c r="W10" s="4" t="s">
        <v>314</v>
      </c>
      <c r="X10" s="4" t="s">
        <v>415</v>
      </c>
      <c r="Y10" s="5"/>
      <c r="Z10" s="5"/>
      <c r="AA10" s="5">
        <v>2.5000000000000001E-2</v>
      </c>
      <c r="AB10" s="4" t="s">
        <v>416</v>
      </c>
      <c r="AC10" s="4" t="s">
        <v>416</v>
      </c>
      <c r="AD10" s="4"/>
      <c r="AE10" s="4" t="s">
        <v>432</v>
      </c>
      <c r="AF10" s="4" t="s">
        <v>416</v>
      </c>
      <c r="AG10" s="4" t="s">
        <v>432</v>
      </c>
      <c r="AH10" s="4" t="s">
        <v>416</v>
      </c>
      <c r="AI10" s="5">
        <v>2.5000000000000001E-2</v>
      </c>
      <c r="AJ10" s="5">
        <v>7.4999999999999997E-2</v>
      </c>
      <c r="AK10" s="5">
        <v>0.03</v>
      </c>
      <c r="AL10" s="4" t="s">
        <v>456</v>
      </c>
      <c r="AM10" s="4" t="s">
        <v>468</v>
      </c>
      <c r="AN10" s="4" t="s">
        <v>469</v>
      </c>
      <c r="AO10" s="4" t="s">
        <v>420</v>
      </c>
      <c r="AP10" s="4">
        <v>1994</v>
      </c>
      <c r="AQ10" s="4"/>
      <c r="AR10" s="4" t="s">
        <v>457</v>
      </c>
      <c r="AS10" s="4"/>
      <c r="AT10" s="4" t="s">
        <v>470</v>
      </c>
      <c r="AU10" s="4" t="s">
        <v>471</v>
      </c>
      <c r="AV10" s="4" t="s">
        <v>424</v>
      </c>
      <c r="AW10" s="5">
        <v>7.4999999999999997E-2</v>
      </c>
      <c r="AX10" s="4" t="s">
        <v>416</v>
      </c>
      <c r="AY10" s="5">
        <v>7.4999999999999997E-2</v>
      </c>
      <c r="AZ10" s="4" t="s">
        <v>425</v>
      </c>
      <c r="BA10" s="22" t="s">
        <v>480</v>
      </c>
      <c r="BB10" s="22" t="s">
        <v>481</v>
      </c>
      <c r="BC10" s="5">
        <f>(10004000+16428000)/(15987528000+26618235000)</f>
        <v>6.2038555676141745E-4</v>
      </c>
      <c r="BD10" s="4" t="s">
        <v>416</v>
      </c>
      <c r="BE10" s="7">
        <f>(13857342+23204871)*1000</f>
        <v>37062213000</v>
      </c>
      <c r="BF10" s="7">
        <f>(16279781+29669838)*1000</f>
        <v>45949619000</v>
      </c>
      <c r="BG10" s="7">
        <f>(2422439+6464967)*1000</f>
        <v>8887406000</v>
      </c>
      <c r="BH10" s="5" t="s">
        <v>482</v>
      </c>
      <c r="BI10" s="7">
        <f>(3467388+6604643)*1000</f>
        <v>10072031000</v>
      </c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4"/>
    </row>
    <row r="11" spans="1:93" x14ac:dyDescent="0.25">
      <c r="A11" s="4" t="s">
        <v>129</v>
      </c>
      <c r="B11" s="4">
        <f t="shared" si="0"/>
        <v>2008</v>
      </c>
      <c r="C11" s="4" t="s">
        <v>462</v>
      </c>
      <c r="D11" s="4" t="s">
        <v>483</v>
      </c>
      <c r="E11" s="5" t="s">
        <v>484</v>
      </c>
      <c r="F11" s="5" t="s">
        <v>485</v>
      </c>
      <c r="G11" s="5" t="s">
        <v>410</v>
      </c>
      <c r="H11" s="4"/>
      <c r="I11" s="5" t="s">
        <v>486</v>
      </c>
      <c r="J11" s="5" t="s">
        <v>486</v>
      </c>
      <c r="K11" s="5"/>
      <c r="L11" s="7">
        <f>(8220+177977+8639+343882)*1000</f>
        <v>538718000</v>
      </c>
      <c r="M11" s="5"/>
      <c r="N11" s="5"/>
      <c r="O11" s="5"/>
      <c r="P11" s="5"/>
      <c r="Q11" s="5" t="s">
        <v>487</v>
      </c>
      <c r="R11" s="5" t="s">
        <v>410</v>
      </c>
      <c r="S11" s="4" t="s">
        <v>413</v>
      </c>
      <c r="T11" s="5"/>
      <c r="U11" s="5"/>
      <c r="V11" s="4" t="s">
        <v>414</v>
      </c>
      <c r="W11" s="4" t="s">
        <v>488</v>
      </c>
      <c r="X11" s="4" t="s">
        <v>415</v>
      </c>
      <c r="Y11" s="5"/>
      <c r="Z11" s="5"/>
      <c r="AA11" s="5">
        <v>2.5000000000000001E-2</v>
      </c>
      <c r="AB11" s="4" t="s">
        <v>416</v>
      </c>
      <c r="AC11" s="4" t="s">
        <v>416</v>
      </c>
      <c r="AD11" s="4"/>
      <c r="AE11" s="4" t="s">
        <v>432</v>
      </c>
      <c r="AF11" s="4" t="s">
        <v>416</v>
      </c>
      <c r="AG11" s="4" t="s">
        <v>432</v>
      </c>
      <c r="AH11" s="4" t="s">
        <v>416</v>
      </c>
      <c r="AI11" s="5">
        <v>2.5000000000000001E-2</v>
      </c>
      <c r="AJ11" s="5">
        <v>7.4999999999999997E-2</v>
      </c>
      <c r="AK11" s="5">
        <v>0.03</v>
      </c>
      <c r="AL11" s="4" t="s">
        <v>456</v>
      </c>
      <c r="AM11" s="4" t="s">
        <v>489</v>
      </c>
      <c r="AN11" s="4" t="s">
        <v>490</v>
      </c>
      <c r="AO11" s="4" t="s">
        <v>420</v>
      </c>
      <c r="AP11" s="4">
        <v>1994</v>
      </c>
      <c r="AQ11" s="4"/>
      <c r="AR11" s="4" t="s">
        <v>457</v>
      </c>
      <c r="AS11" s="4"/>
      <c r="AT11" s="4" t="s">
        <v>491</v>
      </c>
      <c r="AU11" s="4" t="s">
        <v>471</v>
      </c>
      <c r="AV11" s="4" t="s">
        <v>424</v>
      </c>
      <c r="AW11" s="5">
        <v>7.4999999999999997E-2</v>
      </c>
      <c r="AX11" s="4" t="s">
        <v>416</v>
      </c>
      <c r="AY11" s="5">
        <v>7.4999999999999997E-2</v>
      </c>
      <c r="AZ11" s="4" t="s">
        <v>425</v>
      </c>
      <c r="BA11" s="5"/>
      <c r="BB11" s="5"/>
      <c r="BC11" s="5">
        <f>(11000000+18278000)/(14856159000+25076412000)</f>
        <v>7.3318594988537047E-4</v>
      </c>
      <c r="BD11" s="4" t="s">
        <v>416</v>
      </c>
      <c r="BE11" s="7">
        <f>(15046348+25502482)*1000</f>
        <v>40548830000</v>
      </c>
      <c r="BF11" s="7">
        <f>(17096942+31958321)*1000</f>
        <v>49055263000</v>
      </c>
      <c r="BG11" s="7">
        <f>(2050594+6455839)*1000</f>
        <v>8506433000</v>
      </c>
      <c r="BH11" s="5" t="s">
        <v>492</v>
      </c>
      <c r="BI11" s="7">
        <f>(3640692+6896432)*1000</f>
        <v>10537124000</v>
      </c>
      <c r="BJ11" s="36">
        <f>((515.7+792.5)*1000000)*-1</f>
        <v>-1308200000</v>
      </c>
      <c r="BK11" s="36">
        <f>((24.2+28.2)*1000000)*-1</f>
        <v>-52400000</v>
      </c>
      <c r="BL11" s="18"/>
      <c r="BM11" s="18"/>
      <c r="BN11" s="18"/>
      <c r="BO11" s="36">
        <f>((-34.6+5.8)*1000000)*-1</f>
        <v>28800000</v>
      </c>
      <c r="BP11" s="18"/>
      <c r="BQ11" s="18"/>
      <c r="BR11" s="18"/>
      <c r="BS11" s="36">
        <f>((-11-4.5)*1000000)*-1</f>
        <v>15500000</v>
      </c>
      <c r="BT11" s="36"/>
      <c r="BU11" s="36"/>
      <c r="BV11" s="36"/>
      <c r="BW11" s="36">
        <f>((0.4-8.2)*1000000)*-1</f>
        <v>7799999.9999999991</v>
      </c>
      <c r="BX11" s="36">
        <f>((-29.5-88.9)*1000000)*-1</f>
        <v>118400000</v>
      </c>
      <c r="BY11" s="36">
        <f>((-83.2-34.2)*1000000)*-1</f>
        <v>117400000</v>
      </c>
      <c r="BZ11" s="36"/>
      <c r="CA11" s="36">
        <f>((-8.5-56.2)*1000000)*-1</f>
        <v>64700000</v>
      </c>
      <c r="CB11" s="18"/>
      <c r="CC11" s="36">
        <f>((-9.7-646.8)*1000000)*-1</f>
        <v>656500000</v>
      </c>
      <c r="CD11" s="36"/>
      <c r="CE11" s="36"/>
      <c r="CF11" s="36">
        <f>(101.6+311.1)*1000000</f>
        <v>412700000.00000006</v>
      </c>
      <c r="CG11" s="36">
        <f>(2050.6+6455.8-2422.4-6465)*1000000</f>
        <v>-381000000</v>
      </c>
      <c r="CH11" s="36">
        <v>0</v>
      </c>
      <c r="CI11" s="33"/>
      <c r="CJ11" s="33"/>
      <c r="CK11" s="33"/>
      <c r="CL11" s="33"/>
      <c r="CM11" s="33"/>
      <c r="CN11" s="7"/>
      <c r="CO11" s="4"/>
    </row>
    <row r="12" spans="1:93" x14ac:dyDescent="0.25">
      <c r="A12" s="4" t="s">
        <v>129</v>
      </c>
      <c r="B12" s="4">
        <f t="shared" si="0"/>
        <v>2009</v>
      </c>
      <c r="C12" s="4" t="s">
        <v>493</v>
      </c>
      <c r="D12" s="4" t="s">
        <v>483</v>
      </c>
      <c r="E12" s="5" t="s">
        <v>494</v>
      </c>
      <c r="F12" s="5" t="s">
        <v>495</v>
      </c>
      <c r="G12" s="5" t="s">
        <v>410</v>
      </c>
      <c r="H12" s="4"/>
      <c r="I12" s="5" t="s">
        <v>496</v>
      </c>
      <c r="J12" s="5" t="s">
        <v>496</v>
      </c>
      <c r="K12" s="5"/>
      <c r="L12" s="7">
        <f>(6109+181453+6550+357696)*1000</f>
        <v>551808000</v>
      </c>
      <c r="M12" s="5"/>
      <c r="N12" s="5"/>
      <c r="O12" s="5"/>
      <c r="P12" s="5"/>
      <c r="Q12" s="5" t="s">
        <v>497</v>
      </c>
      <c r="R12" s="5" t="s">
        <v>410</v>
      </c>
      <c r="S12" s="4" t="s">
        <v>413</v>
      </c>
      <c r="T12" s="5"/>
      <c r="U12" s="5"/>
      <c r="V12" s="4" t="s">
        <v>414</v>
      </c>
      <c r="W12" s="4" t="s">
        <v>488</v>
      </c>
      <c r="X12" s="4" t="s">
        <v>415</v>
      </c>
      <c r="Y12" s="5"/>
      <c r="Z12" s="5"/>
      <c r="AA12" s="5">
        <v>2.5000000000000001E-2</v>
      </c>
      <c r="AB12" s="4" t="s">
        <v>416</v>
      </c>
      <c r="AC12" s="4" t="s">
        <v>416</v>
      </c>
      <c r="AD12" s="4"/>
      <c r="AE12" s="4" t="s">
        <v>432</v>
      </c>
      <c r="AF12" s="4" t="s">
        <v>416</v>
      </c>
      <c r="AG12" s="4" t="s">
        <v>432</v>
      </c>
      <c r="AH12" s="4" t="s">
        <v>416</v>
      </c>
      <c r="AI12" s="5">
        <v>2.5000000000000001E-2</v>
      </c>
      <c r="AJ12" s="5">
        <v>7.4999999999999997E-2</v>
      </c>
      <c r="AK12" s="5">
        <v>0.03</v>
      </c>
      <c r="AL12" s="4" t="s">
        <v>456</v>
      </c>
      <c r="AM12" s="4" t="s">
        <v>498</v>
      </c>
      <c r="AN12" s="4" t="s">
        <v>499</v>
      </c>
      <c r="AO12" s="4" t="s">
        <v>420</v>
      </c>
      <c r="AP12" s="4">
        <v>1994</v>
      </c>
      <c r="AQ12" s="4"/>
      <c r="AR12" s="4" t="s">
        <v>457</v>
      </c>
      <c r="AS12" s="4"/>
      <c r="AT12" s="4" t="s">
        <v>491</v>
      </c>
      <c r="AU12" s="4" t="s">
        <v>471</v>
      </c>
      <c r="AV12" s="4" t="s">
        <v>424</v>
      </c>
      <c r="AW12" s="5">
        <v>7.4999999999999997E-2</v>
      </c>
      <c r="AX12" s="4" t="s">
        <v>416</v>
      </c>
      <c r="AY12" s="5">
        <v>7.4999999999999997E-2</v>
      </c>
      <c r="AZ12" s="4" t="s">
        <v>425</v>
      </c>
      <c r="BA12" s="5"/>
      <c r="BB12" s="5"/>
      <c r="BC12" s="5">
        <f>(12781000+21285000)/(11253767000+19302368000)</f>
        <v>1.1148661308113738E-3</v>
      </c>
      <c r="BD12" s="4" t="s">
        <v>416</v>
      </c>
      <c r="BE12" s="7">
        <f>(15049901+25764665)*1000</f>
        <v>40814566000</v>
      </c>
      <c r="BF12" s="7">
        <f>(17925879+33860514)*1000</f>
        <v>51786393000</v>
      </c>
      <c r="BG12" s="7">
        <f>(2875978+8095849)*1000</f>
        <v>10971827000</v>
      </c>
      <c r="BH12" s="5" t="s">
        <v>500</v>
      </c>
      <c r="BI12" s="7">
        <f>(3619478+7160842)*1000</f>
        <v>10780320000</v>
      </c>
      <c r="BJ12" s="36">
        <f>((-2255.5-3853.4)*1000000)*-1</f>
        <v>6108900000</v>
      </c>
      <c r="BK12" s="36">
        <f>((26.1+83.7)*1000000)*-1</f>
        <v>-109800000.00000001</v>
      </c>
      <c r="BL12" s="18"/>
      <c r="BM12" s="18"/>
      <c r="BN12" s="18"/>
      <c r="BO12" s="36">
        <f>((-42.1+11.5)*1000000)*-1</f>
        <v>30600000</v>
      </c>
      <c r="BP12" s="18"/>
      <c r="BQ12" s="18"/>
      <c r="BR12" s="18"/>
      <c r="BS12" s="36">
        <f>((-33.3-28.7)*1000000)*-1</f>
        <v>62000000</v>
      </c>
      <c r="BT12" s="36"/>
      <c r="BU12" s="36"/>
      <c r="BV12" s="36"/>
      <c r="BW12" s="36">
        <f>((0.4-8.8)*1000000)*-1</f>
        <v>8400000</v>
      </c>
      <c r="BX12" s="36">
        <f>((-40.3-112.5)*1000000)*-1</f>
        <v>152800000</v>
      </c>
      <c r="BY12" s="36">
        <f>((224.7-8.5)*1000000)*-1</f>
        <v>-216200000</v>
      </c>
      <c r="BZ12" s="36"/>
      <c r="CA12" s="36">
        <f>((-6.9-45.1)*1000000)*-1</f>
        <v>52000000</v>
      </c>
      <c r="CB12" s="18"/>
      <c r="CC12" s="36">
        <f>((-220.8-411.7)*1000000)*-1</f>
        <v>632500000</v>
      </c>
      <c r="CD12" s="36"/>
      <c r="CE12" s="36"/>
      <c r="CF12" s="36">
        <f>(108.9+354.5)*1000000</f>
        <v>463400000</v>
      </c>
      <c r="CG12" s="36">
        <f>(2876+8095.8-2050.6-6455.8)*1000000</f>
        <v>2465399999.9999986</v>
      </c>
      <c r="CH12" s="36">
        <v>0</v>
      </c>
      <c r="CI12" s="33"/>
      <c r="CJ12" s="33"/>
      <c r="CK12" s="33"/>
      <c r="CL12" s="36">
        <f>((1515.6+2712.1)*1000000)*-1</f>
        <v>-4227700000</v>
      </c>
      <c r="CM12" s="33"/>
      <c r="CN12" s="7"/>
      <c r="CO12" s="4"/>
    </row>
    <row r="13" spans="1:93" x14ac:dyDescent="0.25">
      <c r="A13" s="4" t="s">
        <v>129</v>
      </c>
      <c r="B13" s="4">
        <f t="shared" si="0"/>
        <v>2010</v>
      </c>
      <c r="C13" s="4" t="s">
        <v>462</v>
      </c>
      <c r="D13" s="4" t="s">
        <v>483</v>
      </c>
      <c r="E13" s="5" t="s">
        <v>501</v>
      </c>
      <c r="F13" s="5" t="s">
        <v>502</v>
      </c>
      <c r="G13" s="5" t="s">
        <v>410</v>
      </c>
      <c r="H13" s="4"/>
      <c r="I13" s="5" t="s">
        <v>503</v>
      </c>
      <c r="J13" s="5" t="s">
        <v>503</v>
      </c>
      <c r="K13" s="5"/>
      <c r="L13" s="7">
        <f>(5155+177891+6070+354490)*1000</f>
        <v>543606000</v>
      </c>
      <c r="M13" s="5"/>
      <c r="N13" s="5"/>
      <c r="O13" s="5"/>
      <c r="P13" s="5"/>
      <c r="Q13" s="5" t="s">
        <v>504</v>
      </c>
      <c r="R13" s="5" t="s">
        <v>410</v>
      </c>
      <c r="S13" s="4" t="s">
        <v>413</v>
      </c>
      <c r="T13" s="5"/>
      <c r="U13" s="5"/>
      <c r="V13" s="4" t="s">
        <v>414</v>
      </c>
      <c r="W13" s="4" t="s">
        <v>488</v>
      </c>
      <c r="X13" s="4" t="s">
        <v>415</v>
      </c>
      <c r="Y13" s="5"/>
      <c r="Z13" s="5"/>
      <c r="AA13" s="5">
        <v>2.5000000000000001E-2</v>
      </c>
      <c r="AB13" s="4" t="s">
        <v>416</v>
      </c>
      <c r="AC13" s="4" t="s">
        <v>416</v>
      </c>
      <c r="AD13" s="4"/>
      <c r="AE13" s="4" t="s">
        <v>432</v>
      </c>
      <c r="AF13" s="4" t="s">
        <v>416</v>
      </c>
      <c r="AG13" s="4" t="s">
        <v>432</v>
      </c>
      <c r="AH13" s="4" t="s">
        <v>432</v>
      </c>
      <c r="AI13" s="5">
        <v>2.5000000000000001E-2</v>
      </c>
      <c r="AJ13" s="5">
        <v>7.0000000000000007E-2</v>
      </c>
      <c r="AK13" s="5">
        <v>0.03</v>
      </c>
      <c r="AL13" s="4" t="s">
        <v>456</v>
      </c>
      <c r="AM13" s="4" t="s">
        <v>489</v>
      </c>
      <c r="AN13" s="4" t="s">
        <v>490</v>
      </c>
      <c r="AO13" s="4" t="s">
        <v>420</v>
      </c>
      <c r="AP13" s="4">
        <v>1994</v>
      </c>
      <c r="AQ13" s="4"/>
      <c r="AR13" s="4" t="s">
        <v>457</v>
      </c>
      <c r="AS13" s="4"/>
      <c r="AT13" s="4" t="s">
        <v>491</v>
      </c>
      <c r="AU13" s="4" t="s">
        <v>471</v>
      </c>
      <c r="AV13" s="4" t="s">
        <v>424</v>
      </c>
      <c r="AW13" s="5">
        <v>7.0000000000000007E-2</v>
      </c>
      <c r="AX13" s="4" t="s">
        <v>416</v>
      </c>
      <c r="AY13" s="5">
        <v>7.0000000000000007E-2</v>
      </c>
      <c r="AZ13" s="4" t="s">
        <v>425</v>
      </c>
      <c r="BA13" s="5"/>
      <c r="BB13" s="5"/>
      <c r="BC13" s="5">
        <f>(10138000+17281000)/(12384638000+21517178000)</f>
        <v>8.0877673337617076E-4</v>
      </c>
      <c r="BD13" s="4" t="s">
        <v>416</v>
      </c>
      <c r="BE13" s="7">
        <f>(14700854+25447677)*1000</f>
        <v>40148531000</v>
      </c>
      <c r="BF13" s="7">
        <f>(19539453+37088576)*1000</f>
        <v>56628029000</v>
      </c>
      <c r="BG13" s="7">
        <f>(4838599+11640899)*1000</f>
        <v>16479498000</v>
      </c>
      <c r="BH13" s="5" t="s">
        <v>505</v>
      </c>
      <c r="BI13" s="7">
        <f>(3514396+7119889)*1000</f>
        <v>10634285000</v>
      </c>
      <c r="BJ13" s="36">
        <f>((-894.1-1548.3)*1000000)*-1</f>
        <v>2442400000</v>
      </c>
      <c r="BK13" s="36">
        <f>((-79.2+64)*1000000)*-1</f>
        <v>15200000.000000004</v>
      </c>
      <c r="BL13" s="18"/>
      <c r="BM13" s="18"/>
      <c r="BN13" s="18"/>
      <c r="BO13" s="36">
        <f>((-15.7+15)*1000000)*-1</f>
        <v>699999.9999999993</v>
      </c>
      <c r="BP13" s="18"/>
      <c r="BQ13" s="18"/>
      <c r="BR13" s="18"/>
      <c r="BS13" s="36">
        <f>((-26.3-16.1)*1000000)*-1</f>
        <v>42400000.000000007</v>
      </c>
      <c r="BT13" s="36"/>
      <c r="BU13" s="36"/>
      <c r="BV13" s="36"/>
      <c r="BW13" s="36">
        <f>((1.5-9)*1000000)*-1</f>
        <v>7500000</v>
      </c>
      <c r="BX13" s="36">
        <f>((-47.7-185.1)*1000000)*-1</f>
        <v>232800000</v>
      </c>
      <c r="BY13" s="36">
        <f>((238.9+561.4)*1000000)*-1</f>
        <v>-800300000</v>
      </c>
      <c r="BZ13" s="36"/>
      <c r="CA13" s="36">
        <f>((-3.9-34.5)*1000000)*-1</f>
        <v>38400000</v>
      </c>
      <c r="CB13" s="18"/>
      <c r="CC13" s="36">
        <f>((90.3+380.2)*1000000)*-1</f>
        <v>-470500000</v>
      </c>
      <c r="CD13" s="36"/>
      <c r="CE13" s="36"/>
      <c r="CF13" s="36">
        <f>(277640+693290)*1000</f>
        <v>970930000</v>
      </c>
      <c r="CG13" s="36">
        <f>(4838599+11640899-2875978-8095849)*1000</f>
        <v>5507671000</v>
      </c>
      <c r="CH13" s="36">
        <v>0</v>
      </c>
      <c r="CI13" s="33"/>
      <c r="CJ13" s="33"/>
      <c r="CK13" s="33"/>
      <c r="CL13" s="36">
        <f>((-1085.6-2271.1)*1000000)*-1</f>
        <v>3356700000</v>
      </c>
      <c r="CM13" s="36">
        <f>(223027+628429)*1000</f>
        <v>851456000</v>
      </c>
      <c r="CN13" s="7"/>
      <c r="CO13" s="4"/>
    </row>
    <row r="14" spans="1:93" x14ac:dyDescent="0.25">
      <c r="A14" s="4" t="s">
        <v>129</v>
      </c>
      <c r="B14" s="4">
        <f t="shared" si="0"/>
        <v>2011</v>
      </c>
      <c r="C14" s="4" t="s">
        <v>506</v>
      </c>
      <c r="D14" s="4" t="s">
        <v>483</v>
      </c>
      <c r="E14" s="5" t="s">
        <v>507</v>
      </c>
      <c r="F14" s="5" t="s">
        <v>508</v>
      </c>
      <c r="G14" s="5" t="s">
        <v>410</v>
      </c>
      <c r="H14" s="4"/>
      <c r="I14" s="5" t="s">
        <v>509</v>
      </c>
      <c r="J14" s="5" t="s">
        <v>509</v>
      </c>
      <c r="K14" s="5"/>
      <c r="L14" s="7">
        <f>(10916+168306+6581+344549+9032+199705)*1000</f>
        <v>739089000</v>
      </c>
      <c r="M14" s="5"/>
      <c r="N14" s="5"/>
      <c r="O14" s="5"/>
      <c r="P14" s="5"/>
      <c r="Q14" s="5" t="s">
        <v>510</v>
      </c>
      <c r="R14" s="5" t="s">
        <v>410</v>
      </c>
      <c r="S14" s="4" t="s">
        <v>413</v>
      </c>
      <c r="T14" s="5"/>
      <c r="U14" s="5"/>
      <c r="V14" s="4" t="s">
        <v>414</v>
      </c>
      <c r="W14" s="4" t="s">
        <v>488</v>
      </c>
      <c r="X14" s="4" t="s">
        <v>415</v>
      </c>
      <c r="Y14" s="5"/>
      <c r="Z14" s="5"/>
      <c r="AA14" s="5" t="s">
        <v>511</v>
      </c>
      <c r="AB14" s="4" t="s">
        <v>416</v>
      </c>
      <c r="AC14" s="4" t="s">
        <v>416</v>
      </c>
      <c r="AD14" s="4"/>
      <c r="AE14" s="4" t="s">
        <v>432</v>
      </c>
      <c r="AF14" s="4" t="s">
        <v>416</v>
      </c>
      <c r="AG14" s="4" t="s">
        <v>432</v>
      </c>
      <c r="AH14" s="4" t="s">
        <v>432</v>
      </c>
      <c r="AI14" s="5">
        <v>2.5000000000000001E-2</v>
      </c>
      <c r="AJ14" s="5">
        <v>7.0000000000000007E-2</v>
      </c>
      <c r="AK14" s="5">
        <v>0.03</v>
      </c>
      <c r="AL14" s="4" t="s">
        <v>512</v>
      </c>
      <c r="AM14" s="4" t="s">
        <v>513</v>
      </c>
      <c r="AN14" s="4" t="s">
        <v>514</v>
      </c>
      <c r="AO14" s="4" t="s">
        <v>420</v>
      </c>
      <c r="AP14" s="4">
        <v>1994</v>
      </c>
      <c r="AQ14" s="4"/>
      <c r="AR14" s="4" t="s">
        <v>457</v>
      </c>
      <c r="AS14" s="4"/>
      <c r="AT14" s="4" t="s">
        <v>491</v>
      </c>
      <c r="AU14" s="4" t="s">
        <v>515</v>
      </c>
      <c r="AV14" s="4" t="s">
        <v>424</v>
      </c>
      <c r="AW14" s="5">
        <v>7.0000000000000007E-2</v>
      </c>
      <c r="AX14" s="4" t="s">
        <v>416</v>
      </c>
      <c r="AY14" s="5">
        <v>7.0000000000000007E-2</v>
      </c>
      <c r="AZ14" s="4" t="s">
        <v>425</v>
      </c>
      <c r="BA14" s="5"/>
      <c r="BB14" s="5"/>
      <c r="BC14" s="5">
        <f>(11522000+19638000+9421000)/(13992901000+24520362000+12767072000)</f>
        <v>7.9135598470641817E-4</v>
      </c>
      <c r="BD14" s="4" t="s">
        <v>416</v>
      </c>
      <c r="BE14" s="7">
        <f>(14406275+25166124)*1000</f>
        <v>39572399000</v>
      </c>
      <c r="BF14" s="7">
        <f>(20407958+37771732)*1000</f>
        <v>58179690000</v>
      </c>
      <c r="BG14" s="7">
        <f>(6001683+12605608)*1000</f>
        <v>18607291000</v>
      </c>
      <c r="BH14" s="5" t="s">
        <v>516</v>
      </c>
      <c r="BI14" s="7">
        <f>(3686259+6922130)*1000</f>
        <v>10608389000</v>
      </c>
      <c r="BJ14" s="36">
        <f>((-592.8-1014.6-451.1)*1000000)*-1</f>
        <v>2058500000</v>
      </c>
      <c r="BK14" s="36">
        <f>((17.6+168-9.8)*1000000)*-1</f>
        <v>-175799999.99999997</v>
      </c>
      <c r="BL14" s="18"/>
      <c r="BM14" s="18"/>
      <c r="BN14" s="18"/>
      <c r="BO14" s="36">
        <f>((-18.2+17.2-3.1)*1000000)*-1</f>
        <v>4099999.9999999995</v>
      </c>
      <c r="BP14" s="18"/>
      <c r="BQ14" s="18"/>
      <c r="BR14" s="18"/>
      <c r="BS14" s="36">
        <f>((-3-22.9+27.8)*1000000)*-1</f>
        <v>-1900000.0000000021</v>
      </c>
      <c r="BT14" s="36"/>
      <c r="BU14" s="36"/>
      <c r="BV14" s="36"/>
      <c r="BW14" s="36">
        <f>((2-9.2+4.3)*1000000)*-1</f>
        <v>2899999.9999999995</v>
      </c>
      <c r="BX14" s="36">
        <f>((-52.4-126.2-48.7)*1000000)*-1</f>
        <v>227300000</v>
      </c>
      <c r="BY14" s="36">
        <f>((-198.3+773.6+230.9)*1000000)*-1</f>
        <v>-806199999.99999988</v>
      </c>
      <c r="BZ14" s="36"/>
      <c r="CA14" s="36">
        <f>((-8.5-28.7-9.2)*1000000)*-1</f>
        <v>46400000.000000007</v>
      </c>
      <c r="CB14" s="18"/>
      <c r="CC14" s="36">
        <f>((-11.8+88.4-5.6)*1000000)*-1</f>
        <v>-71000000.000000015</v>
      </c>
      <c r="CD14" s="36"/>
      <c r="CE14" s="36"/>
      <c r="CF14" s="36">
        <f>(303627+779624)*1000</f>
        <v>1083251000</v>
      </c>
      <c r="CG14" s="36">
        <f>(6001683+12605608-4838599-11640899)*1000</f>
        <v>2127793000</v>
      </c>
      <c r="CH14" s="36">
        <f>((-21.8-62.4-71.1)*1000000)*-1</f>
        <v>155300000</v>
      </c>
      <c r="CI14" s="36">
        <f>((126.8+256.3+68.4)*1000000)*-1</f>
        <v>-451500000</v>
      </c>
      <c r="CJ14" s="33"/>
      <c r="CK14" s="33"/>
      <c r="CL14" s="36">
        <v>0</v>
      </c>
      <c r="CM14" s="36">
        <f>(351132+847635)*1000</f>
        <v>1198767000</v>
      </c>
      <c r="CN14" s="7"/>
      <c r="CO14" s="36">
        <f>((-426.9-1062.7-151)*1000000)*-1</f>
        <v>1640600000</v>
      </c>
    </row>
    <row r="15" spans="1:93" x14ac:dyDescent="0.25">
      <c r="A15" s="4" t="s">
        <v>129</v>
      </c>
      <c r="B15" s="4">
        <f t="shared" si="0"/>
        <v>2012</v>
      </c>
      <c r="C15" s="4" t="s">
        <v>462</v>
      </c>
      <c r="D15" s="4" t="s">
        <v>483</v>
      </c>
      <c r="E15" s="5" t="s">
        <v>517</v>
      </c>
      <c r="F15" s="5" t="s">
        <v>518</v>
      </c>
      <c r="G15" s="5" t="s">
        <v>410</v>
      </c>
      <c r="H15" s="4"/>
      <c r="I15" s="5" t="s">
        <v>519</v>
      </c>
      <c r="J15" s="5" t="s">
        <v>519</v>
      </c>
      <c r="K15" s="5"/>
      <c r="L15" s="7">
        <f>(188266+1412+7203+357044+12774+199066)*1000</f>
        <v>765765000</v>
      </c>
      <c r="M15" s="5"/>
      <c r="N15" s="5"/>
      <c r="O15" s="5"/>
      <c r="P15" s="5"/>
      <c r="Q15" s="5" t="s">
        <v>520</v>
      </c>
      <c r="R15" s="5" t="s">
        <v>410</v>
      </c>
      <c r="S15" s="4" t="s">
        <v>521</v>
      </c>
      <c r="T15" s="5"/>
      <c r="U15" s="5"/>
      <c r="V15" s="4" t="s">
        <v>522</v>
      </c>
      <c r="W15" s="4" t="s">
        <v>488</v>
      </c>
      <c r="X15" s="4" t="s">
        <v>415</v>
      </c>
      <c r="Y15" s="5"/>
      <c r="Z15" s="5"/>
      <c r="AA15" s="5" t="s">
        <v>511</v>
      </c>
      <c r="AB15" s="4" t="s">
        <v>416</v>
      </c>
      <c r="AC15" s="4" t="s">
        <v>416</v>
      </c>
      <c r="AD15" s="4"/>
      <c r="AE15" s="4" t="s">
        <v>432</v>
      </c>
      <c r="AF15" s="4" t="s">
        <v>416</v>
      </c>
      <c r="AG15" s="4" t="s">
        <v>432</v>
      </c>
      <c r="AH15" s="4" t="s">
        <v>432</v>
      </c>
      <c r="AI15" s="5">
        <v>2.5000000000000001E-2</v>
      </c>
      <c r="AJ15" s="5">
        <v>7.0000000000000007E-2</v>
      </c>
      <c r="AK15" s="5">
        <v>0.03</v>
      </c>
      <c r="AL15" s="4" t="s">
        <v>523</v>
      </c>
      <c r="AM15" s="4" t="s">
        <v>513</v>
      </c>
      <c r="AN15" s="4" t="s">
        <v>514</v>
      </c>
      <c r="AO15" s="4" t="s">
        <v>420</v>
      </c>
      <c r="AP15" s="4">
        <v>1994</v>
      </c>
      <c r="AQ15" s="4"/>
      <c r="AR15" s="4" t="s">
        <v>457</v>
      </c>
      <c r="AS15" s="4"/>
      <c r="AT15" s="4" t="s">
        <v>491</v>
      </c>
      <c r="AU15" s="4" t="s">
        <v>524</v>
      </c>
      <c r="AV15" s="4" t="s">
        <v>424</v>
      </c>
      <c r="AW15" s="5">
        <v>7.0000000000000007E-2</v>
      </c>
      <c r="AX15" s="4" t="s">
        <v>416</v>
      </c>
      <c r="AY15" s="5">
        <v>7.0000000000000007E-2</v>
      </c>
      <c r="AZ15" s="4" t="s">
        <v>425</v>
      </c>
      <c r="BA15" s="5"/>
      <c r="BB15" s="5"/>
      <c r="BC15" s="5">
        <f>(10929000+18958000+9703000)/(13469215000+23930149000+12867357000)</f>
        <v>7.8759861817921249E-4</v>
      </c>
      <c r="BD15" s="4" t="s">
        <v>416</v>
      </c>
      <c r="BE15" s="7">
        <f>(13740366+24391761+13079788)*1000</f>
        <v>51211915000</v>
      </c>
      <c r="BF15" s="7">
        <f>(20944258+39090408+17824190)*1000</f>
        <v>77858856000</v>
      </c>
      <c r="BG15" s="7">
        <f>(7203892+14698647+4744402)*1000</f>
        <v>26646941000</v>
      </c>
      <c r="BH15" s="5" t="s">
        <v>525</v>
      </c>
      <c r="BI15" s="7">
        <f>(3713119+7004577+4162579)*1000</f>
        <v>14880275000</v>
      </c>
      <c r="BJ15" s="36">
        <f>((-974.5-1635.4-754.3)*1000000)*-1</f>
        <v>3364200000</v>
      </c>
      <c r="BK15" s="36">
        <f>((35.9+148.6+9.5)*1000000)*-1</f>
        <v>-194000000</v>
      </c>
      <c r="BL15" s="18"/>
      <c r="BM15" s="18"/>
      <c r="BN15" s="18"/>
      <c r="BO15" s="36">
        <f>((-15+12.4+19.4)*1000000)*-1</f>
        <v>-16799999.999999996</v>
      </c>
      <c r="BP15" s="18"/>
      <c r="BQ15" s="18"/>
      <c r="BR15" s="18"/>
      <c r="BS15" s="36">
        <f>((-18.7-23.1+25.4)*1000000)*-1</f>
        <v>16399999.999999998</v>
      </c>
      <c r="BT15" s="36"/>
      <c r="BU15" s="36"/>
      <c r="BV15" s="36"/>
      <c r="BW15" s="36">
        <f>((0.6-8.1+5.3)*1000000)*-1</f>
        <v>2200000</v>
      </c>
      <c r="BX15" s="36">
        <f>((-46.1-149.3-9.8)*1000000)*-1</f>
        <v>205200000.00000003</v>
      </c>
      <c r="BY15" s="36">
        <f>((234.9+443.3+129.8)*1000000)*-1</f>
        <v>-808000000</v>
      </c>
      <c r="BZ15" s="36"/>
      <c r="CA15" s="36">
        <f>((-5.8-37.1-10.4)*1000000)*-1</f>
        <v>53300000</v>
      </c>
      <c r="CB15" s="18"/>
      <c r="CC15" s="36">
        <f>((13.1+16.2-16.8)*1000000)*-1</f>
        <v>-12499999.999999996</v>
      </c>
      <c r="CD15" s="36"/>
      <c r="CE15" s="36"/>
      <c r="CF15" s="36">
        <f>(315244+756662)*1000</f>
        <v>1071906000</v>
      </c>
      <c r="CG15" s="36">
        <f>(7203892+14698647-6001683-12605608)*1000</f>
        <v>3295248000</v>
      </c>
      <c r="CH15" s="36">
        <f>((35.6-35.1+24.9)*1000000)*-1</f>
        <v>-25400000</v>
      </c>
      <c r="CI15" s="36">
        <f>((-56.4-95-37.9)*1000000)*-1</f>
        <v>189300000</v>
      </c>
      <c r="CJ15" s="33"/>
      <c r="CK15" s="33"/>
      <c r="CL15" s="36">
        <f>((33.1+118.4+65.2)*1000000)*-1</f>
        <v>-216700000</v>
      </c>
      <c r="CM15" s="36">
        <f>(431410+906845)*1000</f>
        <v>1338255000</v>
      </c>
      <c r="CN15" s="7"/>
      <c r="CO15" s="36">
        <f>((-394.2-769.3-81.5)*1000000)*-1</f>
        <v>1245000000</v>
      </c>
    </row>
    <row r="16" spans="1:93" x14ac:dyDescent="0.25">
      <c r="A16" s="4" t="s">
        <v>129</v>
      </c>
      <c r="B16" s="4">
        <f t="shared" si="0"/>
        <v>2013</v>
      </c>
      <c r="C16" s="4" t="s">
        <v>526</v>
      </c>
      <c r="D16" s="4" t="s">
        <v>483</v>
      </c>
      <c r="E16" s="5" t="s">
        <v>527</v>
      </c>
      <c r="F16" s="5" t="s">
        <v>528</v>
      </c>
      <c r="G16" s="5" t="s">
        <v>410</v>
      </c>
      <c r="H16" s="34">
        <f>427663561+894692989</f>
        <v>1322356550</v>
      </c>
      <c r="I16" s="5" t="s">
        <v>529</v>
      </c>
      <c r="J16" s="5" t="s">
        <v>529</v>
      </c>
      <c r="K16" s="5"/>
      <c r="L16" s="7">
        <f>(189035+4057+219018+147617+164490+56021)*1000</f>
        <v>780238000</v>
      </c>
      <c r="M16" s="5"/>
      <c r="N16" s="5"/>
      <c r="O16" s="5"/>
      <c r="P16" s="5"/>
      <c r="Q16" s="5" t="s">
        <v>530</v>
      </c>
      <c r="R16" s="5" t="s">
        <v>410</v>
      </c>
      <c r="S16" s="4" t="s">
        <v>521</v>
      </c>
      <c r="T16" s="5"/>
      <c r="U16" s="5"/>
      <c r="V16" s="17" t="s">
        <v>531</v>
      </c>
      <c r="W16" s="4" t="s">
        <v>488</v>
      </c>
      <c r="X16" s="4" t="s">
        <v>415</v>
      </c>
      <c r="Y16" s="5"/>
      <c r="Z16" s="5"/>
      <c r="AA16" s="5" t="s">
        <v>511</v>
      </c>
      <c r="AB16" s="4" t="s">
        <v>416</v>
      </c>
      <c r="AC16" s="4" t="s">
        <v>416</v>
      </c>
      <c r="AD16" s="4"/>
      <c r="AE16" s="4" t="s">
        <v>432</v>
      </c>
      <c r="AF16" s="4" t="s">
        <v>416</v>
      </c>
      <c r="AG16" s="4" t="s">
        <v>432</v>
      </c>
      <c r="AH16" s="4" t="s">
        <v>432</v>
      </c>
      <c r="AI16" s="5">
        <v>2.5000000000000001E-2</v>
      </c>
      <c r="AJ16" s="5">
        <v>7.0000000000000007E-2</v>
      </c>
      <c r="AK16" s="5">
        <v>0.03</v>
      </c>
      <c r="AL16" s="4" t="s">
        <v>532</v>
      </c>
      <c r="AM16" s="4" t="s">
        <v>533</v>
      </c>
      <c r="AN16" s="4" t="s">
        <v>534</v>
      </c>
      <c r="AO16" s="4" t="s">
        <v>535</v>
      </c>
      <c r="AP16" s="4">
        <v>2000</v>
      </c>
      <c r="AQ16" s="4" t="s">
        <v>536</v>
      </c>
      <c r="AR16" s="4" t="s">
        <v>537</v>
      </c>
      <c r="AS16" s="4" t="s">
        <v>538</v>
      </c>
      <c r="AT16" s="4" t="s">
        <v>491</v>
      </c>
      <c r="AU16" s="4" t="s">
        <v>539</v>
      </c>
      <c r="AV16" s="4" t="s">
        <v>424</v>
      </c>
      <c r="AW16" s="5">
        <v>7.0000000000000007E-2</v>
      </c>
      <c r="AX16" s="4" t="s">
        <v>416</v>
      </c>
      <c r="AY16" s="5">
        <v>7.0000000000000007E-2</v>
      </c>
      <c r="AZ16" s="4" t="s">
        <v>425</v>
      </c>
      <c r="BA16" s="5"/>
      <c r="BB16" s="5"/>
      <c r="BC16" s="5">
        <f>(9656000+16998000+9052000)/(14502362000+26076425000+14393949000)</f>
        <v>6.4952197394723082E-4</v>
      </c>
      <c r="BD16" s="4" t="s">
        <v>416</v>
      </c>
      <c r="BE16" s="7">
        <f>(13714404+24724679+13685498)*1000</f>
        <v>52124581000</v>
      </c>
      <c r="BF16" s="7">
        <f>(21068651+39852334+18156606)*1000</f>
        <v>79077591000</v>
      </c>
      <c r="BG16" s="7">
        <f>(7354247+15127655+4471108)*1000</f>
        <v>26953010000</v>
      </c>
      <c r="BH16" s="5" t="s">
        <v>540</v>
      </c>
      <c r="BI16" s="7">
        <f>(3716548+7211543+4340988)*1000</f>
        <v>15269079000</v>
      </c>
      <c r="BJ16" s="36">
        <f>((-444.7-741.1-324.2)*1000000)*-1</f>
        <v>1510000000</v>
      </c>
      <c r="BK16" s="36">
        <f>((31.3+160.9-42.4)*1000000)*-1</f>
        <v>-149800000</v>
      </c>
      <c r="BL16" s="18"/>
      <c r="BM16" s="18"/>
      <c r="BN16" s="18"/>
      <c r="BO16" s="36">
        <f>((-19.3+7.9-34.1)*1000000)*-1</f>
        <v>45500000</v>
      </c>
      <c r="BP16" s="18"/>
      <c r="BQ16" s="18"/>
      <c r="BR16" s="18"/>
      <c r="BS16" s="36">
        <f>((-35-25.1+37)*1000000)*-1</f>
        <v>23100000</v>
      </c>
      <c r="BT16" s="36"/>
      <c r="BU16" s="36"/>
      <c r="BV16" s="36"/>
      <c r="BW16" s="36">
        <f>((0.8-8.9+3.4)*1000000)*-1</f>
        <v>4699999.9999999991</v>
      </c>
      <c r="BX16" s="36">
        <f>((-49.8-142.7-19.8)*1000000)*-1</f>
        <v>212300000</v>
      </c>
      <c r="BY16" s="36">
        <f>((201.6+7-112.4)*1000000)*-1</f>
        <v>-96199999.999999985</v>
      </c>
      <c r="BZ16" s="36"/>
      <c r="CA16" s="36">
        <f>((-5.6-32.1-11.1)*1000000)*-1</f>
        <v>48800000.000000007</v>
      </c>
      <c r="CB16" s="18"/>
      <c r="CC16" s="36">
        <f>((-20.7-5.9-87.2)*1000000)*-1</f>
        <v>113800000.00000001</v>
      </c>
      <c r="CD16" s="36"/>
      <c r="CE16" s="36"/>
      <c r="CF16" s="36">
        <f>(312456+742659)*1000</f>
        <v>1055115000</v>
      </c>
      <c r="CG16" s="36">
        <f>(7354247+15127655-7203892-14698647)*1000</f>
        <v>579363000</v>
      </c>
      <c r="CH16" s="36">
        <f>((-2.7-30.1-41.1)*1000000)*-1</f>
        <v>73900000</v>
      </c>
      <c r="CI16" s="36">
        <f>((44+79.3+30.8)*1000000)*-1</f>
        <v>-154100000</v>
      </c>
      <c r="CJ16" s="33"/>
      <c r="CK16" s="33"/>
      <c r="CL16" s="36">
        <f>((450.5+878.4+960.2)*1000000)*-1</f>
        <v>-2289100000.0000005</v>
      </c>
      <c r="CM16" s="36">
        <f>(507951+1038727)*1000</f>
        <v>1546678000</v>
      </c>
      <c r="CN16" s="7"/>
      <c r="CO16" s="36">
        <f>((-251.5-491.9-38.2)*1000000)*-1</f>
        <v>781600000</v>
      </c>
    </row>
    <row r="17" spans="1:93" x14ac:dyDescent="0.25">
      <c r="A17" s="4" t="s">
        <v>129</v>
      </c>
      <c r="B17" s="4">
        <f t="shared" si="0"/>
        <v>2014</v>
      </c>
      <c r="C17" s="4" t="s">
        <v>462</v>
      </c>
      <c r="D17" s="4" t="s">
        <v>483</v>
      </c>
      <c r="E17" s="5" t="s">
        <v>541</v>
      </c>
      <c r="F17" s="5" t="s">
        <v>542</v>
      </c>
      <c r="G17" s="5" t="s">
        <v>543</v>
      </c>
      <c r="H17" s="35">
        <f>410310385+851386518</f>
        <v>1261696903</v>
      </c>
      <c r="I17" s="5" t="s">
        <v>544</v>
      </c>
      <c r="J17" s="5" t="s">
        <v>544</v>
      </c>
      <c r="K17" s="5"/>
      <c r="L17" s="7">
        <f>(197923+112+312485+58756+190955+34600)*1000</f>
        <v>794831000</v>
      </c>
      <c r="M17" s="5"/>
      <c r="N17" s="5"/>
      <c r="O17" s="5"/>
      <c r="P17" s="5"/>
      <c r="Q17" s="5" t="s">
        <v>545</v>
      </c>
      <c r="R17" s="5" t="s">
        <v>543</v>
      </c>
      <c r="S17" s="4" t="s">
        <v>521</v>
      </c>
      <c r="T17" s="5"/>
      <c r="U17" s="5"/>
      <c r="V17" s="17" t="s">
        <v>531</v>
      </c>
      <c r="W17" s="4" t="s">
        <v>488</v>
      </c>
      <c r="X17" s="4" t="s">
        <v>415</v>
      </c>
      <c r="Y17" s="5"/>
      <c r="Z17" s="5"/>
      <c r="AA17" s="5" t="s">
        <v>511</v>
      </c>
      <c r="AB17" s="4" t="s">
        <v>416</v>
      </c>
      <c r="AC17" s="4" t="s">
        <v>416</v>
      </c>
      <c r="AD17" s="4"/>
      <c r="AE17" s="4" t="s">
        <v>432</v>
      </c>
      <c r="AF17" s="4" t="s">
        <v>432</v>
      </c>
      <c r="AG17" s="4" t="s">
        <v>432</v>
      </c>
      <c r="AH17" s="4" t="s">
        <v>432</v>
      </c>
      <c r="AI17" s="5">
        <v>2.5000000000000001E-2</v>
      </c>
      <c r="AJ17" s="5">
        <v>7.0000000000000007E-2</v>
      </c>
      <c r="AK17" s="5">
        <v>0.03</v>
      </c>
      <c r="AL17" s="4" t="s">
        <v>532</v>
      </c>
      <c r="AM17" s="4" t="s">
        <v>546</v>
      </c>
      <c r="AN17" s="4" t="s">
        <v>547</v>
      </c>
      <c r="AO17" s="4" t="s">
        <v>535</v>
      </c>
      <c r="AP17" s="4">
        <v>2000</v>
      </c>
      <c r="AQ17" s="4" t="s">
        <v>536</v>
      </c>
      <c r="AR17" s="4" t="s">
        <v>537</v>
      </c>
      <c r="AS17" s="4" t="s">
        <v>538</v>
      </c>
      <c r="AT17" s="4" t="s">
        <v>491</v>
      </c>
      <c r="AU17" s="4" t="s">
        <v>548</v>
      </c>
      <c r="AV17" s="4" t="s">
        <v>424</v>
      </c>
      <c r="AW17" s="5">
        <v>7.0000000000000007E-2</v>
      </c>
      <c r="AX17" s="4" t="s">
        <v>416</v>
      </c>
      <c r="AY17" s="5">
        <v>7.0000000000000007E-2</v>
      </c>
      <c r="AZ17" s="4" t="s">
        <v>425</v>
      </c>
      <c r="BA17" s="5"/>
      <c r="BB17" s="5"/>
      <c r="BC17" s="5">
        <f>(12341000+22036000+12153000)/(16168535000+29411183000+16627539000)</f>
        <v>7.4798347080309293E-4</v>
      </c>
      <c r="BD17" s="4" t="s">
        <v>416</v>
      </c>
      <c r="BE17" s="7">
        <f>(14826208+27026576+15291783)*1000</f>
        <v>57144567000</v>
      </c>
      <c r="BF17" s="7">
        <f>(21822936+41297669+18962779)*1000</f>
        <v>82083384000</v>
      </c>
      <c r="BG17" s="7">
        <f>(6996728+14271093+3670996)*1000</f>
        <v>24938817000</v>
      </c>
      <c r="BH17" s="5" t="s">
        <v>549</v>
      </c>
      <c r="BI17" s="7">
        <f>(3854779+7362793+4453787)*1000</f>
        <v>15671359000</v>
      </c>
      <c r="BJ17" s="36">
        <f>((737.1+1280.8+675.8)*1000000)*-1</f>
        <v>-2693700000</v>
      </c>
      <c r="BK17" s="36">
        <f>((39.6+122.4-48.5)*1000000)*-1</f>
        <v>-113500000</v>
      </c>
      <c r="BL17" s="18"/>
      <c r="BM17" s="18"/>
      <c r="BN17" s="18"/>
      <c r="BO17" s="36">
        <f>((-12.7+0.3+22.8)*1000000)*-1</f>
        <v>-10400000.000000002</v>
      </c>
      <c r="BP17" s="18"/>
      <c r="BQ17" s="18"/>
      <c r="BR17" s="18"/>
      <c r="BS17" s="36">
        <f>((1.6-23.5+98.9)*1000000)*-1</f>
        <v>-77000000</v>
      </c>
      <c r="BT17" s="36"/>
      <c r="BU17" s="36"/>
      <c r="BV17" s="36"/>
      <c r="BW17" s="36">
        <f>((1.8-4.4+18.4)*1000000)*-1</f>
        <v>-15799999.999999996</v>
      </c>
      <c r="BX17" s="36">
        <f>((-40.5-117.6-17.6)*1000000)*-1</f>
        <v>175700000</v>
      </c>
      <c r="BY17" s="36">
        <f>((-116.5+86.2+52.2)*1000000)*-1</f>
        <v>-21900000.000000007</v>
      </c>
      <c r="BZ17" s="36"/>
      <c r="CA17" s="36">
        <f>((-5.5-28.7-10.4)*1000000)*-1</f>
        <v>44600000</v>
      </c>
      <c r="CB17" s="18"/>
      <c r="CC17" s="36">
        <f>((-37.1-39.5-25.7)*1000000)*-1</f>
        <v>102300000</v>
      </c>
      <c r="CD17" s="36"/>
      <c r="CE17" s="36"/>
      <c r="CF17" s="36">
        <f>(344972+777103+490428)*1000</f>
        <v>1612503000</v>
      </c>
      <c r="CG17" s="36">
        <f>(6996728+14271093+3670996-7354247-15127655-4473029)*1000</f>
        <v>-2016114000</v>
      </c>
      <c r="CH17" s="36">
        <f>((2-9.1+5.2)*1000000)*-1</f>
        <v>1899999.9999999995</v>
      </c>
      <c r="CI17" s="36">
        <f>((111.3+212.1+78.7)*1000000)*-1</f>
        <v>-402099999.99999994</v>
      </c>
      <c r="CJ17" s="33"/>
      <c r="CK17" s="33"/>
      <c r="CL17" s="36">
        <f>(-1.1*1000000)*-1</f>
        <v>1100000</v>
      </c>
      <c r="CM17" s="36">
        <f>(519995+1070455+320666)*1000</f>
        <v>1911116000</v>
      </c>
      <c r="CN17" s="7"/>
      <c r="CO17" s="36">
        <f>((-266.5-521.1+3.2)*1000000)*-1</f>
        <v>784400000</v>
      </c>
    </row>
    <row r="18" spans="1:93" x14ac:dyDescent="0.25">
      <c r="A18" s="4" t="s">
        <v>129</v>
      </c>
      <c r="B18" s="4">
        <f t="shared" si="0"/>
        <v>2015</v>
      </c>
      <c r="C18" s="4" t="s">
        <v>550</v>
      </c>
      <c r="D18" s="4" t="s">
        <v>483</v>
      </c>
      <c r="E18" s="5" t="s">
        <v>551</v>
      </c>
      <c r="F18" s="5" t="s">
        <v>552</v>
      </c>
      <c r="G18" s="5" t="s">
        <v>553</v>
      </c>
      <c r="H18" s="35">
        <f>376818596+762979825</f>
        <v>1139798421</v>
      </c>
      <c r="I18" s="5" t="s">
        <v>554</v>
      </c>
      <c r="J18" s="5" t="s">
        <v>554</v>
      </c>
      <c r="K18" s="5"/>
      <c r="L18" s="7">
        <f>(195471+111+342398+31127+207292+19768)*1000</f>
        <v>796167000</v>
      </c>
      <c r="M18" s="5"/>
      <c r="N18" s="5"/>
      <c r="O18" s="5"/>
      <c r="P18" s="5"/>
      <c r="Q18" s="5" t="s">
        <v>555</v>
      </c>
      <c r="R18" s="5" t="s">
        <v>553</v>
      </c>
      <c r="S18" s="4" t="s">
        <v>521</v>
      </c>
      <c r="T18" s="5"/>
      <c r="U18" s="5"/>
      <c r="V18" s="17" t="s">
        <v>556</v>
      </c>
      <c r="W18" s="4" t="s">
        <v>314</v>
      </c>
      <c r="X18" s="4" t="s">
        <v>415</v>
      </c>
      <c r="Y18" s="5"/>
      <c r="Z18" s="5"/>
      <c r="AA18" s="5" t="s">
        <v>511</v>
      </c>
      <c r="AB18" s="4" t="s">
        <v>416</v>
      </c>
      <c r="AC18" s="4" t="s">
        <v>416</v>
      </c>
      <c r="AD18" s="4"/>
      <c r="AE18" s="4" t="s">
        <v>432</v>
      </c>
      <c r="AF18" s="4" t="s">
        <v>432</v>
      </c>
      <c r="AG18" s="4" t="s">
        <v>432</v>
      </c>
      <c r="AH18" s="4" t="s">
        <v>432</v>
      </c>
      <c r="AI18" s="5">
        <v>2.5000000000000001E-2</v>
      </c>
      <c r="AJ18" s="5">
        <v>7.0000000000000007E-2</v>
      </c>
      <c r="AK18" s="5">
        <v>0.03</v>
      </c>
      <c r="AL18" s="4" t="s">
        <v>557</v>
      </c>
      <c r="AM18" s="4" t="s">
        <v>558</v>
      </c>
      <c r="AN18" s="4" t="s">
        <v>559</v>
      </c>
      <c r="AO18" s="4" t="s">
        <v>535</v>
      </c>
      <c r="AP18" s="4">
        <v>2000</v>
      </c>
      <c r="AQ18" s="4" t="s">
        <v>536</v>
      </c>
      <c r="AR18" s="4" t="s">
        <v>537</v>
      </c>
      <c r="AS18" s="4" t="s">
        <v>538</v>
      </c>
      <c r="AT18" s="4" t="s">
        <v>560</v>
      </c>
      <c r="AU18" s="4" t="s">
        <v>561</v>
      </c>
      <c r="AV18" s="4" t="s">
        <v>424</v>
      </c>
      <c r="AW18" s="5">
        <v>7.0000000000000007E-2</v>
      </c>
      <c r="AX18" s="4" t="s">
        <v>416</v>
      </c>
      <c r="AY18" s="5">
        <v>7.0000000000000007E-2</v>
      </c>
      <c r="AZ18" s="4" t="s">
        <v>425</v>
      </c>
      <c r="BA18" s="5"/>
      <c r="BB18" s="5"/>
      <c r="BC18" s="5">
        <f>(10302000+18238000+10358000)/(16398575000+30344072000+17283021000)</f>
        <v>6.0753758945552899E-4</v>
      </c>
      <c r="BD18" s="4" t="s">
        <v>416</v>
      </c>
      <c r="BE18" s="7">
        <f>(15881597+29441485+16760519)*1000</f>
        <v>62083601000</v>
      </c>
      <c r="BF18" s="7">
        <f>(22291558+42564178+19855406)*1000</f>
        <v>84711142000</v>
      </c>
      <c r="BG18" s="7">
        <f>(6409961+13122693+3094887)*1000</f>
        <v>22627541000</v>
      </c>
      <c r="BH18" s="8"/>
      <c r="BI18" s="7">
        <f>(3872724+7488507+4540149)*1000</f>
        <v>15901380000</v>
      </c>
      <c r="BJ18" s="36">
        <f>((522.4+912.1+497)*1000000)*-1</f>
        <v>-1931500000</v>
      </c>
      <c r="BK18" s="36">
        <f>((40.7+107.9-8.7)*1000000)*-1</f>
        <v>-139900000.00000003</v>
      </c>
      <c r="BL18" s="18"/>
      <c r="BM18" s="18"/>
      <c r="BN18" s="18"/>
      <c r="BO18" s="36">
        <f>((-2.2+5.7+6)*1000000)*-1</f>
        <v>-9500000</v>
      </c>
      <c r="BP18" s="18"/>
      <c r="BQ18" s="18"/>
      <c r="BR18" s="18"/>
      <c r="BS18" s="36">
        <f>((-2.5-0.4-5.5)*1000000)*-1</f>
        <v>8400000</v>
      </c>
      <c r="BT18" s="36"/>
      <c r="BU18" s="36"/>
      <c r="BV18" s="36"/>
      <c r="BW18" s="36">
        <f>((0.7-4.8+3.5)*1000000)*-1</f>
        <v>599999.99999999965</v>
      </c>
      <c r="BX18" s="36">
        <f>((-38.7-112.1+2.7)*1000000)*-1</f>
        <v>148100000.00000003</v>
      </c>
      <c r="BY18" s="36">
        <f>((172.6+239.6+51.3)*1000000)*-1</f>
        <v>-463500000</v>
      </c>
      <c r="BZ18" s="36"/>
      <c r="CA18" s="36">
        <f>((-3.5-21.3-12)*1000000)*-1</f>
        <v>36800000</v>
      </c>
      <c r="CB18" s="18"/>
      <c r="CC18" s="36">
        <f>((-32.7-26-17.9)*1000000)*-1</f>
        <v>76600000</v>
      </c>
      <c r="CD18" s="36"/>
      <c r="CE18" s="36"/>
      <c r="CF18" s="36">
        <f>(350606+774674+496210)*1000</f>
        <v>1621490000</v>
      </c>
      <c r="CG18" s="36">
        <f>(6409961+13122693+3094887-6996728-14271093-3670996)*1000</f>
        <v>-2311276000</v>
      </c>
      <c r="CH18" s="36">
        <f>((-2.7-10.5-8.4)*1000000)*-1</f>
        <v>21600000</v>
      </c>
      <c r="CI18" s="36">
        <f>((97.8+188.2+70.7)*1000000)*-1</f>
        <v>-356700000</v>
      </c>
      <c r="CJ18" s="33"/>
      <c r="CK18" s="33"/>
      <c r="CL18" s="36">
        <f>(-2.1*1000000)*-1</f>
        <v>2100000</v>
      </c>
      <c r="CM18" s="36">
        <f>(490650+995787+265078)*1000</f>
        <v>1751515000</v>
      </c>
      <c r="CN18" s="7"/>
      <c r="CO18" s="36">
        <f>((-130.1-75+34.4)*1000000)*-1</f>
        <v>170700000</v>
      </c>
    </row>
    <row r="19" spans="1:93" x14ac:dyDescent="0.25">
      <c r="A19" s="4" t="s">
        <v>129</v>
      </c>
      <c r="B19" s="4">
        <f t="shared" si="0"/>
        <v>2016</v>
      </c>
      <c r="C19" s="4" t="s">
        <v>462</v>
      </c>
      <c r="D19" s="4" t="s">
        <v>483</v>
      </c>
      <c r="E19" s="5" t="s">
        <v>562</v>
      </c>
      <c r="F19" s="5" t="s">
        <v>563</v>
      </c>
      <c r="G19" s="5" t="s">
        <v>564</v>
      </c>
      <c r="H19" s="35">
        <f>343854252+755176922</f>
        <v>1099031174</v>
      </c>
      <c r="I19" s="5" t="s">
        <v>565</v>
      </c>
      <c r="J19" s="5" t="s">
        <v>565</v>
      </c>
      <c r="K19" s="5"/>
      <c r="L19" s="7">
        <f>(200061+123+365794+14520+223114+8820)*1000</f>
        <v>812432000</v>
      </c>
      <c r="M19" s="5"/>
      <c r="N19" s="5"/>
      <c r="O19" s="5"/>
      <c r="P19" s="5"/>
      <c r="Q19" s="5" t="s">
        <v>566</v>
      </c>
      <c r="R19" s="5" t="s">
        <v>564</v>
      </c>
      <c r="S19" s="4" t="s">
        <v>521</v>
      </c>
      <c r="T19" s="5"/>
      <c r="U19" s="5"/>
      <c r="V19" s="17" t="s">
        <v>556</v>
      </c>
      <c r="W19" s="4" t="s">
        <v>314</v>
      </c>
      <c r="X19" s="4" t="s">
        <v>415</v>
      </c>
      <c r="Y19" s="5"/>
      <c r="Z19" s="5"/>
      <c r="AA19" s="5" t="s">
        <v>511</v>
      </c>
      <c r="AB19" s="4" t="s">
        <v>416</v>
      </c>
      <c r="AC19" s="4" t="s">
        <v>416</v>
      </c>
      <c r="AD19" s="4"/>
      <c r="AE19" s="4" t="s">
        <v>432</v>
      </c>
      <c r="AF19" s="4" t="s">
        <v>432</v>
      </c>
      <c r="AG19" s="4" t="s">
        <v>432</v>
      </c>
      <c r="AH19" s="4" t="s">
        <v>432</v>
      </c>
      <c r="AI19" s="5">
        <v>2.5000000000000001E-2</v>
      </c>
      <c r="AJ19" s="5">
        <v>7.0000000000000007E-2</v>
      </c>
      <c r="AK19" s="5">
        <v>0.03</v>
      </c>
      <c r="AL19" s="4" t="s">
        <v>557</v>
      </c>
      <c r="AM19" s="4" t="s">
        <v>567</v>
      </c>
      <c r="AN19" s="4" t="s">
        <v>568</v>
      </c>
      <c r="AO19" s="4" t="s">
        <v>535</v>
      </c>
      <c r="AP19" s="4">
        <v>2000</v>
      </c>
      <c r="AQ19" s="4" t="s">
        <v>536</v>
      </c>
      <c r="AR19" s="4" t="s">
        <v>537</v>
      </c>
      <c r="AS19" s="4" t="s">
        <v>538</v>
      </c>
      <c r="AT19" s="4" t="s">
        <v>560</v>
      </c>
      <c r="AU19" s="4" t="s">
        <v>569</v>
      </c>
      <c r="AV19" s="4" t="s">
        <v>424</v>
      </c>
      <c r="AW19" s="5">
        <v>7.0000000000000007E-2</v>
      </c>
      <c r="AX19" s="4" t="s">
        <v>416</v>
      </c>
      <c r="AY19" s="5">
        <v>7.0000000000000007E-2</v>
      </c>
      <c r="AZ19" s="4" t="s">
        <v>425</v>
      </c>
      <c r="BA19" s="5"/>
      <c r="BB19" s="5"/>
      <c r="BC19" s="5">
        <f>(10140000+18859000+10696000)/(16367842000+30168211000+17418106000)</f>
        <v>6.206789459931761E-4</v>
      </c>
      <c r="BD19" s="4" t="s">
        <v>416</v>
      </c>
      <c r="BE19" s="7">
        <f>(16672776+30768277+17762683)*1000</f>
        <v>65203736000</v>
      </c>
      <c r="BF19" s="7">
        <f>(22878243+43581629+20659120)*1000</f>
        <v>87118992000</v>
      </c>
      <c r="BG19" s="7">
        <f>(6205467+12813352+2896437)*1000</f>
        <v>21915256000</v>
      </c>
      <c r="BH19" s="8"/>
      <c r="BI19" s="7">
        <f>(4002477+7666824+4656697)*1000</f>
        <v>16325998000</v>
      </c>
      <c r="BJ19" s="36">
        <f>((-1.9-17.3+0.6)*1000000)*-1</f>
        <v>18599999.999999996</v>
      </c>
      <c r="BK19" s="36">
        <f>((-9.6+73.4-18.5)*1000000)*-1</f>
        <v>-45300000.000000007</v>
      </c>
      <c r="BL19" s="18"/>
      <c r="BM19" s="18"/>
      <c r="BN19" s="18"/>
      <c r="BO19" s="36">
        <f>((-2.6+2.9+1.3)*1000000)*-1</f>
        <v>-1599999.9999999998</v>
      </c>
      <c r="BP19" s="18"/>
      <c r="BQ19" s="18"/>
      <c r="BR19" s="18"/>
      <c r="BS19" s="36">
        <f>((-10.6-6.2-18.5)*1000000)*-1</f>
        <v>35300000</v>
      </c>
      <c r="BT19" s="36"/>
      <c r="BU19" s="36"/>
      <c r="BV19" s="36"/>
      <c r="BW19" s="36">
        <f>((0.6+0.8+26.4)*1000000)*-1</f>
        <v>-27799999.999999996</v>
      </c>
      <c r="BX19" s="36">
        <f>((-41.6-118.3+3.7)*1000000)*-1</f>
        <v>156200000.00000003</v>
      </c>
      <c r="BY19" s="36">
        <f>((-116.7+156.9+15.7)*1000000)*-1</f>
        <v>-55900000.000000007</v>
      </c>
      <c r="BZ19" s="36"/>
      <c r="CA19" s="36">
        <f>((-3.8-22.3-11)*1000000)*-1</f>
        <v>37100000</v>
      </c>
      <c r="CB19" s="18"/>
      <c r="CC19" s="36">
        <f>((-22-12.4-2.9)*1000000)*-1</f>
        <v>37300000</v>
      </c>
      <c r="CD19" s="36"/>
      <c r="CE19" s="36"/>
      <c r="CF19" s="36">
        <f>(345588+774632+500301)*1000</f>
        <v>1620521000</v>
      </c>
      <c r="CG19" s="36">
        <f>(6205467+12813352+2896437-6409961-13122693-3094887)*1000</f>
        <v>-712285000</v>
      </c>
      <c r="CH19" s="36">
        <f>((9.7-6.8-12.3)*1000000)*-1</f>
        <v>9400000.0000000019</v>
      </c>
      <c r="CI19" s="36">
        <f>((277+532.7+207)*1000000)*-1</f>
        <v>-1016700000</v>
      </c>
      <c r="CJ19" s="33"/>
      <c r="CK19" s="33"/>
      <c r="CL19" s="36">
        <f>(-32.9*1000000)*-1</f>
        <v>32900000</v>
      </c>
      <c r="CM19" s="36">
        <f>(440949+922988+224886)*1000</f>
        <v>1588823000</v>
      </c>
      <c r="CN19" s="7"/>
      <c r="CO19" s="36">
        <f>((145.7-224+87.9)*1000000)*-1</f>
        <v>-9599999.9999999944</v>
      </c>
    </row>
    <row r="20" spans="1:93" x14ac:dyDescent="0.25">
      <c r="A20" s="4" t="s">
        <v>129</v>
      </c>
      <c r="B20" s="4">
        <f t="shared" si="0"/>
        <v>2017</v>
      </c>
      <c r="C20" s="4" t="s">
        <v>570</v>
      </c>
      <c r="D20" s="4" t="s">
        <v>483</v>
      </c>
      <c r="E20" s="5" t="s">
        <v>571</v>
      </c>
      <c r="F20" s="5" t="s">
        <v>572</v>
      </c>
      <c r="G20" s="5" t="s">
        <v>573</v>
      </c>
      <c r="H20" s="35">
        <f>318547027+735253516</f>
        <v>1053800543</v>
      </c>
      <c r="I20" s="5" t="s">
        <v>574</v>
      </c>
      <c r="J20" s="5" t="s">
        <v>574</v>
      </c>
      <c r="K20" s="5"/>
      <c r="L20" s="7">
        <f>(201267+124+392742-12+238633+3)*1000</f>
        <v>832757000</v>
      </c>
      <c r="M20" s="5"/>
      <c r="N20" s="5"/>
      <c r="O20" s="5"/>
      <c r="P20" s="5"/>
      <c r="Q20" s="5" t="s">
        <v>575</v>
      </c>
      <c r="R20" s="5" t="s">
        <v>573</v>
      </c>
      <c r="S20" s="4" t="s">
        <v>521</v>
      </c>
      <c r="T20" s="5"/>
      <c r="U20" s="5"/>
      <c r="V20" s="17" t="s">
        <v>556</v>
      </c>
      <c r="W20" s="4" t="s">
        <v>314</v>
      </c>
      <c r="X20" s="4" t="s">
        <v>415</v>
      </c>
      <c r="Y20" s="5"/>
      <c r="Z20" s="5"/>
      <c r="AA20" s="5" t="s">
        <v>511</v>
      </c>
      <c r="AB20" s="4" t="s">
        <v>416</v>
      </c>
      <c r="AC20" s="4" t="s">
        <v>416</v>
      </c>
      <c r="AD20" s="4"/>
      <c r="AE20" s="4" t="s">
        <v>432</v>
      </c>
      <c r="AF20" s="4" t="s">
        <v>432</v>
      </c>
      <c r="AG20" s="4" t="s">
        <v>432</v>
      </c>
      <c r="AH20" s="4" t="s">
        <v>432</v>
      </c>
      <c r="AI20" s="5">
        <v>2.5000000000000001E-2</v>
      </c>
      <c r="AJ20" s="5">
        <v>7.0000000000000007E-2</v>
      </c>
      <c r="AK20" s="5">
        <v>0.03</v>
      </c>
      <c r="AL20" s="4" t="s">
        <v>557</v>
      </c>
      <c r="AM20" s="4" t="s">
        <v>576</v>
      </c>
      <c r="AN20" s="4" t="s">
        <v>577</v>
      </c>
      <c r="AO20" s="4" t="s">
        <v>578</v>
      </c>
      <c r="AP20" s="4">
        <v>2014</v>
      </c>
      <c r="AQ20" s="4" t="s">
        <v>579</v>
      </c>
      <c r="AR20" s="4" t="s">
        <v>580</v>
      </c>
      <c r="AS20" s="4" t="s">
        <v>581</v>
      </c>
      <c r="AT20" s="4" t="s">
        <v>560</v>
      </c>
      <c r="AU20" s="4" t="s">
        <v>582</v>
      </c>
      <c r="AV20" s="4" t="s">
        <v>424</v>
      </c>
      <c r="AW20" s="5">
        <v>7.0000000000000007E-2</v>
      </c>
      <c r="AX20" s="4" t="s">
        <v>416</v>
      </c>
      <c r="AY20" s="5">
        <v>7.0000000000000007E-2</v>
      </c>
      <c r="AZ20" s="4" t="s">
        <v>425</v>
      </c>
      <c r="BA20" s="5"/>
      <c r="BB20" s="5"/>
      <c r="BC20" s="5">
        <f>(11612000+21123000+12220000)/(17789888000+33119545000+19250247000)</f>
        <v>6.4075263741225727E-4</v>
      </c>
      <c r="BD20" s="4" t="s">
        <v>416</v>
      </c>
      <c r="BE20" s="7">
        <f>(17547764+32684868+18981614)*1000</f>
        <v>69214246000</v>
      </c>
      <c r="BF20" s="7">
        <f>(23311534+45006017+21533733)*1000</f>
        <v>89851284000</v>
      </c>
      <c r="BG20" s="7">
        <f>(5763770+12321149+2552119)*1000</f>
        <v>20637038000</v>
      </c>
      <c r="BH20" s="5"/>
      <c r="BI20" s="7">
        <f>(4037072+7919450+4808354)*1000</f>
        <v>16764876000</v>
      </c>
      <c r="BJ20" s="36">
        <f>((268.6+467.6+267.2)*1000000)*-1</f>
        <v>-1003400000.0000001</v>
      </c>
      <c r="BK20" s="36">
        <f>((9+82.6-32.6)*1000000)*-1</f>
        <v>-58999999.999999993</v>
      </c>
      <c r="BL20" s="18"/>
      <c r="BM20" s="18"/>
      <c r="BN20" s="18"/>
      <c r="BO20" s="36">
        <f>((-2.9-1.5-11.4)*1000000)*-1</f>
        <v>15800000</v>
      </c>
      <c r="BP20" s="18"/>
      <c r="BQ20" s="18"/>
      <c r="BR20" s="18"/>
      <c r="BS20" s="36">
        <f>((30.3-9.5+10)*1000000)*-1</f>
        <v>-30800000</v>
      </c>
      <c r="BT20" s="36"/>
      <c r="BU20" s="36"/>
      <c r="BV20" s="36"/>
      <c r="BW20" s="36">
        <f>((1.1-0.5+1.7)*1000000)*-1</f>
        <v>-2300000</v>
      </c>
      <c r="BX20" s="36">
        <f>((-37.3-116.5+2.2)*1000000)*-1</f>
        <v>151600000.00000003</v>
      </c>
      <c r="BY20" s="36">
        <f>((150.1+59.6+4.5)*1000000)*-1</f>
        <v>-214200000</v>
      </c>
      <c r="BZ20" s="36"/>
      <c r="CA20" s="36">
        <f>((3.5-23.6-12.2)*1000000)*-1</f>
        <v>32299999.999999996</v>
      </c>
      <c r="CB20" s="18"/>
      <c r="CC20" s="36">
        <f>((-14.6-2.2-32.9)*1000000)*-1</f>
        <v>49700000</v>
      </c>
      <c r="CD20" s="36"/>
      <c r="CE20" s="36"/>
      <c r="CF20" s="36">
        <f>(346014+776145+506162)*1000</f>
        <v>1628321000</v>
      </c>
      <c r="CG20" s="36">
        <f>(5763770+12321149+2552119-6205467-12813352-2896437)*1000</f>
        <v>-1278218000</v>
      </c>
      <c r="CH20" s="36">
        <f>((10.1+22.7+1)*1000000)*-1</f>
        <v>-33800000</v>
      </c>
      <c r="CI20" s="36">
        <f>((148.9+286.1+115.2)*1000000)*-1</f>
        <v>-550200000</v>
      </c>
      <c r="CJ20" s="33"/>
      <c r="CK20" s="33"/>
      <c r="CL20" s="36">
        <f>((-62.3-104.3+49.3)*1000000)*-1</f>
        <v>117300000</v>
      </c>
      <c r="CM20" s="36">
        <f>(433283+898543+213609)*1000</f>
        <v>1545435000</v>
      </c>
      <c r="CN20" s="7"/>
      <c r="CO20" s="36">
        <f>((-14.8-131.7+29)*1000000)*-1</f>
        <v>117500000</v>
      </c>
    </row>
    <row r="21" spans="1:93" x14ac:dyDescent="0.25">
      <c r="A21" s="4" t="s">
        <v>129</v>
      </c>
      <c r="B21" s="4">
        <f t="shared" si="0"/>
        <v>2018</v>
      </c>
      <c r="C21" s="4" t="s">
        <v>462</v>
      </c>
      <c r="D21" s="4" t="s">
        <v>483</v>
      </c>
      <c r="E21" s="5" t="s">
        <v>583</v>
      </c>
      <c r="F21" s="5" t="s">
        <v>584</v>
      </c>
      <c r="G21" s="5" t="s">
        <v>585</v>
      </c>
      <c r="H21" s="35">
        <f>320800907+716584113</f>
        <v>1037385020</v>
      </c>
      <c r="I21" s="5" t="s">
        <v>586</v>
      </c>
      <c r="J21" s="5" t="s">
        <v>586</v>
      </c>
      <c r="K21" s="5"/>
      <c r="L21" s="7">
        <f>(201920+391490+241339)*1000</f>
        <v>834749000</v>
      </c>
      <c r="M21" s="5"/>
      <c r="N21" s="5"/>
      <c r="O21" s="5"/>
      <c r="P21" s="5"/>
      <c r="Q21" s="5" t="s">
        <v>587</v>
      </c>
      <c r="R21" s="5" t="s">
        <v>585</v>
      </c>
      <c r="S21" s="4" t="s">
        <v>521</v>
      </c>
      <c r="T21" s="5"/>
      <c r="U21" s="5"/>
      <c r="V21" s="17" t="s">
        <v>556</v>
      </c>
      <c r="W21" s="4" t="s">
        <v>314</v>
      </c>
      <c r="X21" s="4" t="s">
        <v>415</v>
      </c>
      <c r="Y21" s="5"/>
      <c r="Z21" s="5"/>
      <c r="AA21" s="5" t="s">
        <v>511</v>
      </c>
      <c r="AB21" s="4" t="s">
        <v>416</v>
      </c>
      <c r="AC21" s="4" t="s">
        <v>416</v>
      </c>
      <c r="AD21" s="4"/>
      <c r="AE21" s="4" t="s">
        <v>432</v>
      </c>
      <c r="AF21" s="4" t="s">
        <v>432</v>
      </c>
      <c r="AG21" s="4" t="s">
        <v>432</v>
      </c>
      <c r="AH21" s="4" t="s">
        <v>432</v>
      </c>
      <c r="AI21" s="5">
        <v>2.5000000000000001E-2</v>
      </c>
      <c r="AJ21" s="5">
        <v>7.0000000000000007E-2</v>
      </c>
      <c r="AK21" s="5">
        <v>0.03</v>
      </c>
      <c r="AL21" s="4" t="s">
        <v>557</v>
      </c>
      <c r="AM21" s="4" t="s">
        <v>588</v>
      </c>
      <c r="AN21" s="4" t="s">
        <v>589</v>
      </c>
      <c r="AO21" s="4" t="s">
        <v>578</v>
      </c>
      <c r="AP21" s="4">
        <v>2014</v>
      </c>
      <c r="AQ21" s="4" t="s">
        <v>579</v>
      </c>
      <c r="AR21" s="4" t="s">
        <v>580</v>
      </c>
      <c r="AS21" s="4" t="s">
        <v>581</v>
      </c>
      <c r="AT21" s="4" t="s">
        <v>560</v>
      </c>
      <c r="AU21" s="4" t="s">
        <v>582</v>
      </c>
      <c r="AV21" s="4" t="s">
        <v>424</v>
      </c>
      <c r="AW21" s="5">
        <v>7.0000000000000007E-2</v>
      </c>
      <c r="AX21" s="4" t="s">
        <v>416</v>
      </c>
      <c r="AY21" s="5">
        <v>7.0000000000000007E-2</v>
      </c>
      <c r="AZ21" s="4" t="s">
        <v>425</v>
      </c>
      <c r="BA21" s="5"/>
      <c r="BB21" s="5"/>
      <c r="BC21" s="5">
        <f>(11481000+20945000+12236000)/(18532189000+34919563000+20302821000)</f>
        <v>6.0554889254121229E-4</v>
      </c>
      <c r="BD21" s="4" t="s">
        <v>416</v>
      </c>
      <c r="BE21" s="7">
        <f>(18392939+34673952+20137904)*1000</f>
        <v>73204795000</v>
      </c>
      <c r="BF21" s="7">
        <f>(24115157+46516176+22543485)*1000</f>
        <v>93174818000</v>
      </c>
      <c r="BG21" s="7">
        <f>(5722218+11842224+2405581)*1000</f>
        <v>19970023000</v>
      </c>
      <c r="BH21" s="5" t="s">
        <v>590</v>
      </c>
      <c r="BI21" s="7">
        <f>(4161922+8479023+4973503)*1000</f>
        <v>17614448000</v>
      </c>
      <c r="BJ21" s="36">
        <f>((227.1+344+172.5)*1000000)*-1</f>
        <v>-743600000</v>
      </c>
      <c r="BK21" s="36">
        <f>((-11+71.3-48.6)*1000000)*-1</f>
        <v>-11699999.999999996</v>
      </c>
      <c r="BL21" s="18"/>
      <c r="BM21" s="18"/>
      <c r="BN21" s="18"/>
      <c r="BO21" s="36">
        <f>((3.9+4.4+2)*1000000)*-1</f>
        <v>-10300000</v>
      </c>
      <c r="BP21" s="18"/>
      <c r="BQ21" s="18"/>
      <c r="BR21" s="18"/>
      <c r="BS21" s="36">
        <f>((33.3+34.3+9.5)*1000000)*-1</f>
        <v>-77100000</v>
      </c>
      <c r="BT21" s="36"/>
      <c r="BU21" s="36"/>
      <c r="BV21" s="36"/>
      <c r="BW21" s="36">
        <f>((-1.1+0.2+1)*1000000)*-1</f>
        <v>-99999.999999999869</v>
      </c>
      <c r="BX21" s="36">
        <f>((-38-107.5-22)*1000000)*-1</f>
        <v>167500000</v>
      </c>
      <c r="BY21" s="36">
        <f>((-41.7+265.3+8.4)*1000000)*-1</f>
        <v>-232000000.00000003</v>
      </c>
      <c r="BZ21" s="36"/>
      <c r="CA21" s="36">
        <f>((-3.5-24-13.2)*1000000)*-1</f>
        <v>40700000</v>
      </c>
      <c r="CB21" s="18"/>
      <c r="CC21" s="36">
        <f>((-3.6+15.8+16.1)*1000000)*-1</f>
        <v>-28300000.000000004</v>
      </c>
      <c r="CD21" s="36"/>
      <c r="CE21" s="36"/>
      <c r="CF21" s="36">
        <f>(351369+827579+509123)*1000</f>
        <v>1688071000</v>
      </c>
      <c r="CG21" s="36">
        <f>(5722218+11842224+2405581-5763770-12321149-2552119)*1000</f>
        <v>-667015000</v>
      </c>
      <c r="CH21" s="36">
        <f>((-4.5-7.2+6.5)*1000000)*-1</f>
        <v>5199999.9999999991</v>
      </c>
      <c r="CI21" s="36">
        <f>((47+88.3+43.4)*1000000)*-1</f>
        <v>-178700000.00000003</v>
      </c>
      <c r="CJ21" s="33"/>
      <c r="CK21" s="33"/>
      <c r="CL21" s="36">
        <f>((-150.2-177.5-48.9)*1000000)*-1</f>
        <v>376599999.99999994</v>
      </c>
      <c r="CM21" s="36">
        <f>(402249+862263+189153)*1000</f>
        <v>1453665000</v>
      </c>
      <c r="CN21" s="7"/>
      <c r="CO21" s="36">
        <f>((46.4+47.3+71.5)*1000000)*-1</f>
        <v>-165200000</v>
      </c>
    </row>
    <row r="22" spans="1:93" x14ac:dyDescent="0.25">
      <c r="A22" s="4" t="s">
        <v>129</v>
      </c>
      <c r="B22" s="4">
        <v>2019</v>
      </c>
      <c r="C22" s="4" t="s">
        <v>591</v>
      </c>
      <c r="D22" s="4" t="s">
        <v>483</v>
      </c>
      <c r="E22" s="5" t="s">
        <v>592</v>
      </c>
      <c r="F22" s="5" t="s">
        <v>593</v>
      </c>
      <c r="G22" s="5" t="s">
        <v>594</v>
      </c>
      <c r="H22" s="35">
        <f>369295378+799330089</f>
        <v>1168625467</v>
      </c>
      <c r="I22" s="5" t="s">
        <v>595</v>
      </c>
      <c r="J22" s="5" t="s">
        <v>595</v>
      </c>
      <c r="K22" s="5"/>
      <c r="L22" s="7">
        <f>(201481+403258+248421)*1000</f>
        <v>853160000</v>
      </c>
      <c r="M22" s="5"/>
      <c r="N22" s="5"/>
      <c r="O22" s="5"/>
      <c r="P22" s="5"/>
      <c r="Q22" s="5" t="s">
        <v>596</v>
      </c>
      <c r="R22" s="5" t="s">
        <v>594</v>
      </c>
      <c r="S22" s="4" t="s">
        <v>521</v>
      </c>
      <c r="T22" s="5"/>
      <c r="U22" s="5"/>
      <c r="V22" s="17" t="s">
        <v>556</v>
      </c>
      <c r="W22" s="4" t="s">
        <v>314</v>
      </c>
      <c r="X22" s="4" t="s">
        <v>415</v>
      </c>
      <c r="Y22" s="5"/>
      <c r="Z22" s="5"/>
      <c r="AA22" s="5" t="s">
        <v>511</v>
      </c>
      <c r="AB22" s="4" t="s">
        <v>416</v>
      </c>
      <c r="AC22" s="4" t="s">
        <v>416</v>
      </c>
      <c r="AD22" s="4"/>
      <c r="AE22" s="4" t="s">
        <v>432</v>
      </c>
      <c r="AF22" s="4" t="s">
        <v>432</v>
      </c>
      <c r="AG22" s="4" t="s">
        <v>432</v>
      </c>
      <c r="AH22" s="4" t="s">
        <v>432</v>
      </c>
      <c r="AI22" s="5">
        <v>2.5000000000000001E-2</v>
      </c>
      <c r="AJ22" s="5">
        <v>6.7500000000000004E-2</v>
      </c>
      <c r="AK22" s="5">
        <v>0.03</v>
      </c>
      <c r="AL22" s="4" t="s">
        <v>557</v>
      </c>
      <c r="AM22" s="4" t="s">
        <v>597</v>
      </c>
      <c r="AN22" s="4" t="s">
        <v>598</v>
      </c>
      <c r="AO22" s="4" t="s">
        <v>578</v>
      </c>
      <c r="AP22" s="4">
        <v>2014</v>
      </c>
      <c r="AQ22" s="4" t="s">
        <v>579</v>
      </c>
      <c r="AR22" s="4" t="s">
        <v>580</v>
      </c>
      <c r="AS22" s="4" t="s">
        <v>581</v>
      </c>
      <c r="AT22" s="4" t="s">
        <v>560</v>
      </c>
      <c r="AU22" s="4" t="s">
        <v>582</v>
      </c>
      <c r="AV22" s="4" t="s">
        <v>424</v>
      </c>
      <c r="AW22" s="5">
        <v>6.7500000000000004E-2</v>
      </c>
      <c r="AX22" s="4" t="s">
        <v>416</v>
      </c>
      <c r="AY22" s="5">
        <v>6.7500000000000004E-2</v>
      </c>
      <c r="AZ22" s="4" t="s">
        <v>425</v>
      </c>
      <c r="BA22" s="5"/>
      <c r="BB22" s="5"/>
      <c r="BC22" s="5">
        <f>(12374000+22843000+13369000)/(19090110000+36522769000+21259032000)</f>
        <v>6.3203840476920104E-4</v>
      </c>
      <c r="BD22" s="4" t="s">
        <v>416</v>
      </c>
      <c r="BE22" s="7">
        <f>(18932104+36233796+21078248)*1000</f>
        <v>76244148000</v>
      </c>
      <c r="BF22" s="7">
        <f>(25398188+49303959+24431824)*1000</f>
        <v>99133971000</v>
      </c>
      <c r="BG22" s="7">
        <f>(6466084+13070163+3353576)*1000</f>
        <v>22889823000</v>
      </c>
      <c r="BH22" s="5" t="s">
        <v>599</v>
      </c>
      <c r="BI22" s="7">
        <f>(4375061+8608489+5258467)*1000</f>
        <v>18242017000</v>
      </c>
      <c r="BJ22" s="36">
        <f>((-71.7-134.7-66.1)*1000000)*-1</f>
        <v>272500000</v>
      </c>
      <c r="BK22" s="36">
        <f>((-12.3+25.3-32.8)*1000000)*-1</f>
        <v>19799999.999999996</v>
      </c>
      <c r="BL22" s="18"/>
      <c r="BM22" s="18"/>
      <c r="BN22" s="18"/>
      <c r="BO22" s="36">
        <f>((6.2+11.9+16.8)*1000000)*-1</f>
        <v>-34900000.000000007</v>
      </c>
      <c r="BP22" s="18"/>
      <c r="BQ22" s="18"/>
      <c r="BR22" s="18"/>
      <c r="BS22" s="36">
        <f>((86.6+105+14.9)*1000000)*-1</f>
        <v>-206500000</v>
      </c>
      <c r="BT22" s="36"/>
      <c r="BU22" s="36"/>
      <c r="BV22" s="36"/>
      <c r="BW22" s="36">
        <f>((-0.4-0.4+0.4)*1000000)*-1</f>
        <v>400000</v>
      </c>
      <c r="BX22" s="36">
        <f>((-11.7+45.7+2.4)*1000000)*-1</f>
        <v>-36400000</v>
      </c>
      <c r="BY22" s="36">
        <f>((-171.7-39.2-173.3)*1000000)*-1</f>
        <v>384200000</v>
      </c>
      <c r="BZ22" s="36"/>
      <c r="CA22" s="36">
        <f>((-20.9-129.4-31.6)*1000000)*-1</f>
        <v>181900000</v>
      </c>
      <c r="CB22" s="18"/>
      <c r="CC22" s="36">
        <f>((111.6+221.5+25)*1000000)*-1</f>
        <v>-358100000</v>
      </c>
      <c r="CD22" s="36"/>
      <c r="CE22" s="36"/>
      <c r="CF22" s="36">
        <f>(354541+830844+519766)*1000</f>
        <v>1705151000</v>
      </c>
      <c r="CG22" s="36">
        <f>(6466084+13070163+3353576-5722218-11842224-2405581)*1000</f>
        <v>2919800000</v>
      </c>
      <c r="CH22" s="36">
        <f>((24+121.1-23.8)*1000000)*-1</f>
        <v>-121300000</v>
      </c>
      <c r="CI22" s="36">
        <f>((8+15+6.5)*1000000)*-1</f>
        <v>-29500000</v>
      </c>
      <c r="CJ22" s="33"/>
      <c r="CK22" s="33"/>
      <c r="CL22" s="36">
        <f>((-671.3-1469.8-721)*1000000)*-1</f>
        <v>2862100000</v>
      </c>
      <c r="CM22" s="36">
        <f>(399685+829017+179103)*1000</f>
        <v>1407805000</v>
      </c>
      <c r="CN22" s="7"/>
      <c r="CO22" s="36">
        <f>((37.1+62.2+87.1)*1000000)*-1</f>
        <v>-186400000</v>
      </c>
    </row>
    <row r="23" spans="1:93" x14ac:dyDescent="0.25">
      <c r="A23" s="4" t="s">
        <v>129</v>
      </c>
      <c r="B23" s="4">
        <v>2020</v>
      </c>
      <c r="C23" s="4" t="s">
        <v>600</v>
      </c>
      <c r="D23" s="4" t="s">
        <v>483</v>
      </c>
      <c r="E23" s="5" t="s">
        <v>601</v>
      </c>
      <c r="F23" s="5" t="s">
        <v>602</v>
      </c>
      <c r="G23" s="5" t="s">
        <v>603</v>
      </c>
      <c r="H23" s="35">
        <f>374140693+833814860</f>
        <v>1207955553</v>
      </c>
      <c r="I23" s="5" t="s">
        <v>604</v>
      </c>
      <c r="J23" s="5" t="s">
        <v>604</v>
      </c>
      <c r="K23" s="5"/>
      <c r="L23" s="7">
        <f>(210896+418909+258408)*1000</f>
        <v>888213000</v>
      </c>
      <c r="M23" s="5"/>
      <c r="N23" s="5"/>
      <c r="O23" s="5"/>
      <c r="P23" s="5"/>
      <c r="Q23" s="5" t="s">
        <v>605</v>
      </c>
      <c r="R23" s="5" t="s">
        <v>603</v>
      </c>
      <c r="S23" s="4" t="s">
        <v>521</v>
      </c>
      <c r="T23" s="5"/>
      <c r="U23" s="5"/>
      <c r="V23" s="17" t="s">
        <v>556</v>
      </c>
      <c r="W23" s="4" t="s">
        <v>314</v>
      </c>
      <c r="X23" s="4" t="s">
        <v>415</v>
      </c>
      <c r="Y23" s="5"/>
      <c r="Z23" s="5"/>
      <c r="AA23" s="5" t="s">
        <v>511</v>
      </c>
      <c r="AB23" s="4" t="s">
        <v>416</v>
      </c>
      <c r="AC23" s="4" t="s">
        <v>416</v>
      </c>
      <c r="AD23" s="4"/>
      <c r="AE23" s="17" t="s">
        <v>432</v>
      </c>
      <c r="AF23" s="17" t="s">
        <v>432</v>
      </c>
      <c r="AG23" s="17" t="s">
        <v>432</v>
      </c>
      <c r="AH23" s="4" t="s">
        <v>432</v>
      </c>
      <c r="AI23" s="5">
        <v>2.5000000000000001E-2</v>
      </c>
      <c r="AJ23" s="5">
        <v>6.7500000000000004E-2</v>
      </c>
      <c r="AK23" s="5">
        <v>0.03</v>
      </c>
      <c r="AL23" s="4" t="s">
        <v>557</v>
      </c>
      <c r="AM23" s="4" t="s">
        <v>606</v>
      </c>
      <c r="AN23" s="4" t="s">
        <v>607</v>
      </c>
      <c r="AO23" s="4" t="s">
        <v>578</v>
      </c>
      <c r="AP23" s="4">
        <v>2014</v>
      </c>
      <c r="AQ23" s="4" t="s">
        <v>608</v>
      </c>
      <c r="AR23" s="4" t="s">
        <v>580</v>
      </c>
      <c r="AS23" s="4" t="s">
        <v>581</v>
      </c>
      <c r="AT23" s="4" t="s">
        <v>560</v>
      </c>
      <c r="AU23" s="4" t="s">
        <v>440</v>
      </c>
      <c r="AV23" s="4" t="s">
        <v>424</v>
      </c>
      <c r="AW23" s="5">
        <v>6.7500000000000004E-2</v>
      </c>
      <c r="AX23" s="4" t="s">
        <v>416</v>
      </c>
      <c r="AY23" s="5">
        <v>6.7500000000000004E-2</v>
      </c>
      <c r="AZ23" s="4" t="s">
        <v>425</v>
      </c>
      <c r="BA23" s="5"/>
      <c r="BB23" s="5"/>
      <c r="BC23" s="5">
        <f>(12603000+23649000+13842000)/(18770068000+36449229000+21234091000)</f>
        <v>6.5522276135100775E-4</v>
      </c>
      <c r="BD23" s="4" t="s">
        <v>416</v>
      </c>
      <c r="BE23" s="7">
        <f>(19333674+37556121+21869927)*1000</f>
        <v>78759722000</v>
      </c>
      <c r="BF23" s="7">
        <f>(25751335+50834783+25307138)*1000</f>
        <v>101893256000</v>
      </c>
      <c r="BG23" s="7">
        <f>(6417661+13278662+3437211)*1000</f>
        <v>23133534000</v>
      </c>
      <c r="BH23" s="5" t="s">
        <v>609</v>
      </c>
      <c r="BI23" s="7">
        <f>(4428496+8911307+5409540)*1000</f>
        <v>18749343000</v>
      </c>
      <c r="BJ23" s="36">
        <f>((-172.3-335.2-186.6)*1000000)*-1</f>
        <v>694100000</v>
      </c>
      <c r="BK23" s="36">
        <f>((-15.1-6.4-40.2)*1000000)*-1</f>
        <v>61700000</v>
      </c>
      <c r="BL23" s="18"/>
      <c r="BM23" s="18"/>
      <c r="BN23" s="18"/>
      <c r="BO23" s="36">
        <f>((3+13.5+18)*1000000)*-1</f>
        <v>-34500000</v>
      </c>
      <c r="BP23" s="18"/>
      <c r="BQ23" s="18"/>
      <c r="BR23" s="18"/>
      <c r="BS23" s="36">
        <f>((37.3+60.5-0.8)*1000000)*-1</f>
        <v>-97000000</v>
      </c>
      <c r="BT23" s="36"/>
      <c r="BU23" s="36"/>
      <c r="BV23" s="36"/>
      <c r="BW23" s="36">
        <f>((0.2-0.4+2.1)*1000000)*-1</f>
        <v>-1900000.0000000002</v>
      </c>
      <c r="BX23" s="36">
        <f>((-27.3-41.9-4.6)*1000000)*-1</f>
        <v>73800000</v>
      </c>
      <c r="BY23" s="36">
        <f>((172.6+54.6-0.8)*1000000)*-1</f>
        <v>-226399999.99999997</v>
      </c>
      <c r="BZ23" s="36"/>
      <c r="CA23" s="36">
        <f>((-18.5-184.7-25.9)*1000000)*-1</f>
        <v>229100000</v>
      </c>
      <c r="CB23" s="18"/>
      <c r="CC23" s="36">
        <f>((-0.1+19.9+25.1)*1000000)*-1</f>
        <v>-44900000</v>
      </c>
      <c r="CD23" s="36"/>
      <c r="CE23" s="36"/>
      <c r="CF23" s="36">
        <f>(381055+878823+565589)*1000</f>
        <v>1825467000</v>
      </c>
      <c r="CG23" s="36">
        <f>(6417661+13278662+3437211-6466084-13070163-3353576)*1000</f>
        <v>243711000</v>
      </c>
      <c r="CH23" s="36">
        <f>((14.2+67.6+99.4)*1000000)*-1</f>
        <v>-181200000</v>
      </c>
      <c r="CI23" s="36">
        <f>((97.3+184.4+81.4)*1000000)*-1</f>
        <v>-363100000</v>
      </c>
      <c r="CJ23" s="33"/>
      <c r="CK23" s="33"/>
      <c r="CL23" s="36">
        <v>12300000</v>
      </c>
      <c r="CM23" s="36">
        <f>(436053+883444+238696)*1000</f>
        <v>1558193000</v>
      </c>
      <c r="CN23" s="7"/>
      <c r="CO23" s="36">
        <f>((-0.6-11.4+7)*1000000)*-1</f>
        <v>5000000</v>
      </c>
    </row>
    <row r="24" spans="1:93" x14ac:dyDescent="0.25">
      <c r="A24" s="4" t="s">
        <v>129</v>
      </c>
      <c r="B24" s="4">
        <v>2021</v>
      </c>
      <c r="C24" s="4" t="s">
        <v>610</v>
      </c>
      <c r="D24" s="4" t="s">
        <v>483</v>
      </c>
      <c r="E24" s="5" t="s">
        <v>611</v>
      </c>
      <c r="F24" s="5" t="s">
        <v>612</v>
      </c>
      <c r="G24" s="5" t="s">
        <v>613</v>
      </c>
      <c r="H24" s="35">
        <f>362070859+708800438</f>
        <v>1070871297</v>
      </c>
      <c r="I24" s="5" t="s">
        <v>614</v>
      </c>
      <c r="J24" s="5" t="s">
        <v>614</v>
      </c>
      <c r="K24" s="4"/>
      <c r="L24" s="7">
        <f>(207065+419415+258562)*1000</f>
        <v>885042000</v>
      </c>
      <c r="M24" s="4"/>
      <c r="N24" s="4"/>
      <c r="O24" s="4"/>
      <c r="P24" s="4"/>
      <c r="Q24" s="5" t="s">
        <v>615</v>
      </c>
      <c r="R24" s="5" t="s">
        <v>613</v>
      </c>
      <c r="S24" s="4" t="s">
        <v>521</v>
      </c>
      <c r="T24" s="5"/>
      <c r="U24" s="5"/>
      <c r="V24" s="17" t="s">
        <v>556</v>
      </c>
      <c r="W24" s="4" t="s">
        <v>314</v>
      </c>
      <c r="X24" s="4" t="s">
        <v>415</v>
      </c>
      <c r="Y24" s="5"/>
      <c r="Z24" s="5"/>
      <c r="AA24" s="5" t="s">
        <v>511</v>
      </c>
      <c r="AB24" s="4" t="s">
        <v>416</v>
      </c>
      <c r="AC24" s="4" t="s">
        <v>416</v>
      </c>
      <c r="AD24" s="4"/>
      <c r="AE24" s="4" t="s">
        <v>432</v>
      </c>
      <c r="AF24" s="4" t="s">
        <v>432</v>
      </c>
      <c r="AG24" s="4" t="s">
        <v>432</v>
      </c>
      <c r="AH24" s="4" t="s">
        <v>432</v>
      </c>
      <c r="AI24" s="5">
        <v>2.5000000000000001E-2</v>
      </c>
      <c r="AJ24" s="5">
        <v>6.7500000000000004E-2</v>
      </c>
      <c r="AK24" s="5">
        <v>0.03</v>
      </c>
      <c r="AL24" s="4" t="s">
        <v>557</v>
      </c>
      <c r="AM24" s="4" t="s">
        <v>616</v>
      </c>
      <c r="AN24" s="4" t="s">
        <v>617</v>
      </c>
      <c r="AO24" s="4" t="s">
        <v>618</v>
      </c>
      <c r="AP24" s="4">
        <v>2010</v>
      </c>
      <c r="AQ24" s="4"/>
      <c r="AR24" s="4"/>
      <c r="AS24" s="4" t="s">
        <v>619</v>
      </c>
      <c r="AT24" s="4" t="s">
        <v>560</v>
      </c>
      <c r="AU24" s="4" t="s">
        <v>447</v>
      </c>
      <c r="AV24" s="4" t="s">
        <v>424</v>
      </c>
      <c r="AW24" s="5">
        <v>6.7500000000000004E-2</v>
      </c>
      <c r="AX24" s="4" t="s">
        <v>416</v>
      </c>
      <c r="AY24" s="5">
        <v>6.7500000000000004E-2</v>
      </c>
      <c r="AZ24" s="4" t="s">
        <v>425</v>
      </c>
      <c r="BA24" s="4"/>
      <c r="BB24" s="4"/>
      <c r="BC24" s="5">
        <f>(12904000+24543000+14412000)/(23112417000+45617878000+26558350000)</f>
        <v>5.4423063734404032E-4</v>
      </c>
      <c r="BD24" s="4" t="s">
        <v>416</v>
      </c>
      <c r="BE24" s="7">
        <f>(20615301+40725782+23686882)*1000</f>
        <v>85027965000</v>
      </c>
      <c r="BF24" s="7">
        <f>(26727971+52747596+27167815)*1000</f>
        <v>106643382000</v>
      </c>
      <c r="BG24" s="7">
        <f>(6112670+12021814+3480933)*1000</f>
        <v>21615417000</v>
      </c>
      <c r="BH24" s="5" t="s">
        <v>620</v>
      </c>
      <c r="BI24" s="7">
        <f>(4594347+8971605+5494729)*1000</f>
        <v>19060681000</v>
      </c>
      <c r="BJ24" s="36">
        <f>((713.5+1377.5+811.2)*1000000)*-1</f>
        <v>-2902200000</v>
      </c>
      <c r="BK24" s="36">
        <f>((36.7-37.5-70.9)*1000000)*-1</f>
        <v>71700000</v>
      </c>
      <c r="BL24" s="18"/>
      <c r="BM24" s="18"/>
      <c r="BN24" s="18"/>
      <c r="BO24" s="36">
        <f>((-1+15.2+19.6)*1000000)*-1</f>
        <v>-33800000</v>
      </c>
      <c r="BP24" s="18"/>
      <c r="BQ24" s="18"/>
      <c r="BR24" s="18"/>
      <c r="BS24" s="36">
        <f>((38.7+77.5+46.7)*1000000)*-1</f>
        <v>-162900000</v>
      </c>
      <c r="BT24" s="36"/>
      <c r="BU24" s="36"/>
      <c r="BV24" s="36"/>
      <c r="BW24" s="36">
        <f>((5.6-5.1+0.1)*1000000)*-1</f>
        <v>-600000</v>
      </c>
      <c r="BX24" s="36">
        <f>((-33.7-15.3-1.1)*1000000)*-1</f>
        <v>50100000</v>
      </c>
      <c r="BY24" s="36">
        <f>((-204.8+344.7-44.6)*1000000)*-1</f>
        <v>-95299999.999999985</v>
      </c>
      <c r="BZ24" s="36"/>
      <c r="CA24" s="36">
        <f>((-15.5-150.4-20.9)*1000000)*-1</f>
        <v>186800000</v>
      </c>
      <c r="CB24" s="18"/>
      <c r="CC24" s="36">
        <f>((-28.8-9.4-36.8)*1000000)*-1</f>
        <v>75000000</v>
      </c>
      <c r="CD24" s="36"/>
      <c r="CE24" s="36"/>
      <c r="CF24" s="36">
        <f>(379113+888914+574451)*1000</f>
        <v>1842478000</v>
      </c>
      <c r="CG24" s="36">
        <f>(6112670+12021814+3480933-6417661-13278662-3437211)*1000</f>
        <v>-1518117000</v>
      </c>
      <c r="CH24" s="36">
        <f>((17.9+91.7+35.6)*1000000)*-1</f>
        <v>-145200000</v>
      </c>
      <c r="CI24" s="36">
        <f>((185.8+353.1+159.2)*1000000)*-1</f>
        <v>-698100000.00000012</v>
      </c>
      <c r="CJ24" s="33"/>
      <c r="CK24" s="33"/>
      <c r="CL24" s="36">
        <f>((-401.8-876.2-948.9)*1000000)*-1</f>
        <v>2226900000</v>
      </c>
      <c r="CM24" s="36">
        <f>(431674+893098+242961)*1000</f>
        <v>1567733000</v>
      </c>
      <c r="CN24" s="7"/>
      <c r="CO24" s="36">
        <f>((26.2+97.3+49.9)*1000000)*-1</f>
        <v>-173400000</v>
      </c>
    </row>
    <row r="25" spans="1:93" x14ac:dyDescent="0.25">
      <c r="A25" s="4"/>
      <c r="B25" s="4"/>
      <c r="C25" s="4"/>
      <c r="D25" s="4"/>
      <c r="E25" s="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7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</row>
    <row r="26" spans="1:93" x14ac:dyDescent="0.25">
      <c r="A26" s="4" t="s">
        <v>621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</row>
    <row r="27" spans="1:93" x14ac:dyDescent="0.25">
      <c r="A27" s="4" t="s">
        <v>129</v>
      </c>
      <c r="B27" s="4">
        <v>2001</v>
      </c>
      <c r="C27" s="4" t="s">
        <v>622</v>
      </c>
      <c r="D27" s="4"/>
      <c r="E27" s="4" t="s">
        <v>623</v>
      </c>
      <c r="F27" s="4" t="s">
        <v>623</v>
      </c>
      <c r="G27" s="4" t="s">
        <v>623</v>
      </c>
      <c r="H27" s="4"/>
      <c r="I27" s="4" t="s">
        <v>623</v>
      </c>
      <c r="J27" s="4" t="s">
        <v>623</v>
      </c>
      <c r="K27" s="4"/>
      <c r="L27" s="4" t="s">
        <v>624</v>
      </c>
      <c r="M27" s="4"/>
      <c r="N27" s="4"/>
      <c r="O27" s="4"/>
      <c r="P27" s="4"/>
      <c r="Q27" s="4" t="s">
        <v>623</v>
      </c>
      <c r="R27" s="4" t="s">
        <v>623</v>
      </c>
      <c r="S27" s="4" t="s">
        <v>625</v>
      </c>
      <c r="T27" s="4"/>
      <c r="U27" s="4"/>
      <c r="V27" s="4" t="s">
        <v>625</v>
      </c>
      <c r="W27" s="4" t="s">
        <v>626</v>
      </c>
      <c r="X27" s="4" t="s">
        <v>626</v>
      </c>
      <c r="Y27" s="4"/>
      <c r="Z27" s="4"/>
      <c r="AA27" s="4" t="s">
        <v>626</v>
      </c>
      <c r="AB27" s="4"/>
      <c r="AC27" s="4"/>
      <c r="AD27" s="4"/>
      <c r="AE27" s="4"/>
      <c r="AF27" s="4"/>
      <c r="AG27" s="4"/>
      <c r="AH27" s="4"/>
      <c r="AI27" s="4" t="s">
        <v>626</v>
      </c>
      <c r="AJ27" s="4" t="s">
        <v>626</v>
      </c>
      <c r="AK27" s="4" t="s">
        <v>626</v>
      </c>
      <c r="AL27" s="4" t="s">
        <v>626</v>
      </c>
      <c r="AM27" s="4"/>
      <c r="AN27" s="4"/>
      <c r="AO27" s="4" t="s">
        <v>627</v>
      </c>
      <c r="AP27" s="4" t="s">
        <v>627</v>
      </c>
      <c r="AQ27" s="4"/>
      <c r="AR27" s="4" t="s">
        <v>627</v>
      </c>
      <c r="AS27" s="4"/>
      <c r="AT27" s="4" t="s">
        <v>626</v>
      </c>
      <c r="AU27" s="4" t="s">
        <v>626</v>
      </c>
      <c r="AV27" s="4" t="s">
        <v>626</v>
      </c>
      <c r="AW27" s="4" t="s">
        <v>626</v>
      </c>
      <c r="AX27" s="4"/>
      <c r="AY27" s="4" t="s">
        <v>626</v>
      </c>
      <c r="AZ27" s="4" t="s">
        <v>626</v>
      </c>
      <c r="BA27" s="17" t="s">
        <v>628</v>
      </c>
      <c r="BB27" s="17" t="s">
        <v>628</v>
      </c>
      <c r="BC27" s="20" t="s">
        <v>624</v>
      </c>
      <c r="BD27" s="4"/>
      <c r="BE27" s="4" t="s">
        <v>629</v>
      </c>
      <c r="BF27" s="4" t="s">
        <v>629</v>
      </c>
      <c r="BG27" s="4" t="s">
        <v>629</v>
      </c>
      <c r="BH27" s="4" t="s">
        <v>629</v>
      </c>
      <c r="BI27" s="4" t="s">
        <v>629</v>
      </c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</row>
    <row r="28" spans="1:93" x14ac:dyDescent="0.25">
      <c r="A28" s="4" t="s">
        <v>129</v>
      </c>
      <c r="B28" s="4">
        <f t="shared" ref="B28:B44" si="1">B27+1</f>
        <v>2002</v>
      </c>
      <c r="C28" s="4" t="s">
        <v>630</v>
      </c>
      <c r="D28" s="4"/>
      <c r="E28" s="4" t="s">
        <v>631</v>
      </c>
      <c r="F28" s="4" t="s">
        <v>631</v>
      </c>
      <c r="G28" s="4" t="s">
        <v>631</v>
      </c>
      <c r="H28" s="4"/>
      <c r="I28" s="4" t="s">
        <v>631</v>
      </c>
      <c r="J28" s="4" t="s">
        <v>631</v>
      </c>
      <c r="K28" s="4"/>
      <c r="L28" s="4" t="s">
        <v>632</v>
      </c>
      <c r="M28" s="4"/>
      <c r="N28" s="4"/>
      <c r="O28" s="4"/>
      <c r="P28" s="4"/>
      <c r="Q28" s="4" t="s">
        <v>631</v>
      </c>
      <c r="R28" s="4" t="s">
        <v>631</v>
      </c>
      <c r="S28" s="4" t="s">
        <v>633</v>
      </c>
      <c r="T28" s="4"/>
      <c r="U28" s="4"/>
      <c r="V28" s="4" t="s">
        <v>633</v>
      </c>
      <c r="W28" s="4" t="s">
        <v>634</v>
      </c>
      <c r="X28" s="4" t="s">
        <v>634</v>
      </c>
      <c r="Y28" s="4"/>
      <c r="Z28" s="4"/>
      <c r="AA28" s="4" t="s">
        <v>634</v>
      </c>
      <c r="AB28" s="4"/>
      <c r="AC28" s="4"/>
      <c r="AD28" s="4"/>
      <c r="AE28" s="4" t="s">
        <v>635</v>
      </c>
      <c r="AF28" s="4"/>
      <c r="AG28" s="4" t="s">
        <v>636</v>
      </c>
      <c r="AH28" s="4"/>
      <c r="AI28" s="4" t="s">
        <v>634</v>
      </c>
      <c r="AJ28" s="4" t="s">
        <v>634</v>
      </c>
      <c r="AK28" s="4" t="s">
        <v>634</v>
      </c>
      <c r="AL28" s="4" t="s">
        <v>634</v>
      </c>
      <c r="AM28" s="4"/>
      <c r="AN28" s="4"/>
      <c r="AO28" s="4" t="s">
        <v>637</v>
      </c>
      <c r="AP28" s="4" t="s">
        <v>637</v>
      </c>
      <c r="AQ28" s="4"/>
      <c r="AR28" s="4" t="s">
        <v>637</v>
      </c>
      <c r="AS28" s="4"/>
      <c r="AT28" s="4" t="s">
        <v>634</v>
      </c>
      <c r="AU28" s="4" t="s">
        <v>634</v>
      </c>
      <c r="AV28" s="4" t="s">
        <v>634</v>
      </c>
      <c r="AW28" s="4" t="s">
        <v>634</v>
      </c>
      <c r="AX28" s="4"/>
      <c r="AY28" s="4" t="s">
        <v>634</v>
      </c>
      <c r="AZ28" s="4" t="s">
        <v>634</v>
      </c>
      <c r="BA28" s="17" t="s">
        <v>638</v>
      </c>
      <c r="BB28" s="17" t="s">
        <v>638</v>
      </c>
      <c r="BC28" s="20" t="s">
        <v>632</v>
      </c>
      <c r="BD28" s="4"/>
      <c r="BE28" s="4" t="s">
        <v>639</v>
      </c>
      <c r="BF28" s="4" t="s">
        <v>639</v>
      </c>
      <c r="BG28" s="4" t="s">
        <v>639</v>
      </c>
      <c r="BH28" s="4" t="s">
        <v>639</v>
      </c>
      <c r="BI28" s="4" t="s">
        <v>639</v>
      </c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</row>
    <row r="29" spans="1:93" x14ac:dyDescent="0.25">
      <c r="A29" s="4" t="s">
        <v>129</v>
      </c>
      <c r="B29" s="4">
        <f t="shared" si="1"/>
        <v>2003</v>
      </c>
      <c r="C29" s="4" t="s">
        <v>640</v>
      </c>
      <c r="D29" s="4"/>
      <c r="E29" s="4" t="s">
        <v>641</v>
      </c>
      <c r="F29" s="4" t="s">
        <v>641</v>
      </c>
      <c r="G29" s="4" t="s">
        <v>641</v>
      </c>
      <c r="H29" s="4"/>
      <c r="I29" s="4" t="s">
        <v>641</v>
      </c>
      <c r="J29" s="4" t="s">
        <v>641</v>
      </c>
      <c r="K29" s="4"/>
      <c r="L29" s="4" t="s">
        <v>642</v>
      </c>
      <c r="M29" s="4"/>
      <c r="N29" s="4"/>
      <c r="O29" s="4"/>
      <c r="P29" s="4"/>
      <c r="Q29" s="4" t="s">
        <v>641</v>
      </c>
      <c r="R29" s="4" t="s">
        <v>641</v>
      </c>
      <c r="S29" s="4" t="s">
        <v>643</v>
      </c>
      <c r="T29" s="4"/>
      <c r="U29" s="4"/>
      <c r="V29" s="4" t="s">
        <v>643</v>
      </c>
      <c r="W29" s="4" t="s">
        <v>644</v>
      </c>
      <c r="X29" s="4" t="s">
        <v>644</v>
      </c>
      <c r="Y29" s="4"/>
      <c r="Z29" s="4"/>
      <c r="AA29" s="4" t="s">
        <v>644</v>
      </c>
      <c r="AB29" s="4"/>
      <c r="AC29" s="4"/>
      <c r="AD29" s="4"/>
      <c r="AE29" s="4" t="s">
        <v>645</v>
      </c>
      <c r="AF29" s="4"/>
      <c r="AG29" s="4" t="s">
        <v>646</v>
      </c>
      <c r="AH29" s="4"/>
      <c r="AI29" s="4" t="s">
        <v>644</v>
      </c>
      <c r="AJ29" s="4" t="s">
        <v>644</v>
      </c>
      <c r="AK29" s="4" t="s">
        <v>644</v>
      </c>
      <c r="AL29" s="4" t="s">
        <v>644</v>
      </c>
      <c r="AM29" s="4"/>
      <c r="AN29" s="4"/>
      <c r="AO29" s="4" t="s">
        <v>647</v>
      </c>
      <c r="AP29" s="4" t="s">
        <v>647</v>
      </c>
      <c r="AQ29" s="4"/>
      <c r="AR29" s="4" t="s">
        <v>647</v>
      </c>
      <c r="AS29" s="4"/>
      <c r="AT29" s="4" t="s">
        <v>644</v>
      </c>
      <c r="AU29" s="4" t="s">
        <v>644</v>
      </c>
      <c r="AV29" s="4" t="s">
        <v>644</v>
      </c>
      <c r="AW29" s="4" t="s">
        <v>644</v>
      </c>
      <c r="AX29" s="4"/>
      <c r="AY29" s="4" t="s">
        <v>644</v>
      </c>
      <c r="AZ29" s="4" t="s">
        <v>644</v>
      </c>
      <c r="BA29" s="17" t="s">
        <v>648</v>
      </c>
      <c r="BB29" s="17" t="s">
        <v>648</v>
      </c>
      <c r="BC29" s="20" t="s">
        <v>642</v>
      </c>
      <c r="BD29" s="4"/>
      <c r="BE29" s="4" t="s">
        <v>649</v>
      </c>
      <c r="BF29" s="4" t="s">
        <v>649</v>
      </c>
      <c r="BG29" s="4" t="s">
        <v>649</v>
      </c>
      <c r="BH29" s="4" t="s">
        <v>649</v>
      </c>
      <c r="BI29" s="4" t="s">
        <v>649</v>
      </c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</row>
    <row r="30" spans="1:93" x14ac:dyDescent="0.25">
      <c r="A30" s="4" t="s">
        <v>129</v>
      </c>
      <c r="B30" s="4">
        <f t="shared" si="1"/>
        <v>2004</v>
      </c>
      <c r="C30" s="4" t="s">
        <v>650</v>
      </c>
      <c r="D30" s="4"/>
      <c r="E30" s="4" t="s">
        <v>651</v>
      </c>
      <c r="F30" s="4" t="s">
        <v>651</v>
      </c>
      <c r="G30" s="4" t="s">
        <v>651</v>
      </c>
      <c r="H30" s="4"/>
      <c r="I30" s="4" t="s">
        <v>651</v>
      </c>
      <c r="J30" s="4" t="s">
        <v>651</v>
      </c>
      <c r="K30" s="4"/>
      <c r="L30" s="4" t="s">
        <v>652</v>
      </c>
      <c r="M30" s="4"/>
      <c r="N30" s="4"/>
      <c r="O30" s="4"/>
      <c r="P30" s="4"/>
      <c r="Q30" s="4" t="s">
        <v>651</v>
      </c>
      <c r="R30" s="4" t="s">
        <v>651</v>
      </c>
      <c r="S30" s="4" t="s">
        <v>653</v>
      </c>
      <c r="T30" s="4"/>
      <c r="U30" s="4"/>
      <c r="V30" s="4" t="s">
        <v>653</v>
      </c>
      <c r="W30" s="4" t="s">
        <v>654</v>
      </c>
      <c r="X30" s="4" t="s">
        <v>654</v>
      </c>
      <c r="Y30" s="4"/>
      <c r="Z30" s="4"/>
      <c r="AA30" s="4" t="s">
        <v>654</v>
      </c>
      <c r="AB30" s="4"/>
      <c r="AC30" s="4"/>
      <c r="AD30" s="4"/>
      <c r="AE30" s="4" t="s">
        <v>655</v>
      </c>
      <c r="AF30" s="4"/>
      <c r="AG30" s="4" t="s">
        <v>656</v>
      </c>
      <c r="AH30" s="4"/>
      <c r="AI30" s="4" t="s">
        <v>654</v>
      </c>
      <c r="AJ30" s="4" t="s">
        <v>654</v>
      </c>
      <c r="AK30" s="4" t="s">
        <v>654</v>
      </c>
      <c r="AL30" s="4" t="s">
        <v>654</v>
      </c>
      <c r="AM30" s="4"/>
      <c r="AN30" s="4"/>
      <c r="AO30" s="4" t="s">
        <v>657</v>
      </c>
      <c r="AP30" s="4" t="s">
        <v>657</v>
      </c>
      <c r="AQ30" s="4"/>
      <c r="AR30" s="4" t="s">
        <v>657</v>
      </c>
      <c r="AS30" s="4"/>
      <c r="AT30" s="4" t="s">
        <v>654</v>
      </c>
      <c r="AU30" s="4" t="s">
        <v>654</v>
      </c>
      <c r="AV30" s="4" t="s">
        <v>654</v>
      </c>
      <c r="AW30" s="4" t="s">
        <v>654</v>
      </c>
      <c r="AX30" s="4"/>
      <c r="AY30" s="4" t="s">
        <v>654</v>
      </c>
      <c r="AZ30" s="4" t="s">
        <v>654</v>
      </c>
      <c r="BA30" s="17" t="s">
        <v>658</v>
      </c>
      <c r="BB30" s="17" t="s">
        <v>658</v>
      </c>
      <c r="BC30" s="20" t="s">
        <v>652</v>
      </c>
      <c r="BD30" s="4"/>
      <c r="BE30" s="4" t="s">
        <v>659</v>
      </c>
      <c r="BF30" s="4" t="s">
        <v>659</v>
      </c>
      <c r="BG30" s="4" t="s">
        <v>659</v>
      </c>
      <c r="BH30" s="4" t="s">
        <v>659</v>
      </c>
      <c r="BI30" s="4" t="s">
        <v>659</v>
      </c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</row>
    <row r="31" spans="1:93" x14ac:dyDescent="0.25">
      <c r="A31" s="4" t="s">
        <v>129</v>
      </c>
      <c r="B31" s="4">
        <f t="shared" si="1"/>
        <v>2005</v>
      </c>
      <c r="C31" s="4" t="s">
        <v>660</v>
      </c>
      <c r="D31" s="4"/>
      <c r="E31" s="4" t="s">
        <v>661</v>
      </c>
      <c r="F31" s="4" t="s">
        <v>661</v>
      </c>
      <c r="G31" s="4" t="s">
        <v>661</v>
      </c>
      <c r="H31" s="4"/>
      <c r="I31" s="4" t="s">
        <v>661</v>
      </c>
      <c r="J31" s="4" t="s">
        <v>661</v>
      </c>
      <c r="K31" s="4"/>
      <c r="L31" s="4" t="s">
        <v>662</v>
      </c>
      <c r="M31" s="4"/>
      <c r="N31" s="4"/>
      <c r="O31" s="4"/>
      <c r="P31" s="4"/>
      <c r="Q31" s="4" t="s">
        <v>661</v>
      </c>
      <c r="R31" s="4" t="s">
        <v>661</v>
      </c>
      <c r="S31" s="4" t="s">
        <v>663</v>
      </c>
      <c r="T31" s="4"/>
      <c r="U31" s="4"/>
      <c r="V31" s="4" t="s">
        <v>663</v>
      </c>
      <c r="W31" s="4" t="s">
        <v>664</v>
      </c>
      <c r="X31" s="4" t="s">
        <v>664</v>
      </c>
      <c r="Y31" s="4"/>
      <c r="Z31" s="4"/>
      <c r="AA31" s="4" t="s">
        <v>664</v>
      </c>
      <c r="AB31" s="4"/>
      <c r="AC31" s="4"/>
      <c r="AD31" s="4"/>
      <c r="AE31" s="4" t="s">
        <v>665</v>
      </c>
      <c r="AF31" s="4"/>
      <c r="AG31" s="4" t="s">
        <v>666</v>
      </c>
      <c r="AH31" s="4"/>
      <c r="AI31" s="4" t="s">
        <v>664</v>
      </c>
      <c r="AJ31" s="4" t="s">
        <v>664</v>
      </c>
      <c r="AK31" s="4" t="s">
        <v>664</v>
      </c>
      <c r="AL31" s="4" t="s">
        <v>664</v>
      </c>
      <c r="AM31" s="4"/>
      <c r="AN31" s="4"/>
      <c r="AO31" s="4" t="s">
        <v>667</v>
      </c>
      <c r="AP31" s="4" t="s">
        <v>667</v>
      </c>
      <c r="AQ31" s="4"/>
      <c r="AR31" s="4" t="s">
        <v>667</v>
      </c>
      <c r="AS31" s="4"/>
      <c r="AT31" s="4" t="s">
        <v>664</v>
      </c>
      <c r="AU31" s="4" t="s">
        <v>664</v>
      </c>
      <c r="AV31" s="4" t="s">
        <v>664</v>
      </c>
      <c r="AW31" s="4" t="s">
        <v>664</v>
      </c>
      <c r="AX31" s="4"/>
      <c r="AY31" s="4" t="s">
        <v>664</v>
      </c>
      <c r="AZ31" s="4" t="s">
        <v>664</v>
      </c>
      <c r="BA31" s="17" t="s">
        <v>668</v>
      </c>
      <c r="BB31" s="17" t="s">
        <v>668</v>
      </c>
      <c r="BC31" s="20" t="s">
        <v>662</v>
      </c>
      <c r="BD31" s="4"/>
      <c r="BE31" s="4" t="s">
        <v>669</v>
      </c>
      <c r="BF31" s="4" t="s">
        <v>669</v>
      </c>
      <c r="BG31" s="4" t="s">
        <v>669</v>
      </c>
      <c r="BH31" s="4" t="s">
        <v>669</v>
      </c>
      <c r="BI31" s="4" t="s">
        <v>669</v>
      </c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</row>
    <row r="32" spans="1:93" x14ac:dyDescent="0.25">
      <c r="A32" s="4" t="s">
        <v>129</v>
      </c>
      <c r="B32" s="4">
        <f t="shared" si="1"/>
        <v>2006</v>
      </c>
      <c r="C32" s="4" t="s">
        <v>670</v>
      </c>
      <c r="D32" s="4"/>
      <c r="E32" s="4" t="s">
        <v>671</v>
      </c>
      <c r="F32" s="4" t="s">
        <v>671</v>
      </c>
      <c r="G32" s="4" t="s">
        <v>671</v>
      </c>
      <c r="H32" s="4"/>
      <c r="I32" s="4" t="s">
        <v>671</v>
      </c>
      <c r="J32" s="4" t="s">
        <v>671</v>
      </c>
      <c r="K32" s="4"/>
      <c r="L32" s="4" t="s">
        <v>672</v>
      </c>
      <c r="M32" s="4"/>
      <c r="N32" s="4"/>
      <c r="O32" s="4"/>
      <c r="P32" s="4"/>
      <c r="Q32" s="4" t="s">
        <v>671</v>
      </c>
      <c r="R32" s="4" t="s">
        <v>671</v>
      </c>
      <c r="S32" s="4" t="s">
        <v>673</v>
      </c>
      <c r="T32" s="4"/>
      <c r="U32" s="4"/>
      <c r="V32" s="4" t="s">
        <v>673</v>
      </c>
      <c r="W32" s="4" t="s">
        <v>674</v>
      </c>
      <c r="X32" s="4" t="s">
        <v>674</v>
      </c>
      <c r="Y32" s="4"/>
      <c r="Z32" s="4"/>
      <c r="AA32" s="4" t="s">
        <v>674</v>
      </c>
      <c r="AB32" s="4"/>
      <c r="AC32" s="4"/>
      <c r="AD32" s="4"/>
      <c r="AE32" s="4" t="s">
        <v>675</v>
      </c>
      <c r="AF32" s="4"/>
      <c r="AG32" s="4" t="s">
        <v>676</v>
      </c>
      <c r="AH32" s="4"/>
      <c r="AI32" s="4" t="s">
        <v>674</v>
      </c>
      <c r="AJ32" s="4" t="s">
        <v>674</v>
      </c>
      <c r="AK32" s="4" t="s">
        <v>674</v>
      </c>
      <c r="AL32" s="4" t="s">
        <v>674</v>
      </c>
      <c r="AM32" s="4"/>
      <c r="AN32" s="4"/>
      <c r="AO32" s="4" t="s">
        <v>677</v>
      </c>
      <c r="AP32" s="4" t="s">
        <v>677</v>
      </c>
      <c r="AQ32" s="4"/>
      <c r="AR32" s="4" t="s">
        <v>677</v>
      </c>
      <c r="AS32" s="4"/>
      <c r="AT32" s="4" t="s">
        <v>674</v>
      </c>
      <c r="AU32" s="4" t="s">
        <v>674</v>
      </c>
      <c r="AV32" s="4" t="s">
        <v>674</v>
      </c>
      <c r="AW32" s="4" t="s">
        <v>674</v>
      </c>
      <c r="AX32" s="4"/>
      <c r="AY32" s="4" t="s">
        <v>674</v>
      </c>
      <c r="AZ32" s="4" t="s">
        <v>674</v>
      </c>
      <c r="BA32" s="17" t="s">
        <v>678</v>
      </c>
      <c r="BB32" s="17" t="s">
        <v>678</v>
      </c>
      <c r="BC32" s="20" t="s">
        <v>672</v>
      </c>
      <c r="BD32" s="4"/>
      <c r="BE32" s="4" t="s">
        <v>679</v>
      </c>
      <c r="BF32" s="4" t="s">
        <v>679</v>
      </c>
      <c r="BG32" s="4" t="s">
        <v>679</v>
      </c>
      <c r="BH32" s="4" t="s">
        <v>679</v>
      </c>
      <c r="BI32" s="4" t="s">
        <v>679</v>
      </c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</row>
    <row r="33" spans="1:93" x14ac:dyDescent="0.25">
      <c r="A33" s="4" t="s">
        <v>129</v>
      </c>
      <c r="B33" s="4">
        <f t="shared" si="1"/>
        <v>2007</v>
      </c>
      <c r="C33" s="4" t="s">
        <v>680</v>
      </c>
      <c r="D33" s="4"/>
      <c r="E33" s="4" t="s">
        <v>681</v>
      </c>
      <c r="F33" s="4" t="s">
        <v>681</v>
      </c>
      <c r="G33" s="4" t="s">
        <v>681</v>
      </c>
      <c r="H33" s="4"/>
      <c r="I33" s="4" t="s">
        <v>681</v>
      </c>
      <c r="J33" s="4" t="s">
        <v>681</v>
      </c>
      <c r="K33" s="4"/>
      <c r="L33" s="4" t="s">
        <v>682</v>
      </c>
      <c r="M33" s="4"/>
      <c r="N33" s="4"/>
      <c r="O33" s="4"/>
      <c r="P33" s="4"/>
      <c r="Q33" s="4" t="s">
        <v>681</v>
      </c>
      <c r="R33" s="4" t="s">
        <v>681</v>
      </c>
      <c r="S33" s="4" t="s">
        <v>683</v>
      </c>
      <c r="T33" s="4"/>
      <c r="U33" s="4"/>
      <c r="V33" s="4" t="s">
        <v>683</v>
      </c>
      <c r="W33" s="4" t="s">
        <v>684</v>
      </c>
      <c r="X33" s="4" t="s">
        <v>684</v>
      </c>
      <c r="Y33" s="4"/>
      <c r="Z33" s="4"/>
      <c r="AA33" s="4" t="s">
        <v>684</v>
      </c>
      <c r="AB33" s="4"/>
      <c r="AC33" s="4"/>
      <c r="AD33" s="4"/>
      <c r="AE33" s="4" t="s">
        <v>685</v>
      </c>
      <c r="AF33" s="4"/>
      <c r="AG33" s="4" t="s">
        <v>686</v>
      </c>
      <c r="AH33" s="4"/>
      <c r="AI33" s="4" t="s">
        <v>684</v>
      </c>
      <c r="AJ33" s="4" t="s">
        <v>684</v>
      </c>
      <c r="AK33" s="4" t="s">
        <v>684</v>
      </c>
      <c r="AL33" s="4" t="s">
        <v>684</v>
      </c>
      <c r="AM33" s="4"/>
      <c r="AN33" s="4"/>
      <c r="AO33" s="4" t="s">
        <v>687</v>
      </c>
      <c r="AP33" s="4" t="s">
        <v>687</v>
      </c>
      <c r="AQ33" s="4"/>
      <c r="AR33" s="4" t="s">
        <v>687</v>
      </c>
      <c r="AS33" s="4"/>
      <c r="AT33" s="4" t="s">
        <v>684</v>
      </c>
      <c r="AU33" s="4" t="s">
        <v>684</v>
      </c>
      <c r="AV33" s="4" t="s">
        <v>684</v>
      </c>
      <c r="AW33" s="4" t="s">
        <v>684</v>
      </c>
      <c r="AX33" s="4"/>
      <c r="AY33" s="4" t="s">
        <v>684</v>
      </c>
      <c r="AZ33" s="4" t="s">
        <v>684</v>
      </c>
      <c r="BA33" s="17" t="s">
        <v>688</v>
      </c>
      <c r="BB33" s="17" t="s">
        <v>688</v>
      </c>
      <c r="BC33" s="20" t="s">
        <v>682</v>
      </c>
      <c r="BD33" s="4"/>
      <c r="BE33" s="4" t="s">
        <v>689</v>
      </c>
      <c r="BF33" s="4" t="s">
        <v>689</v>
      </c>
      <c r="BG33" s="4" t="s">
        <v>689</v>
      </c>
      <c r="BH33" s="4" t="s">
        <v>689</v>
      </c>
      <c r="BI33" s="4" t="s">
        <v>689</v>
      </c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</row>
    <row r="34" spans="1:93" x14ac:dyDescent="0.25">
      <c r="A34" s="4" t="s">
        <v>129</v>
      </c>
      <c r="B34" s="4">
        <f t="shared" si="1"/>
        <v>2008</v>
      </c>
      <c r="C34" s="4" t="s">
        <v>690</v>
      </c>
      <c r="D34" s="4"/>
      <c r="E34" s="4" t="s">
        <v>691</v>
      </c>
      <c r="F34" s="4" t="s">
        <v>691</v>
      </c>
      <c r="G34" s="4" t="s">
        <v>691</v>
      </c>
      <c r="H34" s="4"/>
      <c r="I34" s="4" t="s">
        <v>691</v>
      </c>
      <c r="J34" s="4" t="s">
        <v>691</v>
      </c>
      <c r="K34" s="4"/>
      <c r="L34" s="4" t="s">
        <v>692</v>
      </c>
      <c r="M34" s="4"/>
      <c r="N34" s="4"/>
      <c r="O34" s="4"/>
      <c r="P34" s="4"/>
      <c r="Q34" s="4" t="s">
        <v>691</v>
      </c>
      <c r="R34" s="4" t="s">
        <v>691</v>
      </c>
      <c r="S34" s="4" t="s">
        <v>693</v>
      </c>
      <c r="T34" s="4"/>
      <c r="U34" s="4"/>
      <c r="V34" s="4" t="s">
        <v>693</v>
      </c>
      <c r="W34" s="4" t="s">
        <v>694</v>
      </c>
      <c r="X34" s="4" t="s">
        <v>694</v>
      </c>
      <c r="Y34" s="4"/>
      <c r="Z34" s="4"/>
      <c r="AA34" s="4" t="s">
        <v>694</v>
      </c>
      <c r="AB34" s="4"/>
      <c r="AC34" s="4"/>
      <c r="AD34" s="4"/>
      <c r="AE34" s="4" t="s">
        <v>695</v>
      </c>
      <c r="AF34" s="4"/>
      <c r="AG34" s="4" t="s">
        <v>696</v>
      </c>
      <c r="AH34" s="4"/>
      <c r="AI34" s="4" t="s">
        <v>694</v>
      </c>
      <c r="AJ34" s="4" t="s">
        <v>694</v>
      </c>
      <c r="AK34" s="4" t="s">
        <v>694</v>
      </c>
      <c r="AL34" s="4" t="s">
        <v>694</v>
      </c>
      <c r="AM34" s="4"/>
      <c r="AN34" s="4"/>
      <c r="AO34" s="4" t="s">
        <v>697</v>
      </c>
      <c r="AP34" s="4" t="s">
        <v>697</v>
      </c>
      <c r="AQ34" s="4"/>
      <c r="AR34" s="4" t="s">
        <v>697</v>
      </c>
      <c r="AS34" s="4"/>
      <c r="AT34" s="4" t="s">
        <v>694</v>
      </c>
      <c r="AU34" s="4" t="s">
        <v>694</v>
      </c>
      <c r="AV34" s="4" t="s">
        <v>694</v>
      </c>
      <c r="AW34" s="4" t="s">
        <v>694</v>
      </c>
      <c r="AX34" s="4"/>
      <c r="AY34" s="4" t="s">
        <v>694</v>
      </c>
      <c r="AZ34" s="4" t="s">
        <v>694</v>
      </c>
      <c r="BA34" s="4"/>
      <c r="BB34" s="4"/>
      <c r="BC34" s="4" t="s">
        <v>692</v>
      </c>
      <c r="BD34" s="4"/>
      <c r="BE34" s="4" t="s">
        <v>698</v>
      </c>
      <c r="BF34" s="4" t="s">
        <v>698</v>
      </c>
      <c r="BG34" s="4" t="s">
        <v>698</v>
      </c>
      <c r="BH34" s="4" t="s">
        <v>698</v>
      </c>
      <c r="BI34" s="4" t="s">
        <v>698</v>
      </c>
      <c r="BJ34" s="4" t="s">
        <v>699</v>
      </c>
      <c r="BK34" s="4" t="s">
        <v>699</v>
      </c>
      <c r="BL34" s="4"/>
      <c r="BM34" s="4"/>
      <c r="BN34" s="4"/>
      <c r="BO34" s="4" t="s">
        <v>699</v>
      </c>
      <c r="BP34" s="4"/>
      <c r="BQ34" s="4"/>
      <c r="BR34" s="4"/>
      <c r="BS34" s="4" t="s">
        <v>699</v>
      </c>
      <c r="BT34" s="4"/>
      <c r="BU34" s="4"/>
      <c r="BV34" s="4"/>
      <c r="BW34" s="4" t="s">
        <v>699</v>
      </c>
      <c r="BX34" s="4" t="s">
        <v>699</v>
      </c>
      <c r="BY34" s="4" t="s">
        <v>699</v>
      </c>
      <c r="BZ34" s="4"/>
      <c r="CA34" s="4" t="s">
        <v>699</v>
      </c>
      <c r="CB34" s="4"/>
      <c r="CC34" s="4" t="s">
        <v>699</v>
      </c>
      <c r="CD34" s="4"/>
      <c r="CE34" s="4"/>
      <c r="CF34" s="4" t="s">
        <v>700</v>
      </c>
      <c r="CG34" s="4" t="s">
        <v>700</v>
      </c>
      <c r="CH34" s="4" t="s">
        <v>700</v>
      </c>
      <c r="CI34" s="4"/>
      <c r="CJ34" s="4"/>
      <c r="CK34" s="4"/>
      <c r="CL34" s="4"/>
      <c r="CM34" s="4"/>
      <c r="CN34" s="4"/>
      <c r="CO34" s="4"/>
    </row>
    <row r="35" spans="1:93" x14ac:dyDescent="0.25">
      <c r="A35" s="4" t="s">
        <v>129</v>
      </c>
      <c r="B35" s="4">
        <f t="shared" si="1"/>
        <v>2009</v>
      </c>
      <c r="C35" s="4" t="s">
        <v>701</v>
      </c>
      <c r="D35" s="4"/>
      <c r="E35" s="4" t="s">
        <v>702</v>
      </c>
      <c r="F35" s="4" t="s">
        <v>702</v>
      </c>
      <c r="G35" s="4" t="s">
        <v>702</v>
      </c>
      <c r="H35" s="4"/>
      <c r="I35" s="4" t="s">
        <v>702</v>
      </c>
      <c r="J35" s="4" t="s">
        <v>702</v>
      </c>
      <c r="K35" s="4"/>
      <c r="L35" s="4" t="s">
        <v>703</v>
      </c>
      <c r="M35" s="4"/>
      <c r="N35" s="4"/>
      <c r="O35" s="4"/>
      <c r="P35" s="4"/>
      <c r="Q35" s="4" t="s">
        <v>702</v>
      </c>
      <c r="R35" s="4" t="s">
        <v>702</v>
      </c>
      <c r="S35" s="4" t="s">
        <v>704</v>
      </c>
      <c r="T35" s="4"/>
      <c r="U35" s="4"/>
      <c r="V35" s="4" t="s">
        <v>704</v>
      </c>
      <c r="W35" s="4" t="s">
        <v>705</v>
      </c>
      <c r="X35" s="4" t="s">
        <v>705</v>
      </c>
      <c r="Y35" s="4"/>
      <c r="Z35" s="4"/>
      <c r="AA35" s="4" t="s">
        <v>705</v>
      </c>
      <c r="AB35" s="4"/>
      <c r="AC35" s="4"/>
      <c r="AD35" s="4"/>
      <c r="AE35" s="4" t="s">
        <v>706</v>
      </c>
      <c r="AF35" s="4"/>
      <c r="AG35" s="4" t="s">
        <v>707</v>
      </c>
      <c r="AH35" s="4"/>
      <c r="AI35" s="4" t="s">
        <v>705</v>
      </c>
      <c r="AJ35" s="4" t="s">
        <v>705</v>
      </c>
      <c r="AK35" s="4" t="s">
        <v>705</v>
      </c>
      <c r="AL35" s="4" t="s">
        <v>705</v>
      </c>
      <c r="AM35" s="4"/>
      <c r="AN35" s="4"/>
      <c r="AO35" s="4" t="s">
        <v>708</v>
      </c>
      <c r="AP35" s="4" t="s">
        <v>708</v>
      </c>
      <c r="AQ35" s="4"/>
      <c r="AR35" s="4" t="s">
        <v>708</v>
      </c>
      <c r="AS35" s="4"/>
      <c r="AT35" s="4" t="s">
        <v>705</v>
      </c>
      <c r="AU35" s="4" t="s">
        <v>705</v>
      </c>
      <c r="AV35" s="4" t="s">
        <v>705</v>
      </c>
      <c r="AW35" s="4" t="s">
        <v>705</v>
      </c>
      <c r="AX35" s="4"/>
      <c r="AY35" s="4" t="s">
        <v>705</v>
      </c>
      <c r="AZ35" s="4" t="s">
        <v>705</v>
      </c>
      <c r="BA35" s="4"/>
      <c r="BB35" s="4"/>
      <c r="BC35" s="4" t="s">
        <v>703</v>
      </c>
      <c r="BD35" s="4"/>
      <c r="BE35" s="4" t="s">
        <v>709</v>
      </c>
      <c r="BF35" s="4" t="s">
        <v>709</v>
      </c>
      <c r="BG35" s="4" t="s">
        <v>709</v>
      </c>
      <c r="BH35" s="4" t="s">
        <v>709</v>
      </c>
      <c r="BI35" s="4" t="s">
        <v>709</v>
      </c>
      <c r="BJ35" s="4" t="s">
        <v>710</v>
      </c>
      <c r="BK35" s="4" t="s">
        <v>710</v>
      </c>
      <c r="BL35" s="4"/>
      <c r="BM35" s="4"/>
      <c r="BN35" s="4"/>
      <c r="BO35" s="4" t="s">
        <v>710</v>
      </c>
      <c r="BP35" s="4"/>
      <c r="BQ35" s="4"/>
      <c r="BR35" s="4"/>
      <c r="BS35" s="4" t="s">
        <v>710</v>
      </c>
      <c r="BT35" s="4"/>
      <c r="BU35" s="4"/>
      <c r="BV35" s="4"/>
      <c r="BW35" s="4" t="s">
        <v>710</v>
      </c>
      <c r="BX35" s="4" t="s">
        <v>710</v>
      </c>
      <c r="BY35" s="4" t="s">
        <v>710</v>
      </c>
      <c r="BZ35" s="4"/>
      <c r="CA35" s="4" t="s">
        <v>710</v>
      </c>
      <c r="CB35" s="4"/>
      <c r="CC35" s="4" t="s">
        <v>710</v>
      </c>
      <c r="CD35" s="4"/>
      <c r="CE35" s="4"/>
      <c r="CF35" s="4" t="s">
        <v>711</v>
      </c>
      <c r="CG35" s="4" t="s">
        <v>711</v>
      </c>
      <c r="CH35" s="4" t="s">
        <v>711</v>
      </c>
      <c r="CI35" s="4"/>
      <c r="CJ35" s="4"/>
      <c r="CK35" s="4"/>
      <c r="CL35" s="4" t="s">
        <v>710</v>
      </c>
      <c r="CM35" s="4"/>
      <c r="CN35" s="4"/>
      <c r="CO35" s="4"/>
    </row>
    <row r="36" spans="1:93" x14ac:dyDescent="0.25">
      <c r="A36" s="4" t="s">
        <v>129</v>
      </c>
      <c r="B36" s="4">
        <f t="shared" si="1"/>
        <v>2010</v>
      </c>
      <c r="C36" s="4" t="s">
        <v>712</v>
      </c>
      <c r="D36" s="4"/>
      <c r="E36" s="4" t="s">
        <v>713</v>
      </c>
      <c r="F36" s="4" t="s">
        <v>713</v>
      </c>
      <c r="G36" s="4" t="s">
        <v>713</v>
      </c>
      <c r="H36" s="4"/>
      <c r="I36" s="4" t="s">
        <v>713</v>
      </c>
      <c r="J36" s="4" t="s">
        <v>713</v>
      </c>
      <c r="K36" s="4"/>
      <c r="L36" s="4" t="s">
        <v>714</v>
      </c>
      <c r="M36" s="4"/>
      <c r="N36" s="4"/>
      <c r="O36" s="4"/>
      <c r="P36" s="4"/>
      <c r="Q36" s="4" t="s">
        <v>713</v>
      </c>
      <c r="R36" s="4" t="s">
        <v>713</v>
      </c>
      <c r="S36" s="4" t="s">
        <v>715</v>
      </c>
      <c r="T36" s="4"/>
      <c r="U36" s="4"/>
      <c r="V36" s="4" t="s">
        <v>715</v>
      </c>
      <c r="W36" s="4" t="s">
        <v>716</v>
      </c>
      <c r="X36" s="4" t="s">
        <v>716</v>
      </c>
      <c r="Y36" s="4"/>
      <c r="Z36" s="4"/>
      <c r="AA36" s="4" t="s">
        <v>716</v>
      </c>
      <c r="AB36" s="4"/>
      <c r="AC36" s="4"/>
      <c r="AD36" s="4"/>
      <c r="AE36" s="4" t="s">
        <v>717</v>
      </c>
      <c r="AF36" s="4"/>
      <c r="AG36" s="4" t="s">
        <v>718</v>
      </c>
      <c r="AH36" s="4" t="s">
        <v>719</v>
      </c>
      <c r="AI36" s="4" t="s">
        <v>716</v>
      </c>
      <c r="AJ36" s="4" t="s">
        <v>716</v>
      </c>
      <c r="AK36" s="4" t="s">
        <v>716</v>
      </c>
      <c r="AL36" s="4" t="s">
        <v>716</v>
      </c>
      <c r="AM36" s="4"/>
      <c r="AN36" s="4"/>
      <c r="AO36" s="4" t="s">
        <v>720</v>
      </c>
      <c r="AP36" s="4" t="s">
        <v>720</v>
      </c>
      <c r="AQ36" s="4"/>
      <c r="AR36" s="4" t="s">
        <v>720</v>
      </c>
      <c r="AS36" s="4"/>
      <c r="AT36" s="4" t="s">
        <v>716</v>
      </c>
      <c r="AU36" s="4" t="s">
        <v>716</v>
      </c>
      <c r="AV36" s="4" t="s">
        <v>716</v>
      </c>
      <c r="AW36" s="4" t="s">
        <v>716</v>
      </c>
      <c r="AX36" s="4"/>
      <c r="AY36" s="4" t="s">
        <v>716</v>
      </c>
      <c r="AZ36" s="4" t="s">
        <v>716</v>
      </c>
      <c r="BA36" s="4"/>
      <c r="BB36" s="4"/>
      <c r="BC36" s="4" t="s">
        <v>714</v>
      </c>
      <c r="BD36" s="4"/>
      <c r="BE36" s="4" t="s">
        <v>721</v>
      </c>
      <c r="BF36" s="4" t="s">
        <v>721</v>
      </c>
      <c r="BG36" s="4" t="s">
        <v>721</v>
      </c>
      <c r="BH36" s="4" t="s">
        <v>721</v>
      </c>
      <c r="BI36" s="4" t="s">
        <v>721</v>
      </c>
      <c r="BJ36" s="4" t="s">
        <v>722</v>
      </c>
      <c r="BK36" s="4" t="s">
        <v>722</v>
      </c>
      <c r="BL36" s="4"/>
      <c r="BM36" s="4"/>
      <c r="BN36" s="4"/>
      <c r="BO36" s="4" t="s">
        <v>722</v>
      </c>
      <c r="BP36" s="4"/>
      <c r="BQ36" s="4"/>
      <c r="BR36" s="4"/>
      <c r="BS36" s="4" t="s">
        <v>722</v>
      </c>
      <c r="BT36" s="4"/>
      <c r="BU36" s="4"/>
      <c r="BV36" s="4"/>
      <c r="BW36" s="4" t="s">
        <v>722</v>
      </c>
      <c r="BX36" s="4" t="s">
        <v>722</v>
      </c>
      <c r="BY36" s="4" t="s">
        <v>722</v>
      </c>
      <c r="BZ36" s="4"/>
      <c r="CA36" s="4" t="s">
        <v>722</v>
      </c>
      <c r="CB36" s="4"/>
      <c r="CC36" s="4" t="s">
        <v>722</v>
      </c>
      <c r="CD36" s="4"/>
      <c r="CE36" s="4"/>
      <c r="CF36" s="4" t="s">
        <v>723</v>
      </c>
      <c r="CG36" s="4" t="s">
        <v>723</v>
      </c>
      <c r="CH36" s="4" t="s">
        <v>723</v>
      </c>
      <c r="CI36" s="4"/>
      <c r="CJ36" s="4"/>
      <c r="CK36" s="4"/>
      <c r="CL36" s="4" t="s">
        <v>722</v>
      </c>
      <c r="CM36" s="4" t="s">
        <v>723</v>
      </c>
      <c r="CN36" s="4"/>
      <c r="CO36" s="4"/>
    </row>
    <row r="37" spans="1:93" x14ac:dyDescent="0.25">
      <c r="A37" s="4" t="s">
        <v>129</v>
      </c>
      <c r="B37" s="4">
        <f t="shared" si="1"/>
        <v>2011</v>
      </c>
      <c r="C37" s="4" t="s">
        <v>724</v>
      </c>
      <c r="D37" s="4"/>
      <c r="E37" s="4" t="s">
        <v>725</v>
      </c>
      <c r="F37" s="4" t="s">
        <v>725</v>
      </c>
      <c r="G37" s="4" t="s">
        <v>725</v>
      </c>
      <c r="H37" s="4"/>
      <c r="I37" s="4" t="s">
        <v>725</v>
      </c>
      <c r="J37" s="4" t="s">
        <v>725</v>
      </c>
      <c r="K37" s="4"/>
      <c r="L37" s="4" t="s">
        <v>726</v>
      </c>
      <c r="M37" s="4"/>
      <c r="N37" s="4"/>
      <c r="O37" s="4"/>
      <c r="P37" s="4"/>
      <c r="Q37" s="4" t="s">
        <v>725</v>
      </c>
      <c r="R37" s="4" t="s">
        <v>725</v>
      </c>
      <c r="S37" s="4" t="s">
        <v>727</v>
      </c>
      <c r="T37" s="4"/>
      <c r="U37" s="4"/>
      <c r="V37" s="4" t="s">
        <v>727</v>
      </c>
      <c r="W37" s="4" t="s">
        <v>728</v>
      </c>
      <c r="X37" s="4" t="s">
        <v>728</v>
      </c>
      <c r="Y37" s="4"/>
      <c r="Z37" s="4"/>
      <c r="AA37" s="4" t="s">
        <v>728</v>
      </c>
      <c r="AB37" s="4"/>
      <c r="AC37" s="4"/>
      <c r="AD37" s="4"/>
      <c r="AE37" s="4" t="s">
        <v>729</v>
      </c>
      <c r="AF37" s="4"/>
      <c r="AG37" s="4" t="s">
        <v>730</v>
      </c>
      <c r="AH37" s="4" t="s">
        <v>730</v>
      </c>
      <c r="AI37" s="4" t="s">
        <v>728</v>
      </c>
      <c r="AJ37" s="4" t="s">
        <v>728</v>
      </c>
      <c r="AK37" s="4" t="s">
        <v>728</v>
      </c>
      <c r="AL37" s="4" t="s">
        <v>728</v>
      </c>
      <c r="AM37" s="4"/>
      <c r="AN37" s="4"/>
      <c r="AO37" s="4" t="s">
        <v>731</v>
      </c>
      <c r="AP37" s="4" t="s">
        <v>731</v>
      </c>
      <c r="AQ37" s="4"/>
      <c r="AR37" s="4" t="s">
        <v>731</v>
      </c>
      <c r="AS37" s="4"/>
      <c r="AT37" s="4" t="s">
        <v>728</v>
      </c>
      <c r="AU37" s="4" t="s">
        <v>728</v>
      </c>
      <c r="AV37" s="4" t="s">
        <v>728</v>
      </c>
      <c r="AW37" s="4" t="s">
        <v>728</v>
      </c>
      <c r="AX37" s="4"/>
      <c r="AY37" s="4" t="s">
        <v>728</v>
      </c>
      <c r="AZ37" s="4" t="s">
        <v>728</v>
      </c>
      <c r="BA37" s="4"/>
      <c r="BB37" s="4"/>
      <c r="BC37" s="4" t="s">
        <v>726</v>
      </c>
      <c r="BD37" s="4"/>
      <c r="BE37" s="4" t="s">
        <v>732</v>
      </c>
      <c r="BF37" s="4" t="s">
        <v>732</v>
      </c>
      <c r="BG37" s="4" t="s">
        <v>732</v>
      </c>
      <c r="BH37" s="4" t="s">
        <v>732</v>
      </c>
      <c r="BI37" s="4" t="s">
        <v>732</v>
      </c>
      <c r="BJ37" s="4" t="s">
        <v>733</v>
      </c>
      <c r="BK37" s="4" t="s">
        <v>733</v>
      </c>
      <c r="BL37" s="4"/>
      <c r="BM37" s="4"/>
      <c r="BN37" s="4"/>
      <c r="BO37" s="4" t="s">
        <v>733</v>
      </c>
      <c r="BP37" s="4"/>
      <c r="BQ37" s="4"/>
      <c r="BR37" s="4"/>
      <c r="BS37" s="4" t="s">
        <v>733</v>
      </c>
      <c r="BT37" s="4"/>
      <c r="BU37" s="4"/>
      <c r="BV37" s="4"/>
      <c r="BW37" s="4" t="s">
        <v>733</v>
      </c>
      <c r="BX37" s="4" t="s">
        <v>733</v>
      </c>
      <c r="BY37" s="4" t="s">
        <v>733</v>
      </c>
      <c r="BZ37" s="4"/>
      <c r="CA37" s="4" t="s">
        <v>733</v>
      </c>
      <c r="CB37" s="4"/>
      <c r="CC37" s="4" t="s">
        <v>733</v>
      </c>
      <c r="CD37" s="4"/>
      <c r="CE37" s="4"/>
      <c r="CF37" s="4" t="s">
        <v>734</v>
      </c>
      <c r="CG37" s="4" t="s">
        <v>734</v>
      </c>
      <c r="CH37" s="4" t="s">
        <v>733</v>
      </c>
      <c r="CI37" s="4" t="s">
        <v>733</v>
      </c>
      <c r="CJ37" s="4"/>
      <c r="CK37" s="4"/>
      <c r="CL37" s="4" t="s">
        <v>733</v>
      </c>
      <c r="CM37" s="4" t="s">
        <v>734</v>
      </c>
      <c r="CN37" s="4"/>
      <c r="CO37" s="4" t="s">
        <v>733</v>
      </c>
    </row>
    <row r="38" spans="1:93" x14ac:dyDescent="0.25">
      <c r="A38" s="4" t="s">
        <v>129</v>
      </c>
      <c r="B38" s="4">
        <f t="shared" si="1"/>
        <v>2012</v>
      </c>
      <c r="C38" s="4" t="s">
        <v>735</v>
      </c>
      <c r="D38" s="4"/>
      <c r="E38" s="4" t="s">
        <v>736</v>
      </c>
      <c r="F38" s="4" t="s">
        <v>736</v>
      </c>
      <c r="G38" s="4" t="s">
        <v>736</v>
      </c>
      <c r="H38" s="4"/>
      <c r="I38" s="4" t="s">
        <v>736</v>
      </c>
      <c r="J38" s="4" t="s">
        <v>736</v>
      </c>
      <c r="K38" s="4"/>
      <c r="L38" s="4" t="s">
        <v>737</v>
      </c>
      <c r="M38" s="4"/>
      <c r="N38" s="4"/>
      <c r="O38" s="4"/>
      <c r="P38" s="4"/>
      <c r="Q38" s="4" t="s">
        <v>736</v>
      </c>
      <c r="R38" s="4" t="s">
        <v>736</v>
      </c>
      <c r="S38" s="4" t="s">
        <v>738</v>
      </c>
      <c r="T38" s="4"/>
      <c r="U38" s="4"/>
      <c r="V38" s="4" t="s">
        <v>738</v>
      </c>
      <c r="W38" s="4" t="s">
        <v>739</v>
      </c>
      <c r="X38" s="4" t="s">
        <v>739</v>
      </c>
      <c r="Y38" s="4"/>
      <c r="Z38" s="4"/>
      <c r="AA38" s="4" t="s">
        <v>739</v>
      </c>
      <c r="AB38" s="4"/>
      <c r="AC38" s="4"/>
      <c r="AD38" s="4"/>
      <c r="AE38" s="4" t="s">
        <v>740</v>
      </c>
      <c r="AF38" s="4"/>
      <c r="AG38" s="4" t="s">
        <v>741</v>
      </c>
      <c r="AH38" s="4" t="s">
        <v>741</v>
      </c>
      <c r="AI38" s="4" t="s">
        <v>739</v>
      </c>
      <c r="AJ38" s="4" t="s">
        <v>739</v>
      </c>
      <c r="AK38" s="4" t="s">
        <v>739</v>
      </c>
      <c r="AL38" s="4" t="s">
        <v>739</v>
      </c>
      <c r="AM38" s="4"/>
      <c r="AN38" s="4"/>
      <c r="AO38" s="4" t="s">
        <v>742</v>
      </c>
      <c r="AP38" s="4" t="s">
        <v>742</v>
      </c>
      <c r="AQ38" s="4"/>
      <c r="AR38" s="4" t="s">
        <v>742</v>
      </c>
      <c r="AS38" s="4"/>
      <c r="AT38" s="4" t="s">
        <v>739</v>
      </c>
      <c r="AU38" s="4" t="s">
        <v>739</v>
      </c>
      <c r="AV38" s="4" t="s">
        <v>739</v>
      </c>
      <c r="AW38" s="4" t="s">
        <v>739</v>
      </c>
      <c r="AX38" s="4"/>
      <c r="AY38" s="4" t="s">
        <v>739</v>
      </c>
      <c r="AZ38" s="4" t="s">
        <v>739</v>
      </c>
      <c r="BA38" s="4"/>
      <c r="BB38" s="4"/>
      <c r="BC38" s="4" t="s">
        <v>737</v>
      </c>
      <c r="BD38" s="4"/>
      <c r="BE38" s="4" t="s">
        <v>743</v>
      </c>
      <c r="BF38" s="4" t="s">
        <v>743</v>
      </c>
      <c r="BG38" s="4" t="s">
        <v>743</v>
      </c>
      <c r="BH38" s="4" t="s">
        <v>743</v>
      </c>
      <c r="BI38" s="4" t="s">
        <v>743</v>
      </c>
      <c r="BJ38" s="4" t="s">
        <v>744</v>
      </c>
      <c r="BK38" s="4" t="s">
        <v>744</v>
      </c>
      <c r="BL38" s="4"/>
      <c r="BM38" s="4"/>
      <c r="BN38" s="4"/>
      <c r="BO38" s="4" t="s">
        <v>744</v>
      </c>
      <c r="BP38" s="4"/>
      <c r="BQ38" s="4"/>
      <c r="BR38" s="4"/>
      <c r="BS38" s="4" t="s">
        <v>744</v>
      </c>
      <c r="BT38" s="4"/>
      <c r="BU38" s="4"/>
      <c r="BV38" s="4"/>
      <c r="BW38" s="4" t="s">
        <v>744</v>
      </c>
      <c r="BX38" s="4" t="s">
        <v>744</v>
      </c>
      <c r="BY38" s="4" t="s">
        <v>744</v>
      </c>
      <c r="BZ38" s="4"/>
      <c r="CA38" s="4" t="s">
        <v>744</v>
      </c>
      <c r="CB38" s="4"/>
      <c r="CC38" s="4" t="s">
        <v>744</v>
      </c>
      <c r="CD38" s="4"/>
      <c r="CE38" s="4"/>
      <c r="CF38" s="4" t="s">
        <v>745</v>
      </c>
      <c r="CG38" s="4" t="s">
        <v>745</v>
      </c>
      <c r="CH38" s="4" t="s">
        <v>744</v>
      </c>
      <c r="CI38" s="4" t="s">
        <v>744</v>
      </c>
      <c r="CJ38" s="4"/>
      <c r="CK38" s="4"/>
      <c r="CL38" s="4" t="s">
        <v>744</v>
      </c>
      <c r="CM38" s="4" t="s">
        <v>745</v>
      </c>
      <c r="CN38" s="4"/>
      <c r="CO38" s="4" t="s">
        <v>744</v>
      </c>
    </row>
    <row r="39" spans="1:93" x14ac:dyDescent="0.25">
      <c r="A39" s="4" t="s">
        <v>129</v>
      </c>
      <c r="B39" s="4">
        <f t="shared" si="1"/>
        <v>2013</v>
      </c>
      <c r="C39" s="4" t="s">
        <v>746</v>
      </c>
      <c r="D39" s="4"/>
      <c r="E39" s="4" t="s">
        <v>747</v>
      </c>
      <c r="F39" s="4" t="s">
        <v>747</v>
      </c>
      <c r="G39" s="4" t="s">
        <v>747</v>
      </c>
      <c r="H39" s="19" t="s">
        <v>748</v>
      </c>
      <c r="I39" s="4" t="s">
        <v>747</v>
      </c>
      <c r="J39" s="4" t="s">
        <v>747</v>
      </c>
      <c r="K39" s="4"/>
      <c r="L39" s="4" t="s">
        <v>749</v>
      </c>
      <c r="M39" s="4"/>
      <c r="N39" s="4"/>
      <c r="O39" s="4"/>
      <c r="P39" s="4"/>
      <c r="Q39" s="4" t="s">
        <v>747</v>
      </c>
      <c r="R39" s="4" t="s">
        <v>747</v>
      </c>
      <c r="S39" s="4" t="s">
        <v>750</v>
      </c>
      <c r="T39" s="4"/>
      <c r="U39" s="4"/>
      <c r="V39" s="4" t="s">
        <v>750</v>
      </c>
      <c r="W39" s="4" t="s">
        <v>751</v>
      </c>
      <c r="X39" s="4" t="s">
        <v>751</v>
      </c>
      <c r="Y39" s="4"/>
      <c r="Z39" s="4"/>
      <c r="AA39" s="4" t="s">
        <v>751</v>
      </c>
      <c r="AB39" s="4"/>
      <c r="AC39" s="4"/>
      <c r="AD39" s="4"/>
      <c r="AE39" s="4" t="s">
        <v>752</v>
      </c>
      <c r="AF39" s="4"/>
      <c r="AG39" s="4" t="s">
        <v>753</v>
      </c>
      <c r="AH39" s="4" t="s">
        <v>753</v>
      </c>
      <c r="AI39" s="4" t="s">
        <v>751</v>
      </c>
      <c r="AJ39" s="4" t="s">
        <v>751</v>
      </c>
      <c r="AK39" s="4" t="s">
        <v>751</v>
      </c>
      <c r="AL39" s="4" t="s">
        <v>751</v>
      </c>
      <c r="AM39" s="4"/>
      <c r="AN39" s="4"/>
      <c r="AO39" s="4" t="s">
        <v>754</v>
      </c>
      <c r="AP39" s="4" t="s">
        <v>754</v>
      </c>
      <c r="AQ39" s="4" t="s">
        <v>754</v>
      </c>
      <c r="AR39" s="4" t="s">
        <v>754</v>
      </c>
      <c r="AS39" s="4" t="s">
        <v>754</v>
      </c>
      <c r="AT39" s="4" t="s">
        <v>751</v>
      </c>
      <c r="AU39" s="4" t="s">
        <v>751</v>
      </c>
      <c r="AV39" s="4" t="s">
        <v>751</v>
      </c>
      <c r="AW39" s="4" t="s">
        <v>751</v>
      </c>
      <c r="AX39" s="4"/>
      <c r="AY39" s="4" t="s">
        <v>751</v>
      </c>
      <c r="AZ39" s="4" t="s">
        <v>751</v>
      </c>
      <c r="BA39" s="4"/>
      <c r="BB39" s="4"/>
      <c r="BC39" s="4" t="s">
        <v>749</v>
      </c>
      <c r="BD39" s="4"/>
      <c r="BE39" s="4" t="s">
        <v>755</v>
      </c>
      <c r="BF39" s="4" t="s">
        <v>755</v>
      </c>
      <c r="BG39" s="4" t="s">
        <v>755</v>
      </c>
      <c r="BH39" s="4" t="s">
        <v>755</v>
      </c>
      <c r="BI39" s="4" t="s">
        <v>755</v>
      </c>
      <c r="BJ39" s="4" t="s">
        <v>756</v>
      </c>
      <c r="BK39" s="4" t="s">
        <v>756</v>
      </c>
      <c r="BL39" s="4"/>
      <c r="BM39" s="4"/>
      <c r="BN39" s="4"/>
      <c r="BO39" s="4" t="s">
        <v>756</v>
      </c>
      <c r="BP39" s="4"/>
      <c r="BQ39" s="4"/>
      <c r="BR39" s="4"/>
      <c r="BS39" s="4" t="s">
        <v>756</v>
      </c>
      <c r="BT39" s="4"/>
      <c r="BU39" s="4"/>
      <c r="BV39" s="4"/>
      <c r="BW39" s="4" t="s">
        <v>756</v>
      </c>
      <c r="BX39" s="4" t="s">
        <v>756</v>
      </c>
      <c r="BY39" s="4" t="s">
        <v>756</v>
      </c>
      <c r="BZ39" s="4"/>
      <c r="CA39" s="4" t="s">
        <v>756</v>
      </c>
      <c r="CB39" s="4"/>
      <c r="CC39" s="4" t="s">
        <v>756</v>
      </c>
      <c r="CD39" s="4"/>
      <c r="CE39" s="4"/>
      <c r="CF39" s="4" t="s">
        <v>757</v>
      </c>
      <c r="CG39" s="4" t="s">
        <v>757</v>
      </c>
      <c r="CH39" s="4" t="s">
        <v>756</v>
      </c>
      <c r="CI39" s="4" t="s">
        <v>756</v>
      </c>
      <c r="CJ39" s="4"/>
      <c r="CK39" s="4"/>
      <c r="CL39" s="4" t="s">
        <v>756</v>
      </c>
      <c r="CM39" s="4" t="s">
        <v>757</v>
      </c>
      <c r="CN39" s="4"/>
      <c r="CO39" s="4" t="s">
        <v>756</v>
      </c>
    </row>
    <row r="40" spans="1:93" x14ac:dyDescent="0.25">
      <c r="A40" s="4" t="s">
        <v>129</v>
      </c>
      <c r="B40" s="4">
        <f t="shared" si="1"/>
        <v>2014</v>
      </c>
      <c r="C40" s="4" t="s">
        <v>758</v>
      </c>
      <c r="D40" s="4"/>
      <c r="E40" s="4" t="s">
        <v>759</v>
      </c>
      <c r="F40" s="4" t="s">
        <v>759</v>
      </c>
      <c r="G40" s="4" t="s">
        <v>759</v>
      </c>
      <c r="H40" s="17" t="s">
        <v>748</v>
      </c>
      <c r="I40" s="4" t="s">
        <v>759</v>
      </c>
      <c r="J40" s="4" t="s">
        <v>759</v>
      </c>
      <c r="K40" s="4"/>
      <c r="L40" s="4" t="s">
        <v>760</v>
      </c>
      <c r="M40" s="4"/>
      <c r="N40" s="4"/>
      <c r="O40" s="4"/>
      <c r="P40" s="4"/>
      <c r="Q40" s="4" t="s">
        <v>759</v>
      </c>
      <c r="R40" s="4" t="s">
        <v>759</v>
      </c>
      <c r="S40" s="4" t="s">
        <v>761</v>
      </c>
      <c r="T40" s="4"/>
      <c r="U40" s="4"/>
      <c r="V40" s="4" t="s">
        <v>761</v>
      </c>
      <c r="W40" s="4" t="s">
        <v>762</v>
      </c>
      <c r="X40" s="4" t="s">
        <v>762</v>
      </c>
      <c r="Y40" s="4"/>
      <c r="Z40" s="4"/>
      <c r="AA40" s="4" t="s">
        <v>762</v>
      </c>
      <c r="AB40" s="4"/>
      <c r="AC40" s="4"/>
      <c r="AD40" s="4"/>
      <c r="AE40" s="4" t="s">
        <v>763</v>
      </c>
      <c r="AF40" s="4" t="s">
        <v>764</v>
      </c>
      <c r="AG40" s="4" t="s">
        <v>765</v>
      </c>
      <c r="AH40" s="4" t="s">
        <v>765</v>
      </c>
      <c r="AI40" s="4" t="s">
        <v>762</v>
      </c>
      <c r="AJ40" s="4" t="s">
        <v>762</v>
      </c>
      <c r="AK40" s="4" t="s">
        <v>762</v>
      </c>
      <c r="AL40" s="4" t="s">
        <v>762</v>
      </c>
      <c r="AM40" s="4"/>
      <c r="AN40" s="4"/>
      <c r="AO40" s="4" t="s">
        <v>766</v>
      </c>
      <c r="AP40" s="4" t="s">
        <v>766</v>
      </c>
      <c r="AQ40" s="4" t="s">
        <v>766</v>
      </c>
      <c r="AR40" s="4" t="s">
        <v>766</v>
      </c>
      <c r="AS40" s="4" t="s">
        <v>766</v>
      </c>
      <c r="AT40" s="4" t="s">
        <v>762</v>
      </c>
      <c r="AU40" s="4" t="s">
        <v>762</v>
      </c>
      <c r="AV40" s="4" t="s">
        <v>762</v>
      </c>
      <c r="AW40" s="4" t="s">
        <v>762</v>
      </c>
      <c r="AX40" s="4"/>
      <c r="AY40" s="4" t="s">
        <v>762</v>
      </c>
      <c r="AZ40" s="4" t="s">
        <v>762</v>
      </c>
      <c r="BA40" s="4"/>
      <c r="BB40" s="4"/>
      <c r="BC40" s="4" t="s">
        <v>760</v>
      </c>
      <c r="BD40" s="4"/>
      <c r="BE40" s="4" t="s">
        <v>767</v>
      </c>
      <c r="BF40" s="4" t="s">
        <v>767</v>
      </c>
      <c r="BG40" s="4" t="s">
        <v>767</v>
      </c>
      <c r="BH40" s="4" t="s">
        <v>767</v>
      </c>
      <c r="BI40" s="4" t="s">
        <v>767</v>
      </c>
      <c r="BJ40" s="4" t="s">
        <v>768</v>
      </c>
      <c r="BK40" s="4" t="s">
        <v>768</v>
      </c>
      <c r="BL40" s="4"/>
      <c r="BM40" s="4"/>
      <c r="BN40" s="4"/>
      <c r="BO40" s="4" t="s">
        <v>768</v>
      </c>
      <c r="BP40" s="4"/>
      <c r="BQ40" s="4"/>
      <c r="BR40" s="4"/>
      <c r="BS40" s="4" t="s">
        <v>768</v>
      </c>
      <c r="BT40" s="4"/>
      <c r="BU40" s="4"/>
      <c r="BV40" s="4"/>
      <c r="BW40" s="4" t="s">
        <v>768</v>
      </c>
      <c r="BX40" s="4" t="s">
        <v>768</v>
      </c>
      <c r="BY40" s="4" t="s">
        <v>768</v>
      </c>
      <c r="BZ40" s="4"/>
      <c r="CA40" s="4" t="s">
        <v>768</v>
      </c>
      <c r="CB40" s="4"/>
      <c r="CC40" s="4" t="s">
        <v>768</v>
      </c>
      <c r="CD40" s="4"/>
      <c r="CE40" s="4"/>
      <c r="CF40" s="4" t="s">
        <v>769</v>
      </c>
      <c r="CG40" s="4" t="s">
        <v>769</v>
      </c>
      <c r="CH40" s="4" t="s">
        <v>768</v>
      </c>
      <c r="CI40" s="4" t="s">
        <v>768</v>
      </c>
      <c r="CJ40" s="4"/>
      <c r="CK40" s="4"/>
      <c r="CL40" s="4" t="s">
        <v>768</v>
      </c>
      <c r="CM40" s="4" t="s">
        <v>769</v>
      </c>
      <c r="CN40" s="4"/>
      <c r="CO40" s="4" t="s">
        <v>768</v>
      </c>
    </row>
    <row r="41" spans="1:93" x14ac:dyDescent="0.25">
      <c r="A41" s="4" t="s">
        <v>129</v>
      </c>
      <c r="B41" s="4">
        <f t="shared" si="1"/>
        <v>2015</v>
      </c>
      <c r="C41" s="4" t="s">
        <v>770</v>
      </c>
      <c r="D41" s="4"/>
      <c r="E41" s="4" t="s">
        <v>771</v>
      </c>
      <c r="F41" s="4" t="s">
        <v>771</v>
      </c>
      <c r="G41" s="4" t="s">
        <v>771</v>
      </c>
      <c r="H41" s="17" t="s">
        <v>772</v>
      </c>
      <c r="I41" s="4" t="s">
        <v>771</v>
      </c>
      <c r="J41" s="4" t="s">
        <v>771</v>
      </c>
      <c r="K41" s="4"/>
      <c r="L41" s="4" t="s">
        <v>773</v>
      </c>
      <c r="M41" s="4"/>
      <c r="N41" s="4"/>
      <c r="O41" s="4"/>
      <c r="P41" s="4"/>
      <c r="Q41" s="4" t="s">
        <v>771</v>
      </c>
      <c r="R41" s="4" t="s">
        <v>771</v>
      </c>
      <c r="S41" s="4" t="s">
        <v>774</v>
      </c>
      <c r="T41" s="4"/>
      <c r="U41" s="4"/>
      <c r="V41" s="4" t="s">
        <v>774</v>
      </c>
      <c r="W41" s="4" t="s">
        <v>775</v>
      </c>
      <c r="X41" s="4" t="s">
        <v>775</v>
      </c>
      <c r="Y41" s="4"/>
      <c r="Z41" s="4"/>
      <c r="AA41" s="4" t="s">
        <v>775</v>
      </c>
      <c r="AB41" s="4"/>
      <c r="AC41" s="4"/>
      <c r="AD41" s="4"/>
      <c r="AE41" s="4" t="s">
        <v>776</v>
      </c>
      <c r="AF41" s="4" t="s">
        <v>777</v>
      </c>
      <c r="AG41" s="4" t="s">
        <v>778</v>
      </c>
      <c r="AH41" s="4" t="s">
        <v>778</v>
      </c>
      <c r="AI41" s="4" t="s">
        <v>775</v>
      </c>
      <c r="AJ41" s="4" t="s">
        <v>775</v>
      </c>
      <c r="AK41" s="4" t="s">
        <v>775</v>
      </c>
      <c r="AL41" s="4" t="s">
        <v>779</v>
      </c>
      <c r="AM41" s="4"/>
      <c r="AN41" s="4"/>
      <c r="AO41" s="4" t="s">
        <v>780</v>
      </c>
      <c r="AP41" s="4" t="s">
        <v>780</v>
      </c>
      <c r="AQ41" s="4" t="s">
        <v>780</v>
      </c>
      <c r="AR41" s="4" t="s">
        <v>780</v>
      </c>
      <c r="AS41" s="4" t="s">
        <v>780</v>
      </c>
      <c r="AT41" s="4" t="s">
        <v>781</v>
      </c>
      <c r="AU41" s="4" t="s">
        <v>781</v>
      </c>
      <c r="AV41" s="4" t="s">
        <v>775</v>
      </c>
      <c r="AW41" s="4" t="s">
        <v>775</v>
      </c>
      <c r="AX41" s="4"/>
      <c r="AY41" s="4" t="s">
        <v>775</v>
      </c>
      <c r="AZ41" s="4" t="s">
        <v>775</v>
      </c>
      <c r="BA41" s="4"/>
      <c r="BB41" s="4"/>
      <c r="BC41" s="4" t="s">
        <v>773</v>
      </c>
      <c r="BD41" s="4"/>
      <c r="BE41" s="4" t="s">
        <v>782</v>
      </c>
      <c r="BF41" s="4" t="s">
        <v>782</v>
      </c>
      <c r="BG41" s="4" t="s">
        <v>782</v>
      </c>
      <c r="BH41" s="4"/>
      <c r="BI41" s="4" t="s">
        <v>782</v>
      </c>
      <c r="BJ41" s="4" t="s">
        <v>783</v>
      </c>
      <c r="BK41" s="4" t="s">
        <v>783</v>
      </c>
      <c r="BL41" s="4"/>
      <c r="BM41" s="4"/>
      <c r="BN41" s="4"/>
      <c r="BO41" s="4" t="s">
        <v>783</v>
      </c>
      <c r="BP41" s="4"/>
      <c r="BQ41" s="4"/>
      <c r="BR41" s="4"/>
      <c r="BS41" s="4" t="s">
        <v>783</v>
      </c>
      <c r="BT41" s="4"/>
      <c r="BU41" s="4"/>
      <c r="BV41" s="4"/>
      <c r="BW41" s="4" t="s">
        <v>783</v>
      </c>
      <c r="BX41" s="4" t="s">
        <v>783</v>
      </c>
      <c r="BY41" s="4" t="s">
        <v>783</v>
      </c>
      <c r="BZ41" s="4"/>
      <c r="CA41" s="4" t="s">
        <v>783</v>
      </c>
      <c r="CB41" s="4"/>
      <c r="CC41" s="4" t="s">
        <v>783</v>
      </c>
      <c r="CD41" s="4"/>
      <c r="CE41" s="4"/>
      <c r="CF41" s="4" t="s">
        <v>784</v>
      </c>
      <c r="CG41" s="4" t="s">
        <v>784</v>
      </c>
      <c r="CH41" s="4" t="s">
        <v>783</v>
      </c>
      <c r="CI41" s="4" t="s">
        <v>783</v>
      </c>
      <c r="CJ41" s="4"/>
      <c r="CK41" s="4"/>
      <c r="CL41" s="4" t="s">
        <v>783</v>
      </c>
      <c r="CM41" s="4" t="s">
        <v>784</v>
      </c>
      <c r="CN41" s="4"/>
      <c r="CO41" s="4" t="s">
        <v>783</v>
      </c>
    </row>
    <row r="42" spans="1:93" x14ac:dyDescent="0.25">
      <c r="A42" s="4" t="s">
        <v>129</v>
      </c>
      <c r="B42" s="4">
        <f t="shared" si="1"/>
        <v>2016</v>
      </c>
      <c r="C42" s="4" t="s">
        <v>785</v>
      </c>
      <c r="D42" s="4"/>
      <c r="E42" s="4" t="s">
        <v>786</v>
      </c>
      <c r="F42" s="4" t="s">
        <v>786</v>
      </c>
      <c r="G42" s="4" t="s">
        <v>786</v>
      </c>
      <c r="H42" s="17" t="s">
        <v>787</v>
      </c>
      <c r="I42" s="4" t="s">
        <v>786</v>
      </c>
      <c r="J42" s="4" t="s">
        <v>786</v>
      </c>
      <c r="K42" s="4"/>
      <c r="L42" s="4" t="s">
        <v>788</v>
      </c>
      <c r="M42" s="4"/>
      <c r="N42" s="4"/>
      <c r="O42" s="4"/>
      <c r="P42" s="4"/>
      <c r="Q42" s="4" t="s">
        <v>786</v>
      </c>
      <c r="R42" s="4" t="s">
        <v>786</v>
      </c>
      <c r="S42" s="4" t="s">
        <v>789</v>
      </c>
      <c r="T42" s="4"/>
      <c r="U42" s="4"/>
      <c r="V42" s="4" t="s">
        <v>789</v>
      </c>
      <c r="W42" s="4" t="s">
        <v>790</v>
      </c>
      <c r="X42" s="4" t="s">
        <v>790</v>
      </c>
      <c r="Y42" s="4"/>
      <c r="Z42" s="4"/>
      <c r="AA42" s="4" t="s">
        <v>790</v>
      </c>
      <c r="AB42" s="4"/>
      <c r="AC42" s="4"/>
      <c r="AD42" s="4"/>
      <c r="AE42" s="4" t="s">
        <v>791</v>
      </c>
      <c r="AF42" s="4" t="s">
        <v>792</v>
      </c>
      <c r="AG42" s="4" t="s">
        <v>793</v>
      </c>
      <c r="AH42" s="4" t="s">
        <v>794</v>
      </c>
      <c r="AI42" s="4" t="s">
        <v>790</v>
      </c>
      <c r="AJ42" s="4" t="s">
        <v>790</v>
      </c>
      <c r="AK42" s="4" t="s">
        <v>790</v>
      </c>
      <c r="AL42" s="4" t="s">
        <v>795</v>
      </c>
      <c r="AM42" s="4"/>
      <c r="AN42" s="4"/>
      <c r="AO42" s="4" t="s">
        <v>796</v>
      </c>
      <c r="AP42" s="4" t="s">
        <v>796</v>
      </c>
      <c r="AQ42" s="4" t="s">
        <v>796</v>
      </c>
      <c r="AR42" s="4" t="s">
        <v>796</v>
      </c>
      <c r="AS42" s="4" t="s">
        <v>796</v>
      </c>
      <c r="AT42" s="4" t="s">
        <v>797</v>
      </c>
      <c r="AU42" s="4" t="s">
        <v>797</v>
      </c>
      <c r="AV42" s="4" t="s">
        <v>790</v>
      </c>
      <c r="AW42" s="4" t="s">
        <v>790</v>
      </c>
      <c r="AX42" s="4"/>
      <c r="AY42" s="4" t="s">
        <v>790</v>
      </c>
      <c r="AZ42" s="4" t="s">
        <v>790</v>
      </c>
      <c r="BA42" s="4"/>
      <c r="BB42" s="4"/>
      <c r="BC42" s="4" t="s">
        <v>788</v>
      </c>
      <c r="BD42" s="4"/>
      <c r="BE42" s="4" t="s">
        <v>798</v>
      </c>
      <c r="BF42" s="4" t="s">
        <v>798</v>
      </c>
      <c r="BG42" s="4" t="s">
        <v>798</v>
      </c>
      <c r="BH42" s="4"/>
      <c r="BI42" s="4" t="s">
        <v>798</v>
      </c>
      <c r="BJ42" s="4" t="s">
        <v>799</v>
      </c>
      <c r="BK42" s="4" t="s">
        <v>799</v>
      </c>
      <c r="BL42" s="4"/>
      <c r="BM42" s="4"/>
      <c r="BN42" s="4"/>
      <c r="BO42" s="4" t="s">
        <v>799</v>
      </c>
      <c r="BP42" s="4"/>
      <c r="BQ42" s="4"/>
      <c r="BR42" s="4"/>
      <c r="BS42" s="4" t="s">
        <v>799</v>
      </c>
      <c r="BT42" s="4"/>
      <c r="BU42" s="4"/>
      <c r="BV42" s="4"/>
      <c r="BW42" s="4" t="s">
        <v>799</v>
      </c>
      <c r="BX42" s="4" t="s">
        <v>799</v>
      </c>
      <c r="BY42" s="4" t="s">
        <v>799</v>
      </c>
      <c r="BZ42" s="4"/>
      <c r="CA42" s="4" t="s">
        <v>799</v>
      </c>
      <c r="CB42" s="4"/>
      <c r="CC42" s="4" t="s">
        <v>799</v>
      </c>
      <c r="CD42" s="4"/>
      <c r="CE42" s="4"/>
      <c r="CF42" s="4" t="s">
        <v>800</v>
      </c>
      <c r="CG42" s="4" t="s">
        <v>800</v>
      </c>
      <c r="CH42" s="4" t="s">
        <v>799</v>
      </c>
      <c r="CI42" s="4" t="s">
        <v>799</v>
      </c>
      <c r="CJ42" s="4"/>
      <c r="CK42" s="4"/>
      <c r="CL42" s="4" t="s">
        <v>799</v>
      </c>
      <c r="CM42" s="4" t="s">
        <v>800</v>
      </c>
      <c r="CN42" s="4"/>
      <c r="CO42" s="4" t="s">
        <v>799</v>
      </c>
    </row>
    <row r="43" spans="1:93" x14ac:dyDescent="0.25">
      <c r="A43" s="4" t="s">
        <v>129</v>
      </c>
      <c r="B43" s="4">
        <f t="shared" si="1"/>
        <v>2017</v>
      </c>
      <c r="C43" s="4" t="s">
        <v>801</v>
      </c>
      <c r="D43" s="4"/>
      <c r="E43" s="4" t="s">
        <v>802</v>
      </c>
      <c r="F43" s="4" t="s">
        <v>802</v>
      </c>
      <c r="G43" s="4" t="s">
        <v>802</v>
      </c>
      <c r="H43" s="17" t="s">
        <v>803</v>
      </c>
      <c r="I43" s="4" t="s">
        <v>802</v>
      </c>
      <c r="J43" s="4" t="s">
        <v>802</v>
      </c>
      <c r="K43" s="4"/>
      <c r="L43" s="4" t="s">
        <v>804</v>
      </c>
      <c r="M43" s="4"/>
      <c r="N43" s="4"/>
      <c r="O43" s="4"/>
      <c r="P43" s="4"/>
      <c r="Q43" s="4" t="s">
        <v>802</v>
      </c>
      <c r="R43" s="4" t="s">
        <v>802</v>
      </c>
      <c r="S43" s="4" t="s">
        <v>805</v>
      </c>
      <c r="T43" s="4"/>
      <c r="U43" s="4"/>
      <c r="V43" s="4" t="s">
        <v>805</v>
      </c>
      <c r="W43" s="4" t="s">
        <v>806</v>
      </c>
      <c r="X43" s="4" t="s">
        <v>806</v>
      </c>
      <c r="Y43" s="4"/>
      <c r="Z43" s="4"/>
      <c r="AA43" s="4" t="s">
        <v>806</v>
      </c>
      <c r="AB43" s="4"/>
      <c r="AC43" s="4"/>
      <c r="AD43" s="4"/>
      <c r="AE43" s="4" t="s">
        <v>807</v>
      </c>
      <c r="AF43" s="4" t="s">
        <v>808</v>
      </c>
      <c r="AG43" s="4" t="s">
        <v>809</v>
      </c>
      <c r="AH43" s="4" t="s">
        <v>809</v>
      </c>
      <c r="AI43" s="4" t="s">
        <v>806</v>
      </c>
      <c r="AJ43" s="4" t="s">
        <v>806</v>
      </c>
      <c r="AK43" s="4" t="s">
        <v>806</v>
      </c>
      <c r="AL43" s="4" t="s">
        <v>810</v>
      </c>
      <c r="AM43" s="4"/>
      <c r="AN43" s="4"/>
      <c r="AO43" s="4" t="s">
        <v>811</v>
      </c>
      <c r="AP43" s="4" t="s">
        <v>811</v>
      </c>
      <c r="AQ43" s="4" t="s">
        <v>811</v>
      </c>
      <c r="AR43" s="4" t="s">
        <v>811</v>
      </c>
      <c r="AS43" s="4" t="s">
        <v>811</v>
      </c>
      <c r="AT43" s="4" t="s">
        <v>812</v>
      </c>
      <c r="AU43" s="4" t="s">
        <v>812</v>
      </c>
      <c r="AV43" s="4" t="s">
        <v>806</v>
      </c>
      <c r="AW43" s="4" t="s">
        <v>806</v>
      </c>
      <c r="AX43" s="4"/>
      <c r="AY43" s="4" t="s">
        <v>806</v>
      </c>
      <c r="AZ43" s="4" t="s">
        <v>806</v>
      </c>
      <c r="BA43" s="4"/>
      <c r="BB43" s="4"/>
      <c r="BC43" s="4" t="s">
        <v>804</v>
      </c>
      <c r="BD43" s="4"/>
      <c r="BE43" s="4" t="s">
        <v>813</v>
      </c>
      <c r="BF43" s="4" t="s">
        <v>813</v>
      </c>
      <c r="BG43" s="4" t="s">
        <v>813</v>
      </c>
      <c r="BH43" s="4"/>
      <c r="BI43" s="4" t="s">
        <v>813</v>
      </c>
      <c r="BJ43" s="4" t="s">
        <v>814</v>
      </c>
      <c r="BK43" s="4" t="s">
        <v>814</v>
      </c>
      <c r="BL43" s="4"/>
      <c r="BM43" s="4"/>
      <c r="BN43" s="4"/>
      <c r="BO43" s="4" t="s">
        <v>814</v>
      </c>
      <c r="BP43" s="4"/>
      <c r="BQ43" s="4"/>
      <c r="BR43" s="4"/>
      <c r="BS43" s="4" t="s">
        <v>814</v>
      </c>
      <c r="BT43" s="4"/>
      <c r="BU43" s="4"/>
      <c r="BV43" s="4"/>
      <c r="BW43" s="4" t="s">
        <v>814</v>
      </c>
      <c r="BX43" s="4" t="s">
        <v>814</v>
      </c>
      <c r="BY43" s="4" t="s">
        <v>814</v>
      </c>
      <c r="BZ43" s="4"/>
      <c r="CA43" s="4" t="s">
        <v>814</v>
      </c>
      <c r="CB43" s="4"/>
      <c r="CC43" s="4" t="s">
        <v>814</v>
      </c>
      <c r="CD43" s="4"/>
      <c r="CE43" s="4"/>
      <c r="CF43" s="4" t="s">
        <v>815</v>
      </c>
      <c r="CG43" s="4" t="s">
        <v>815</v>
      </c>
      <c r="CH43" s="4" t="s">
        <v>814</v>
      </c>
      <c r="CI43" s="4" t="s">
        <v>814</v>
      </c>
      <c r="CJ43" s="4"/>
      <c r="CK43" s="4"/>
      <c r="CL43" s="4" t="s">
        <v>814</v>
      </c>
      <c r="CM43" s="4" t="s">
        <v>815</v>
      </c>
      <c r="CN43" s="4"/>
      <c r="CO43" s="4" t="s">
        <v>814</v>
      </c>
    </row>
    <row r="44" spans="1:93" x14ac:dyDescent="0.25">
      <c r="A44" s="4" t="s">
        <v>129</v>
      </c>
      <c r="B44" s="4">
        <f t="shared" si="1"/>
        <v>2018</v>
      </c>
      <c r="C44" s="4" t="s">
        <v>816</v>
      </c>
      <c r="D44" s="4"/>
      <c r="E44" s="4" t="s">
        <v>817</v>
      </c>
      <c r="F44" s="4" t="s">
        <v>817</v>
      </c>
      <c r="G44" s="4" t="s">
        <v>817</v>
      </c>
      <c r="H44" s="17" t="s">
        <v>818</v>
      </c>
      <c r="I44" s="4" t="s">
        <v>817</v>
      </c>
      <c r="J44" s="4" t="s">
        <v>817</v>
      </c>
      <c r="K44" s="4"/>
      <c r="L44" s="4" t="s">
        <v>819</v>
      </c>
      <c r="M44" s="4"/>
      <c r="N44" s="4"/>
      <c r="O44" s="4"/>
      <c r="P44" s="4"/>
      <c r="Q44" s="4" t="s">
        <v>817</v>
      </c>
      <c r="R44" s="4" t="s">
        <v>817</v>
      </c>
      <c r="S44" s="4" t="s">
        <v>820</v>
      </c>
      <c r="T44" s="4"/>
      <c r="U44" s="4"/>
      <c r="V44" s="4" t="s">
        <v>820</v>
      </c>
      <c r="W44" s="4" t="s">
        <v>821</v>
      </c>
      <c r="X44" s="4" t="s">
        <v>821</v>
      </c>
      <c r="Y44" s="4"/>
      <c r="Z44" s="4"/>
      <c r="AA44" s="4" t="s">
        <v>821</v>
      </c>
      <c r="AB44" s="4"/>
      <c r="AC44" s="4"/>
      <c r="AD44" s="4"/>
      <c r="AE44" s="4" t="s">
        <v>822</v>
      </c>
      <c r="AF44" s="4" t="s">
        <v>823</v>
      </c>
      <c r="AG44" s="4" t="s">
        <v>824</v>
      </c>
      <c r="AH44" s="4" t="s">
        <v>824</v>
      </c>
      <c r="AI44" s="4" t="s">
        <v>821</v>
      </c>
      <c r="AJ44" s="4" t="s">
        <v>821</v>
      </c>
      <c r="AK44" s="4" t="s">
        <v>821</v>
      </c>
      <c r="AL44" s="4" t="s">
        <v>825</v>
      </c>
      <c r="AM44" s="4"/>
      <c r="AN44" s="4"/>
      <c r="AO44" s="4" t="s">
        <v>826</v>
      </c>
      <c r="AP44" s="4" t="s">
        <v>826</v>
      </c>
      <c r="AQ44" s="4" t="s">
        <v>826</v>
      </c>
      <c r="AR44" s="4" t="s">
        <v>826</v>
      </c>
      <c r="AS44" s="4" t="s">
        <v>826</v>
      </c>
      <c r="AT44" s="4" t="s">
        <v>827</v>
      </c>
      <c r="AU44" s="4" t="s">
        <v>827</v>
      </c>
      <c r="AV44" s="4" t="s">
        <v>821</v>
      </c>
      <c r="AW44" s="4" t="s">
        <v>821</v>
      </c>
      <c r="AX44" s="4"/>
      <c r="AY44" s="4" t="s">
        <v>821</v>
      </c>
      <c r="AZ44" s="4" t="s">
        <v>821</v>
      </c>
      <c r="BA44" s="4"/>
      <c r="BB44" s="4"/>
      <c r="BC44" s="4" t="s">
        <v>819</v>
      </c>
      <c r="BD44" s="4"/>
      <c r="BE44" s="4" t="s">
        <v>828</v>
      </c>
      <c r="BF44" s="4" t="s">
        <v>828</v>
      </c>
      <c r="BG44" s="4" t="s">
        <v>828</v>
      </c>
      <c r="BH44" s="4" t="s">
        <v>828</v>
      </c>
      <c r="BI44" s="4" t="s">
        <v>828</v>
      </c>
      <c r="BJ44" s="4" t="s">
        <v>829</v>
      </c>
      <c r="BK44" s="4" t="s">
        <v>829</v>
      </c>
      <c r="BL44" s="4"/>
      <c r="BM44" s="4"/>
      <c r="BN44" s="4"/>
      <c r="BO44" s="4" t="s">
        <v>829</v>
      </c>
      <c r="BP44" s="4"/>
      <c r="BQ44" s="4"/>
      <c r="BR44" s="4"/>
      <c r="BS44" s="4" t="s">
        <v>829</v>
      </c>
      <c r="BT44" s="4"/>
      <c r="BU44" s="4"/>
      <c r="BV44" s="4"/>
      <c r="BW44" s="4" t="s">
        <v>829</v>
      </c>
      <c r="BX44" s="4" t="s">
        <v>829</v>
      </c>
      <c r="BY44" s="4" t="s">
        <v>829</v>
      </c>
      <c r="BZ44" s="4"/>
      <c r="CA44" s="4" t="s">
        <v>829</v>
      </c>
      <c r="CB44" s="4"/>
      <c r="CC44" s="4" t="s">
        <v>829</v>
      </c>
      <c r="CD44" s="4"/>
      <c r="CE44" s="4"/>
      <c r="CF44" s="4" t="s">
        <v>830</v>
      </c>
      <c r="CG44" s="4" t="s">
        <v>830</v>
      </c>
      <c r="CH44" s="4" t="s">
        <v>829</v>
      </c>
      <c r="CI44" s="4" t="s">
        <v>829</v>
      </c>
      <c r="CJ44" s="4"/>
      <c r="CK44" s="4"/>
      <c r="CL44" s="4" t="s">
        <v>829</v>
      </c>
      <c r="CM44" s="4" t="s">
        <v>830</v>
      </c>
      <c r="CN44" s="4"/>
      <c r="CO44" s="4" t="s">
        <v>829</v>
      </c>
    </row>
    <row r="45" spans="1:93" x14ac:dyDescent="0.25">
      <c r="A45" s="4" t="s">
        <v>129</v>
      </c>
      <c r="B45" s="4">
        <v>2019</v>
      </c>
      <c r="C45" s="4" t="s">
        <v>831</v>
      </c>
      <c r="D45" s="4"/>
      <c r="E45" s="4" t="s">
        <v>832</v>
      </c>
      <c r="F45" s="4" t="s">
        <v>832</v>
      </c>
      <c r="G45" s="4" t="s">
        <v>832</v>
      </c>
      <c r="H45" s="17" t="s">
        <v>833</v>
      </c>
      <c r="I45" s="4" t="s">
        <v>832</v>
      </c>
      <c r="J45" s="4" t="s">
        <v>832</v>
      </c>
      <c r="K45" s="4"/>
      <c r="L45" s="4" t="s">
        <v>834</v>
      </c>
      <c r="M45" s="4"/>
      <c r="N45" s="4"/>
      <c r="O45" s="4"/>
      <c r="P45" s="4"/>
      <c r="Q45" s="4" t="s">
        <v>832</v>
      </c>
      <c r="R45" s="4" t="s">
        <v>832</v>
      </c>
      <c r="S45" s="4" t="s">
        <v>835</v>
      </c>
      <c r="T45" s="4"/>
      <c r="U45" s="4"/>
      <c r="V45" s="4" t="s">
        <v>835</v>
      </c>
      <c r="W45" s="4" t="s">
        <v>836</v>
      </c>
      <c r="X45" s="4" t="s">
        <v>836</v>
      </c>
      <c r="Y45" s="4"/>
      <c r="Z45" s="4"/>
      <c r="AA45" s="4" t="s">
        <v>836</v>
      </c>
      <c r="AB45" s="4"/>
      <c r="AC45" s="4"/>
      <c r="AD45" s="4"/>
      <c r="AE45" s="4" t="s">
        <v>837</v>
      </c>
      <c r="AF45" s="4" t="s">
        <v>838</v>
      </c>
      <c r="AG45" s="4" t="s">
        <v>839</v>
      </c>
      <c r="AH45" s="4" t="s">
        <v>839</v>
      </c>
      <c r="AI45" s="4" t="s">
        <v>840</v>
      </c>
      <c r="AJ45" s="4" t="s">
        <v>840</v>
      </c>
      <c r="AK45" s="4" t="s">
        <v>840</v>
      </c>
      <c r="AL45" s="4" t="s">
        <v>841</v>
      </c>
      <c r="AM45" s="4"/>
      <c r="AN45" s="4"/>
      <c r="AO45" s="4" t="s">
        <v>842</v>
      </c>
      <c r="AP45" s="4" t="s">
        <v>842</v>
      </c>
      <c r="AQ45" s="4" t="s">
        <v>842</v>
      </c>
      <c r="AR45" s="4" t="s">
        <v>842</v>
      </c>
      <c r="AS45" s="4" t="s">
        <v>842</v>
      </c>
      <c r="AT45" s="4" t="s">
        <v>843</v>
      </c>
      <c r="AU45" s="4" t="s">
        <v>843</v>
      </c>
      <c r="AV45" s="4" t="s">
        <v>840</v>
      </c>
      <c r="AW45" s="4" t="s">
        <v>840</v>
      </c>
      <c r="AX45" s="4"/>
      <c r="AY45" s="4" t="s">
        <v>840</v>
      </c>
      <c r="AZ45" s="4" t="s">
        <v>840</v>
      </c>
      <c r="BA45" s="4"/>
      <c r="BB45" s="4"/>
      <c r="BC45" s="4" t="s">
        <v>834</v>
      </c>
      <c r="BD45" s="4"/>
      <c r="BE45" s="4" t="s">
        <v>844</v>
      </c>
      <c r="BF45" s="4" t="s">
        <v>844</v>
      </c>
      <c r="BG45" s="4" t="s">
        <v>844</v>
      </c>
      <c r="BH45" s="4" t="s">
        <v>844</v>
      </c>
      <c r="BI45" s="4" t="s">
        <v>844</v>
      </c>
      <c r="BJ45" s="4" t="s">
        <v>845</v>
      </c>
      <c r="BK45" s="4" t="s">
        <v>845</v>
      </c>
      <c r="BL45" s="4"/>
      <c r="BM45" s="4"/>
      <c r="BN45" s="4"/>
      <c r="BO45" s="4" t="s">
        <v>845</v>
      </c>
      <c r="BP45" s="4"/>
      <c r="BQ45" s="4"/>
      <c r="BR45" s="4"/>
      <c r="BS45" s="4" t="s">
        <v>845</v>
      </c>
      <c r="BT45" s="4"/>
      <c r="BU45" s="4"/>
      <c r="BV45" s="4"/>
      <c r="BW45" s="4" t="s">
        <v>845</v>
      </c>
      <c r="BX45" s="4" t="s">
        <v>845</v>
      </c>
      <c r="BY45" s="4" t="s">
        <v>845</v>
      </c>
      <c r="BZ45" s="4"/>
      <c r="CA45" s="4" t="s">
        <v>845</v>
      </c>
      <c r="CB45" s="4"/>
      <c r="CC45" s="4" t="s">
        <v>845</v>
      </c>
      <c r="CD45" s="4"/>
      <c r="CE45" s="4"/>
      <c r="CF45" s="4" t="s">
        <v>846</v>
      </c>
      <c r="CG45" s="4" t="s">
        <v>846</v>
      </c>
      <c r="CH45" s="4" t="s">
        <v>845</v>
      </c>
      <c r="CI45" s="4" t="s">
        <v>845</v>
      </c>
      <c r="CJ45" s="4"/>
      <c r="CK45" s="4"/>
      <c r="CL45" s="4" t="s">
        <v>845</v>
      </c>
      <c r="CM45" s="4" t="s">
        <v>846</v>
      </c>
      <c r="CN45" s="4"/>
      <c r="CO45" s="4" t="s">
        <v>845</v>
      </c>
    </row>
    <row r="46" spans="1:93" x14ac:dyDescent="0.25">
      <c r="A46" s="4" t="s">
        <v>129</v>
      </c>
      <c r="B46" s="4">
        <v>2020</v>
      </c>
      <c r="C46" s="4" t="s">
        <v>847</v>
      </c>
      <c r="D46" s="4"/>
      <c r="E46" s="4" t="s">
        <v>848</v>
      </c>
      <c r="F46" s="4" t="s">
        <v>848</v>
      </c>
      <c r="G46" s="4" t="s">
        <v>848</v>
      </c>
      <c r="H46" s="17" t="s">
        <v>849</v>
      </c>
      <c r="I46" s="4" t="s">
        <v>848</v>
      </c>
      <c r="J46" s="4" t="s">
        <v>848</v>
      </c>
      <c r="K46" s="4"/>
      <c r="L46" s="4" t="s">
        <v>850</v>
      </c>
      <c r="M46" s="4"/>
      <c r="N46" s="4"/>
      <c r="O46" s="4"/>
      <c r="P46" s="4"/>
      <c r="Q46" s="4" t="s">
        <v>848</v>
      </c>
      <c r="R46" s="4" t="s">
        <v>848</v>
      </c>
      <c r="S46" s="4" t="s">
        <v>851</v>
      </c>
      <c r="T46" s="4"/>
      <c r="U46" s="4"/>
      <c r="V46" s="4" t="s">
        <v>851</v>
      </c>
      <c r="W46" s="4" t="s">
        <v>852</v>
      </c>
      <c r="X46" s="4" t="s">
        <v>852</v>
      </c>
      <c r="Y46" s="4"/>
      <c r="Z46" s="4"/>
      <c r="AA46" s="4" t="s">
        <v>852</v>
      </c>
      <c r="AB46" s="4"/>
      <c r="AC46" s="4"/>
      <c r="AD46" s="4"/>
      <c r="AE46" s="4" t="s">
        <v>853</v>
      </c>
      <c r="AF46" s="4" t="s">
        <v>854</v>
      </c>
      <c r="AG46" s="4" t="s">
        <v>855</v>
      </c>
      <c r="AH46" s="4" t="s">
        <v>855</v>
      </c>
      <c r="AI46" s="4" t="s">
        <v>856</v>
      </c>
      <c r="AJ46" s="4" t="s">
        <v>856</v>
      </c>
      <c r="AK46" s="4" t="s">
        <v>856</v>
      </c>
      <c r="AL46" s="4" t="s">
        <v>857</v>
      </c>
      <c r="AM46" s="4"/>
      <c r="AN46" s="4"/>
      <c r="AO46" s="4" t="s">
        <v>858</v>
      </c>
      <c r="AP46" s="4" t="s">
        <v>858</v>
      </c>
      <c r="AQ46" s="4" t="s">
        <v>858</v>
      </c>
      <c r="AR46" s="4" t="s">
        <v>858</v>
      </c>
      <c r="AS46" s="4" t="s">
        <v>858</v>
      </c>
      <c r="AT46" s="4" t="s">
        <v>859</v>
      </c>
      <c r="AU46" s="4" t="s">
        <v>860</v>
      </c>
      <c r="AV46" s="4" t="s">
        <v>856</v>
      </c>
      <c r="AW46" s="4" t="s">
        <v>856</v>
      </c>
      <c r="AX46" s="4"/>
      <c r="AY46" s="4" t="s">
        <v>856</v>
      </c>
      <c r="AZ46" s="4" t="s">
        <v>856</v>
      </c>
      <c r="BA46" s="4"/>
      <c r="BB46" s="4"/>
      <c r="BC46" s="4" t="s">
        <v>850</v>
      </c>
      <c r="BD46" s="4"/>
      <c r="BE46" s="4" t="s">
        <v>861</v>
      </c>
      <c r="BF46" s="4" t="s">
        <v>861</v>
      </c>
      <c r="BG46" s="4" t="s">
        <v>861</v>
      </c>
      <c r="BH46" s="4" t="s">
        <v>861</v>
      </c>
      <c r="BI46" s="4" t="s">
        <v>861</v>
      </c>
      <c r="BJ46" s="4" t="s">
        <v>862</v>
      </c>
      <c r="BK46" s="4" t="s">
        <v>862</v>
      </c>
      <c r="BL46" s="4"/>
      <c r="BM46" s="4"/>
      <c r="BN46" s="4"/>
      <c r="BO46" s="4" t="s">
        <v>862</v>
      </c>
      <c r="BP46" s="4"/>
      <c r="BQ46" s="4"/>
      <c r="BR46" s="4"/>
      <c r="BS46" s="4" t="s">
        <v>862</v>
      </c>
      <c r="BT46" s="4"/>
      <c r="BU46" s="4"/>
      <c r="BV46" s="4"/>
      <c r="BW46" s="4" t="s">
        <v>862</v>
      </c>
      <c r="BX46" s="4" t="s">
        <v>862</v>
      </c>
      <c r="BY46" s="4" t="s">
        <v>862</v>
      </c>
      <c r="BZ46" s="4"/>
      <c r="CA46" s="4" t="s">
        <v>862</v>
      </c>
      <c r="CB46" s="4"/>
      <c r="CC46" s="4" t="s">
        <v>862</v>
      </c>
      <c r="CD46" s="4"/>
      <c r="CE46" s="4"/>
      <c r="CF46" s="4" t="s">
        <v>863</v>
      </c>
      <c r="CG46" s="4" t="s">
        <v>863</v>
      </c>
      <c r="CH46" s="4" t="s">
        <v>862</v>
      </c>
      <c r="CI46" s="4" t="s">
        <v>862</v>
      </c>
      <c r="CJ46" s="4"/>
      <c r="CK46" s="4"/>
      <c r="CL46" s="4" t="s">
        <v>862</v>
      </c>
      <c r="CM46" s="4" t="s">
        <v>863</v>
      </c>
      <c r="CN46" s="4"/>
      <c r="CO46" s="4" t="s">
        <v>862</v>
      </c>
    </row>
    <row r="47" spans="1:93" x14ac:dyDescent="0.25">
      <c r="A47" s="4" t="s">
        <v>129</v>
      </c>
      <c r="B47" s="4">
        <v>2021</v>
      </c>
      <c r="C47" s="4" t="s">
        <v>864</v>
      </c>
      <c r="D47" s="4"/>
      <c r="E47" s="4" t="s">
        <v>865</v>
      </c>
      <c r="F47" s="4" t="s">
        <v>865</v>
      </c>
      <c r="G47" s="4" t="s">
        <v>865</v>
      </c>
      <c r="H47" s="17" t="s">
        <v>1245</v>
      </c>
      <c r="I47" s="4" t="s">
        <v>865</v>
      </c>
      <c r="J47" s="4" t="s">
        <v>865</v>
      </c>
      <c r="K47" s="4"/>
      <c r="L47" s="4" t="s">
        <v>866</v>
      </c>
      <c r="M47" s="4"/>
      <c r="N47" s="4"/>
      <c r="O47" s="4"/>
      <c r="P47" s="4"/>
      <c r="Q47" s="4" t="s">
        <v>865</v>
      </c>
      <c r="R47" s="4" t="s">
        <v>865</v>
      </c>
      <c r="S47" s="4" t="s">
        <v>867</v>
      </c>
      <c r="T47" s="4"/>
      <c r="U47" s="4"/>
      <c r="V47" s="4" t="s">
        <v>867</v>
      </c>
      <c r="W47" s="4" t="s">
        <v>868</v>
      </c>
      <c r="X47" s="4" t="s">
        <v>868</v>
      </c>
      <c r="Y47" s="4"/>
      <c r="Z47" s="4"/>
      <c r="AA47" s="4" t="s">
        <v>868</v>
      </c>
      <c r="AB47" s="4"/>
      <c r="AC47" s="4"/>
      <c r="AD47" s="4"/>
      <c r="AE47" s="4" t="s">
        <v>869</v>
      </c>
      <c r="AF47" s="4" t="s">
        <v>870</v>
      </c>
      <c r="AG47" s="4" t="s">
        <v>871</v>
      </c>
      <c r="AH47" s="4" t="s">
        <v>871</v>
      </c>
      <c r="AI47" s="4" t="s">
        <v>872</v>
      </c>
      <c r="AJ47" s="4" t="s">
        <v>872</v>
      </c>
      <c r="AK47" s="4" t="s">
        <v>872</v>
      </c>
      <c r="AL47" s="4" t="s">
        <v>873</v>
      </c>
      <c r="AM47" s="4"/>
      <c r="AN47" s="4"/>
      <c r="AO47" s="4" t="s">
        <v>874</v>
      </c>
      <c r="AP47" s="4" t="s">
        <v>874</v>
      </c>
      <c r="AQ47" s="4"/>
      <c r="AR47" s="4"/>
      <c r="AS47" s="4" t="s">
        <v>874</v>
      </c>
      <c r="AT47" s="4" t="s">
        <v>875</v>
      </c>
      <c r="AU47" s="4" t="s">
        <v>875</v>
      </c>
      <c r="AV47" s="4" t="s">
        <v>872</v>
      </c>
      <c r="AW47" s="4" t="s">
        <v>872</v>
      </c>
      <c r="AX47" s="4"/>
      <c r="AY47" s="4" t="s">
        <v>872</v>
      </c>
      <c r="AZ47" s="4" t="s">
        <v>872</v>
      </c>
      <c r="BA47" s="4"/>
      <c r="BB47" s="4"/>
      <c r="BC47" s="4" t="s">
        <v>866</v>
      </c>
      <c r="BD47" s="4"/>
      <c r="BE47" s="4" t="s">
        <v>876</v>
      </c>
      <c r="BF47" s="4" t="s">
        <v>876</v>
      </c>
      <c r="BG47" s="4" t="s">
        <v>876</v>
      </c>
      <c r="BH47" s="4" t="s">
        <v>876</v>
      </c>
      <c r="BI47" s="4" t="s">
        <v>876</v>
      </c>
      <c r="BJ47" s="4" t="s">
        <v>877</v>
      </c>
      <c r="BK47" s="4" t="s">
        <v>877</v>
      </c>
      <c r="BL47" s="4"/>
      <c r="BM47" s="4"/>
      <c r="BN47" s="4"/>
      <c r="BO47" s="4" t="s">
        <v>877</v>
      </c>
      <c r="BP47" s="4"/>
      <c r="BQ47" s="4"/>
      <c r="BR47" s="4"/>
      <c r="BS47" s="4" t="s">
        <v>877</v>
      </c>
      <c r="BT47" s="4"/>
      <c r="BU47" s="4"/>
      <c r="BV47" s="4"/>
      <c r="BW47" s="4" t="s">
        <v>877</v>
      </c>
      <c r="BX47" s="4" t="s">
        <v>877</v>
      </c>
      <c r="BY47" s="4" t="s">
        <v>877</v>
      </c>
      <c r="BZ47" s="4"/>
      <c r="CA47" s="4" t="s">
        <v>877</v>
      </c>
      <c r="CB47" s="4"/>
      <c r="CC47" s="4" t="s">
        <v>877</v>
      </c>
      <c r="CD47" s="4"/>
      <c r="CE47" s="4"/>
      <c r="CF47" s="4" t="s">
        <v>878</v>
      </c>
      <c r="CG47" s="4" t="s">
        <v>878</v>
      </c>
      <c r="CH47" s="4" t="s">
        <v>877</v>
      </c>
      <c r="CI47" s="4" t="s">
        <v>877</v>
      </c>
      <c r="CJ47" s="4"/>
      <c r="CK47" s="4"/>
      <c r="CL47" s="4" t="s">
        <v>877</v>
      </c>
      <c r="CM47" s="4" t="s">
        <v>878</v>
      </c>
      <c r="CN47" s="4"/>
      <c r="CO47" s="4" t="s">
        <v>877</v>
      </c>
    </row>
    <row r="48" spans="1:93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</row>
    <row r="49" spans="1:93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</row>
    <row r="50" spans="1:93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</row>
    <row r="51" spans="1:93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</row>
    <row r="52" spans="1:93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</row>
    <row r="53" spans="1:93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</row>
    <row r="54" spans="1:93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</row>
    <row r="55" spans="1:93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</row>
    <row r="56" spans="1:93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</row>
    <row r="57" spans="1:93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</row>
    <row r="58" spans="1:93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</row>
    <row r="59" spans="1:93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</row>
    <row r="60" spans="1:93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</row>
    <row r="61" spans="1:93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</row>
    <row r="62" spans="1:93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</row>
    <row r="63" spans="1:93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</row>
    <row r="64" spans="1:93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</row>
    <row r="65" spans="1:93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</row>
    <row r="66" spans="1:93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</row>
    <row r="67" spans="1:93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</row>
    <row r="68" spans="1:93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</row>
    <row r="69" spans="1:93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</row>
    <row r="70" spans="1:93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</row>
    <row r="71" spans="1:93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</row>
    <row r="72" spans="1:93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</row>
    <row r="73" spans="1:93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</row>
    <row r="74" spans="1:93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</row>
    <row r="75" spans="1:93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</row>
    <row r="76" spans="1:93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</row>
    <row r="77" spans="1:93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</row>
    <row r="78" spans="1:93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</row>
    <row r="79" spans="1:93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</row>
    <row r="80" spans="1:93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</row>
    <row r="81" spans="1:93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</row>
    <row r="82" spans="1:93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</row>
    <row r="83" spans="1:93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</row>
    <row r="84" spans="1:93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</row>
    <row r="85" spans="1:93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</row>
    <row r="86" spans="1:93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</row>
    <row r="87" spans="1:93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</row>
    <row r="88" spans="1:93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</row>
    <row r="89" spans="1:93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</row>
    <row r="90" spans="1:93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</row>
    <row r="91" spans="1:93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</row>
    <row r="92" spans="1:93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</row>
    <row r="93" spans="1:93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</row>
    <row r="94" spans="1:93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</row>
    <row r="95" spans="1:93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</row>
    <row r="96" spans="1:93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</row>
    <row r="97" spans="1:93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</row>
    <row r="98" spans="1:93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</row>
    <row r="99" spans="1:93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</row>
    <row r="100" spans="1:93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</row>
    <row r="101" spans="1:93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</row>
    <row r="102" spans="1:93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</row>
    <row r="103" spans="1:93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</row>
    <row r="104" spans="1:93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</row>
    <row r="105" spans="1:93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</row>
    <row r="106" spans="1:93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</row>
    <row r="107" spans="1:93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</row>
    <row r="108" spans="1:93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</row>
    <row r="109" spans="1:93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</row>
    <row r="110" spans="1:93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</row>
    <row r="111" spans="1:93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</row>
    <row r="112" spans="1:93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</row>
    <row r="113" spans="1:93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</row>
    <row r="114" spans="1:93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</row>
    <row r="115" spans="1:93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</row>
    <row r="116" spans="1:93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</row>
    <row r="117" spans="1:93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</row>
    <row r="118" spans="1:93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</row>
    <row r="119" spans="1:93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</row>
    <row r="120" spans="1:93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</row>
    <row r="121" spans="1:93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</row>
    <row r="122" spans="1:93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</row>
    <row r="123" spans="1:93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</row>
    <row r="124" spans="1:93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</row>
    <row r="125" spans="1:93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</row>
    <row r="126" spans="1:93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</row>
    <row r="127" spans="1:93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</row>
    <row r="128" spans="1:93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</row>
    <row r="129" spans="1:93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</row>
    <row r="130" spans="1:93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</row>
    <row r="131" spans="1:93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</row>
    <row r="132" spans="1:93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</row>
    <row r="133" spans="1:93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</row>
    <row r="134" spans="1:93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</row>
    <row r="135" spans="1:93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</row>
    <row r="136" spans="1:93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</row>
    <row r="137" spans="1:93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</row>
    <row r="138" spans="1:93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</row>
    <row r="139" spans="1:93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</row>
    <row r="140" spans="1:93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</row>
    <row r="141" spans="1:93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</row>
    <row r="142" spans="1:93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</row>
    <row r="143" spans="1:93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</row>
    <row r="144" spans="1:93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</row>
    <row r="145" spans="1:93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</row>
    <row r="146" spans="1:93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</row>
    <row r="147" spans="1:93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</row>
    <row r="148" spans="1:93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</row>
    <row r="149" spans="1:93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</row>
    <row r="150" spans="1:93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</row>
    <row r="151" spans="1:93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</row>
    <row r="152" spans="1:93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</row>
    <row r="153" spans="1:93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</row>
    <row r="154" spans="1:93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</row>
    <row r="155" spans="1:93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</row>
    <row r="156" spans="1:93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</row>
    <row r="157" spans="1:93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</row>
    <row r="158" spans="1:93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</row>
    <row r="159" spans="1:93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</row>
    <row r="160" spans="1:93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</row>
    <row r="161" spans="1:93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</row>
    <row r="162" spans="1:93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</row>
    <row r="163" spans="1:93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</row>
    <row r="164" spans="1:93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</row>
    <row r="165" spans="1:93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</row>
    <row r="166" spans="1:93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</row>
    <row r="167" spans="1:93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</row>
    <row r="168" spans="1:93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</row>
    <row r="169" spans="1:93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</row>
    <row r="170" spans="1:93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</row>
    <row r="171" spans="1:93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</row>
    <row r="172" spans="1:93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</row>
    <row r="173" spans="1:93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</row>
    <row r="174" spans="1:93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</row>
    <row r="175" spans="1:93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</row>
    <row r="176" spans="1:93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</row>
    <row r="177" spans="1:93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</row>
    <row r="178" spans="1:93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</row>
    <row r="179" spans="1:93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</row>
    <row r="180" spans="1:93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</row>
    <row r="181" spans="1:93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</row>
    <row r="182" spans="1:93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</row>
    <row r="183" spans="1:93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</row>
    <row r="184" spans="1:93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</row>
    <row r="185" spans="1:93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</row>
    <row r="186" spans="1:93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</row>
    <row r="187" spans="1:93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</row>
    <row r="188" spans="1:93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</row>
    <row r="189" spans="1:93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</row>
    <row r="190" spans="1:93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</row>
    <row r="191" spans="1:93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</row>
    <row r="192" spans="1:93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</row>
    <row r="193" spans="1:93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</row>
    <row r="194" spans="1:93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</row>
    <row r="195" spans="1:93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</row>
    <row r="196" spans="1:93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</row>
    <row r="197" spans="1:93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</row>
    <row r="198" spans="1:93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</row>
    <row r="199" spans="1:93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</row>
    <row r="200" spans="1:93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</row>
    <row r="201" spans="1:93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</row>
    <row r="202" spans="1:93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</row>
    <row r="203" spans="1:93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</row>
    <row r="204" spans="1:93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</row>
    <row r="205" spans="1:93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</row>
    <row r="206" spans="1:93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</row>
    <row r="207" spans="1:93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</row>
    <row r="208" spans="1:93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</row>
    <row r="209" spans="1:93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</row>
    <row r="210" spans="1:93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</row>
    <row r="211" spans="1:93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</row>
    <row r="212" spans="1:93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</row>
    <row r="213" spans="1:93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</row>
    <row r="214" spans="1:93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</row>
    <row r="215" spans="1:93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</row>
    <row r="216" spans="1:93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</row>
    <row r="217" spans="1:93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</row>
    <row r="218" spans="1:93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</row>
    <row r="219" spans="1:93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</row>
    <row r="220" spans="1:93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</row>
    <row r="221" spans="1:93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</row>
    <row r="222" spans="1:93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</row>
    <row r="223" spans="1:93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</row>
    <row r="224" spans="1:93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</row>
    <row r="225" spans="1:93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</row>
    <row r="226" spans="1:93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</row>
    <row r="227" spans="1:93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</row>
    <row r="228" spans="1:93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</row>
    <row r="229" spans="1:93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</row>
    <row r="230" spans="1:93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</row>
    <row r="231" spans="1:93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</row>
    <row r="232" spans="1:93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</row>
    <row r="233" spans="1:93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</row>
    <row r="234" spans="1:93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</row>
    <row r="235" spans="1:93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</row>
    <row r="236" spans="1:93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</row>
    <row r="237" spans="1:93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</row>
    <row r="238" spans="1:93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</row>
    <row r="239" spans="1:93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</row>
    <row r="240" spans="1:93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</row>
    <row r="241" spans="1:93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</row>
    <row r="242" spans="1:93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</row>
    <row r="243" spans="1:93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</row>
    <row r="244" spans="1:93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</row>
    <row r="245" spans="1:93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</row>
    <row r="246" spans="1:93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</row>
    <row r="247" spans="1:93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</row>
    <row r="248" spans="1:93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</row>
    <row r="249" spans="1:93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</row>
    <row r="250" spans="1:93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</row>
    <row r="251" spans="1:93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</row>
    <row r="252" spans="1:93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</row>
    <row r="253" spans="1:93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</row>
    <row r="254" spans="1:93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</row>
    <row r="255" spans="1:93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</row>
    <row r="256" spans="1:93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</row>
    <row r="257" spans="1:93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</row>
    <row r="258" spans="1:93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</row>
    <row r="259" spans="1:93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</row>
    <row r="260" spans="1:93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</row>
    <row r="261" spans="1:93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</row>
    <row r="262" spans="1:93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</row>
    <row r="263" spans="1:93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</row>
    <row r="264" spans="1:93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</row>
    <row r="265" spans="1:93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</row>
    <row r="266" spans="1:93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</row>
    <row r="267" spans="1:93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</row>
    <row r="268" spans="1:93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</row>
    <row r="269" spans="1:93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</row>
    <row r="270" spans="1:93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</row>
    <row r="271" spans="1:93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</row>
    <row r="272" spans="1:93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</row>
    <row r="273" spans="1:93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</row>
    <row r="274" spans="1:93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</row>
    <row r="275" spans="1:93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</row>
    <row r="276" spans="1:93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</row>
    <row r="277" spans="1:93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</row>
    <row r="278" spans="1:93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</row>
    <row r="279" spans="1:93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</row>
    <row r="280" spans="1:93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</row>
    <row r="281" spans="1:93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</row>
    <row r="282" spans="1:93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</row>
    <row r="283" spans="1:93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</row>
    <row r="284" spans="1:93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</row>
    <row r="285" spans="1:93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</row>
    <row r="286" spans="1:93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</row>
    <row r="287" spans="1:93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</row>
    <row r="288" spans="1:93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</row>
    <row r="289" spans="1:93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</row>
    <row r="290" spans="1:93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</row>
    <row r="291" spans="1:93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</row>
    <row r="292" spans="1:93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</row>
    <row r="293" spans="1:93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</row>
    <row r="294" spans="1:93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</row>
    <row r="295" spans="1:93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</row>
    <row r="296" spans="1:93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</row>
    <row r="297" spans="1:93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</row>
    <row r="298" spans="1:93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</row>
    <row r="299" spans="1:93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</row>
    <row r="300" spans="1:93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</row>
    <row r="301" spans="1:93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</row>
    <row r="302" spans="1:93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</row>
    <row r="303" spans="1:93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</row>
    <row r="304" spans="1:93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</row>
    <row r="305" spans="1:93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</row>
    <row r="306" spans="1:93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</row>
    <row r="307" spans="1:93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</row>
    <row r="308" spans="1:93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</row>
    <row r="309" spans="1:93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</row>
    <row r="310" spans="1:93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</row>
    <row r="311" spans="1:93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</row>
    <row r="312" spans="1:93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</row>
    <row r="313" spans="1:93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</row>
    <row r="314" spans="1:93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</row>
    <row r="315" spans="1:93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</row>
    <row r="316" spans="1:93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</row>
    <row r="317" spans="1:93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</row>
    <row r="318" spans="1:93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</row>
    <row r="319" spans="1:93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</row>
    <row r="320" spans="1:93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</row>
    <row r="321" spans="1:93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</row>
    <row r="322" spans="1:93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</row>
    <row r="323" spans="1:93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</row>
    <row r="324" spans="1:93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</row>
    <row r="325" spans="1:93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</row>
    <row r="326" spans="1:93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</row>
    <row r="327" spans="1:93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</row>
    <row r="328" spans="1:93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</row>
    <row r="329" spans="1:93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</row>
    <row r="330" spans="1:93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</row>
    <row r="331" spans="1:93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</row>
    <row r="332" spans="1:93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</row>
    <row r="333" spans="1:93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</row>
    <row r="334" spans="1:93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</row>
    <row r="335" spans="1:93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</row>
    <row r="336" spans="1:93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</row>
    <row r="337" spans="1:93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</row>
    <row r="338" spans="1:93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</row>
    <row r="339" spans="1:93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</row>
    <row r="340" spans="1:93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</row>
    <row r="341" spans="1:93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</row>
    <row r="342" spans="1:93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</row>
    <row r="343" spans="1:93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</row>
    <row r="344" spans="1:93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</row>
    <row r="345" spans="1:93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</row>
    <row r="346" spans="1:93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</row>
    <row r="347" spans="1:93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</row>
    <row r="348" spans="1:93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</row>
    <row r="349" spans="1:93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</row>
    <row r="350" spans="1:93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</row>
    <row r="351" spans="1:93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</row>
    <row r="352" spans="1:93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</row>
    <row r="353" spans="1:93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</row>
    <row r="354" spans="1:93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</row>
    <row r="355" spans="1:93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</row>
    <row r="356" spans="1:93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</row>
    <row r="357" spans="1:93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</row>
    <row r="358" spans="1:93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</row>
    <row r="359" spans="1:93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</row>
    <row r="360" spans="1:93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</row>
    <row r="361" spans="1:93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</row>
    <row r="362" spans="1:93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</row>
    <row r="363" spans="1:93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</row>
    <row r="364" spans="1:93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</row>
    <row r="365" spans="1:93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</row>
    <row r="366" spans="1:93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</row>
    <row r="367" spans="1:93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</row>
    <row r="368" spans="1:93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</row>
    <row r="369" spans="1:93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</row>
    <row r="370" spans="1:93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</row>
    <row r="371" spans="1:93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</row>
    <row r="372" spans="1:93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</row>
    <row r="373" spans="1:93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</row>
    <row r="374" spans="1:93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</row>
    <row r="375" spans="1:93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</row>
    <row r="376" spans="1:93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</row>
    <row r="377" spans="1:93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</row>
    <row r="378" spans="1:93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</row>
    <row r="379" spans="1:93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</row>
    <row r="380" spans="1:93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</row>
    <row r="381" spans="1:93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</row>
    <row r="382" spans="1:93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</row>
    <row r="383" spans="1:93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</row>
    <row r="384" spans="1:93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</row>
    <row r="385" spans="1:93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</row>
    <row r="386" spans="1:93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</row>
    <row r="387" spans="1:93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</row>
    <row r="388" spans="1:93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</row>
    <row r="389" spans="1:93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</row>
    <row r="390" spans="1:93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</row>
    <row r="391" spans="1:93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</row>
    <row r="392" spans="1:93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</row>
    <row r="393" spans="1:93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</row>
    <row r="394" spans="1:93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</row>
    <row r="395" spans="1:93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</row>
    <row r="396" spans="1:93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</row>
    <row r="397" spans="1:93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</row>
    <row r="398" spans="1:93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</row>
    <row r="399" spans="1:93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</row>
    <row r="400" spans="1:93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</row>
    <row r="401" spans="1:93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</row>
    <row r="402" spans="1:93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</row>
    <row r="403" spans="1:93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</row>
    <row r="404" spans="1:93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</row>
    <row r="405" spans="1:93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</row>
    <row r="406" spans="1:93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</row>
    <row r="407" spans="1:93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</row>
    <row r="408" spans="1:93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</row>
    <row r="409" spans="1:93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</row>
    <row r="410" spans="1:93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</row>
    <row r="411" spans="1:93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</row>
    <row r="412" spans="1:93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</row>
    <row r="413" spans="1:93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</row>
    <row r="414" spans="1:93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</row>
    <row r="415" spans="1:93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</row>
    <row r="416" spans="1:93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</row>
    <row r="417" spans="1:93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</row>
    <row r="418" spans="1:93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</row>
    <row r="419" spans="1:93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</row>
    <row r="420" spans="1:93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</row>
    <row r="421" spans="1:93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</row>
    <row r="422" spans="1:93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</row>
    <row r="423" spans="1:93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</row>
    <row r="424" spans="1:93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</row>
    <row r="425" spans="1:93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</row>
    <row r="426" spans="1:93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</row>
    <row r="427" spans="1:93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</row>
    <row r="428" spans="1:93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</row>
    <row r="429" spans="1:93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</row>
    <row r="430" spans="1:93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</row>
    <row r="431" spans="1:93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</row>
    <row r="432" spans="1:93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</row>
    <row r="433" spans="1:93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</row>
    <row r="434" spans="1:93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</row>
    <row r="435" spans="1:93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</row>
    <row r="436" spans="1:93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</row>
    <row r="437" spans="1:93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</row>
    <row r="438" spans="1:93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</row>
    <row r="439" spans="1:93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</row>
    <row r="440" spans="1:93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</row>
    <row r="441" spans="1:93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</row>
    <row r="442" spans="1:93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</row>
    <row r="443" spans="1:93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</row>
    <row r="444" spans="1:93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</row>
    <row r="445" spans="1:93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</row>
    <row r="446" spans="1:93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</row>
    <row r="447" spans="1:93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</row>
    <row r="448" spans="1:93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</row>
    <row r="449" spans="1:93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</row>
    <row r="450" spans="1:93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</row>
    <row r="451" spans="1:93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</row>
    <row r="452" spans="1:93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</row>
    <row r="453" spans="1:93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</row>
    <row r="454" spans="1:93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</row>
    <row r="455" spans="1:93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</row>
    <row r="456" spans="1:93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</row>
    <row r="457" spans="1:93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</row>
    <row r="458" spans="1:93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</row>
    <row r="459" spans="1:93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</row>
    <row r="460" spans="1:93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</row>
    <row r="461" spans="1:93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</row>
    <row r="462" spans="1:93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</row>
    <row r="463" spans="1:93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</row>
    <row r="464" spans="1:93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</row>
    <row r="465" spans="1:93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</row>
    <row r="466" spans="1:93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</row>
    <row r="467" spans="1:93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</row>
    <row r="468" spans="1:93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</row>
    <row r="469" spans="1:93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</row>
    <row r="470" spans="1:93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</row>
    <row r="471" spans="1:93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</row>
    <row r="472" spans="1:93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</row>
    <row r="473" spans="1:93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</row>
    <row r="474" spans="1:93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</row>
    <row r="475" spans="1:93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</row>
    <row r="476" spans="1:93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</row>
    <row r="477" spans="1:93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</row>
    <row r="478" spans="1:93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</row>
    <row r="479" spans="1:93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</row>
    <row r="480" spans="1:93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</row>
    <row r="481" spans="1:93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</row>
    <row r="482" spans="1:93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</row>
    <row r="483" spans="1:93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</row>
    <row r="484" spans="1:93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</row>
    <row r="485" spans="1:93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</row>
    <row r="486" spans="1:93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</row>
    <row r="487" spans="1:93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</row>
    <row r="488" spans="1:93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</row>
    <row r="489" spans="1:93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</row>
    <row r="490" spans="1:93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</row>
    <row r="491" spans="1:93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</row>
    <row r="492" spans="1:93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</row>
    <row r="493" spans="1:93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</row>
    <row r="494" spans="1:93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</row>
    <row r="495" spans="1:93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</row>
    <row r="496" spans="1:93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</row>
    <row r="497" spans="1:93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</row>
    <row r="498" spans="1:93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</row>
    <row r="499" spans="1:93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</row>
    <row r="500" spans="1:93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</row>
    <row r="501" spans="1:93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</row>
    <row r="502" spans="1:93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</row>
    <row r="503" spans="1:93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</row>
    <row r="504" spans="1:93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</row>
    <row r="505" spans="1:93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</row>
    <row r="506" spans="1:93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</row>
    <row r="507" spans="1:93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</row>
    <row r="508" spans="1:93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</row>
    <row r="509" spans="1:93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</row>
    <row r="510" spans="1:93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</row>
    <row r="511" spans="1:93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</row>
    <row r="512" spans="1:93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</row>
    <row r="513" spans="1:93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</row>
    <row r="514" spans="1:93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</row>
    <row r="515" spans="1:93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</row>
    <row r="516" spans="1:93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</row>
    <row r="517" spans="1:93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</row>
    <row r="518" spans="1:93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</row>
    <row r="519" spans="1:93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</row>
    <row r="520" spans="1:93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</row>
    <row r="521" spans="1:93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</row>
    <row r="522" spans="1:93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</row>
    <row r="523" spans="1:93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</row>
    <row r="524" spans="1:93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</row>
    <row r="525" spans="1:93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</row>
    <row r="526" spans="1:93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</row>
    <row r="527" spans="1:93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</row>
    <row r="528" spans="1:93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</row>
    <row r="529" spans="1:93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</row>
    <row r="530" spans="1:93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</row>
    <row r="531" spans="1:93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</row>
    <row r="532" spans="1:93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</row>
    <row r="533" spans="1:93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</row>
    <row r="534" spans="1:93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</row>
    <row r="535" spans="1:93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</row>
    <row r="536" spans="1:93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</row>
    <row r="537" spans="1:93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</row>
    <row r="538" spans="1:93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</row>
    <row r="539" spans="1:93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</row>
    <row r="540" spans="1:93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</row>
    <row r="541" spans="1:93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</row>
    <row r="542" spans="1:93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</row>
    <row r="543" spans="1:93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</row>
    <row r="544" spans="1:93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</row>
    <row r="545" spans="1:93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</row>
    <row r="546" spans="1:93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</row>
    <row r="547" spans="1:93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</row>
    <row r="548" spans="1:93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</row>
    <row r="549" spans="1:93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</row>
    <row r="550" spans="1:93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</row>
    <row r="551" spans="1:93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</row>
    <row r="552" spans="1:93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</row>
    <row r="553" spans="1:93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</row>
    <row r="554" spans="1:93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</row>
    <row r="555" spans="1:93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</row>
    <row r="556" spans="1:93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</row>
    <row r="557" spans="1:93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</row>
    <row r="558" spans="1:93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</row>
    <row r="559" spans="1:93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</row>
    <row r="560" spans="1:93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</row>
    <row r="561" spans="1:93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</row>
    <row r="562" spans="1:93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</row>
    <row r="563" spans="1:93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</row>
    <row r="564" spans="1:93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</row>
    <row r="565" spans="1:93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</row>
    <row r="566" spans="1:93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</row>
    <row r="567" spans="1:93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</row>
    <row r="568" spans="1:93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</row>
    <row r="569" spans="1:93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</row>
    <row r="570" spans="1:93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</row>
    <row r="571" spans="1:93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</row>
    <row r="572" spans="1:93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</row>
    <row r="573" spans="1:93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</row>
    <row r="574" spans="1:93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</row>
    <row r="575" spans="1:93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</row>
    <row r="576" spans="1:93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</row>
    <row r="577" spans="1:93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</row>
    <row r="578" spans="1:93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</row>
    <row r="579" spans="1:93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</row>
    <row r="580" spans="1:93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</row>
    <row r="581" spans="1:93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</row>
    <row r="582" spans="1:93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</row>
    <row r="583" spans="1:93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</row>
    <row r="584" spans="1:93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</row>
    <row r="585" spans="1:93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</row>
    <row r="586" spans="1:93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</row>
    <row r="587" spans="1:93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</row>
    <row r="588" spans="1:93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</row>
    <row r="589" spans="1:93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</row>
    <row r="590" spans="1:93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</row>
    <row r="591" spans="1:93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</row>
    <row r="592" spans="1:93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</row>
    <row r="593" spans="1:93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</row>
    <row r="594" spans="1:93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</row>
    <row r="595" spans="1:93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</row>
    <row r="596" spans="1:93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</row>
    <row r="597" spans="1:93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</row>
    <row r="598" spans="1:93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</row>
    <row r="599" spans="1:93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</row>
    <row r="600" spans="1:93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</row>
    <row r="601" spans="1:93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</row>
    <row r="602" spans="1:93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</row>
    <row r="603" spans="1:93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</row>
    <row r="604" spans="1:93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</row>
    <row r="605" spans="1:93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</row>
    <row r="606" spans="1:93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</row>
    <row r="607" spans="1:93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</row>
    <row r="608" spans="1:93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</row>
    <row r="609" spans="1:93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</row>
    <row r="610" spans="1:93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</row>
    <row r="611" spans="1:93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</row>
    <row r="612" spans="1:93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</row>
    <row r="613" spans="1:93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</row>
    <row r="614" spans="1:93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</row>
    <row r="615" spans="1:93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</row>
    <row r="616" spans="1:93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</row>
    <row r="617" spans="1:93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</row>
    <row r="618" spans="1:93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</row>
    <row r="619" spans="1:93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</row>
    <row r="620" spans="1:93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</row>
    <row r="621" spans="1:93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</row>
    <row r="622" spans="1:93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</row>
    <row r="623" spans="1:93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</row>
    <row r="624" spans="1:93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</row>
    <row r="625" spans="1:93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</row>
    <row r="626" spans="1:93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</row>
    <row r="627" spans="1:93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</row>
    <row r="628" spans="1:93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</row>
    <row r="629" spans="1:93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</row>
    <row r="630" spans="1:93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</row>
    <row r="631" spans="1:93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</row>
    <row r="632" spans="1:93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</row>
    <row r="633" spans="1:93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</row>
    <row r="634" spans="1:93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</row>
    <row r="635" spans="1:93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</row>
    <row r="636" spans="1:93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</row>
    <row r="637" spans="1:93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</row>
    <row r="638" spans="1:93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</row>
    <row r="639" spans="1:93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</row>
    <row r="640" spans="1:93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</row>
    <row r="641" spans="1:93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</row>
    <row r="642" spans="1:93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</row>
    <row r="643" spans="1:93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</row>
    <row r="644" spans="1:93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</row>
    <row r="645" spans="1:93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</row>
    <row r="646" spans="1:93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</row>
    <row r="647" spans="1:93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</row>
    <row r="648" spans="1:93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</row>
    <row r="649" spans="1:93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</row>
    <row r="650" spans="1:93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</row>
    <row r="651" spans="1:93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</row>
    <row r="652" spans="1:93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</row>
    <row r="653" spans="1:93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</row>
    <row r="654" spans="1:93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</row>
    <row r="655" spans="1:93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</row>
    <row r="656" spans="1:93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</row>
    <row r="657" spans="1:93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</row>
    <row r="658" spans="1:93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</row>
    <row r="659" spans="1:93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</row>
    <row r="660" spans="1:93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</row>
    <row r="661" spans="1:93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</row>
    <row r="662" spans="1:93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</row>
    <row r="663" spans="1:93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</row>
    <row r="664" spans="1:93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</row>
    <row r="665" spans="1:93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</row>
    <row r="666" spans="1:93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</row>
    <row r="667" spans="1:93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</row>
    <row r="668" spans="1:93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</row>
    <row r="669" spans="1:93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</row>
    <row r="670" spans="1:93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</row>
    <row r="671" spans="1:93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</row>
    <row r="672" spans="1:93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</row>
    <row r="673" spans="1:93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</row>
    <row r="674" spans="1:93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</row>
    <row r="675" spans="1:93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</row>
    <row r="676" spans="1:93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</row>
    <row r="677" spans="1:93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</row>
    <row r="678" spans="1:93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</row>
    <row r="679" spans="1:93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</row>
    <row r="680" spans="1:93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</row>
    <row r="681" spans="1:93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</row>
    <row r="682" spans="1:93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</row>
    <row r="683" spans="1:93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</row>
    <row r="684" spans="1:93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</row>
    <row r="685" spans="1:93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</row>
    <row r="686" spans="1:93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</row>
    <row r="687" spans="1:93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</row>
    <row r="688" spans="1:93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</row>
    <row r="689" spans="1:93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</row>
    <row r="690" spans="1:93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</row>
    <row r="691" spans="1:93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</row>
    <row r="692" spans="1:93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</row>
    <row r="693" spans="1:93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</row>
    <row r="694" spans="1:93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</row>
    <row r="695" spans="1:93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</row>
    <row r="696" spans="1:93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</row>
    <row r="697" spans="1:93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</row>
    <row r="698" spans="1:93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</row>
    <row r="699" spans="1:93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</row>
    <row r="700" spans="1:93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</row>
    <row r="701" spans="1:93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</row>
    <row r="702" spans="1:93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</row>
    <row r="703" spans="1:93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</row>
    <row r="704" spans="1:93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</row>
    <row r="705" spans="1:93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</row>
    <row r="706" spans="1:93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</row>
    <row r="707" spans="1:93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</row>
    <row r="708" spans="1:93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</row>
    <row r="709" spans="1:93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</row>
    <row r="710" spans="1:93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</row>
    <row r="711" spans="1:93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</row>
    <row r="712" spans="1:93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</row>
    <row r="713" spans="1:93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</row>
    <row r="714" spans="1:93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</row>
    <row r="715" spans="1:93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</row>
    <row r="716" spans="1:93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</row>
    <row r="717" spans="1:93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</row>
    <row r="718" spans="1:93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</row>
    <row r="719" spans="1:93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</row>
    <row r="720" spans="1:93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</row>
    <row r="721" spans="1:93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</row>
    <row r="722" spans="1:93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</row>
    <row r="723" spans="1:93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</row>
    <row r="724" spans="1:93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</row>
    <row r="725" spans="1:93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</row>
    <row r="726" spans="1:93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</row>
    <row r="727" spans="1:93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</row>
    <row r="728" spans="1:93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</row>
    <row r="729" spans="1:93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</row>
    <row r="730" spans="1:93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</row>
    <row r="731" spans="1:93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</row>
    <row r="732" spans="1:93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</row>
    <row r="733" spans="1:93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</row>
    <row r="734" spans="1:93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</row>
    <row r="735" spans="1:93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</row>
    <row r="736" spans="1:93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</row>
    <row r="737" spans="1:93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</row>
    <row r="738" spans="1:93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</row>
    <row r="739" spans="1:93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</row>
    <row r="740" spans="1:93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</row>
    <row r="741" spans="1:93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</row>
    <row r="742" spans="1:93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</row>
    <row r="743" spans="1:93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</row>
    <row r="744" spans="1:93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</row>
    <row r="745" spans="1:93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</row>
    <row r="746" spans="1:93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</row>
    <row r="747" spans="1:93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</row>
    <row r="748" spans="1:93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</row>
    <row r="749" spans="1:93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</row>
    <row r="750" spans="1:93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</row>
    <row r="751" spans="1:93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</row>
    <row r="752" spans="1:93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</row>
    <row r="753" spans="1:93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</row>
    <row r="754" spans="1:93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</row>
    <row r="755" spans="1:93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</row>
    <row r="756" spans="1:93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</row>
    <row r="757" spans="1:93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</row>
    <row r="758" spans="1:93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</row>
    <row r="759" spans="1:93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</row>
    <row r="760" spans="1:93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</row>
    <row r="761" spans="1:93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</row>
    <row r="762" spans="1:93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</row>
    <row r="763" spans="1:93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</row>
    <row r="764" spans="1:93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</row>
    <row r="765" spans="1:93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</row>
    <row r="766" spans="1:93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</row>
    <row r="767" spans="1:93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</row>
    <row r="768" spans="1:93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</row>
    <row r="769" spans="1:93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</row>
    <row r="770" spans="1:93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</row>
    <row r="771" spans="1:93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</row>
    <row r="772" spans="1:93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</row>
    <row r="773" spans="1:93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</row>
    <row r="774" spans="1:93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</row>
    <row r="775" spans="1:93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</row>
    <row r="776" spans="1:93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</row>
    <row r="777" spans="1:93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</row>
    <row r="778" spans="1:93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</row>
    <row r="779" spans="1:93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</row>
    <row r="780" spans="1:93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</row>
    <row r="781" spans="1:93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</row>
    <row r="782" spans="1:93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</row>
    <row r="783" spans="1:93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</row>
    <row r="784" spans="1:93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</row>
    <row r="785" spans="1:93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</row>
    <row r="786" spans="1:93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</row>
    <row r="787" spans="1:93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</row>
    <row r="788" spans="1:93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</row>
    <row r="789" spans="1:93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</row>
    <row r="790" spans="1:93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</row>
    <row r="791" spans="1:93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</row>
    <row r="792" spans="1:93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</row>
    <row r="793" spans="1:93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</row>
    <row r="794" spans="1:93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</row>
    <row r="795" spans="1:93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</row>
    <row r="796" spans="1:93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</row>
    <row r="797" spans="1:93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</row>
    <row r="798" spans="1:93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</row>
    <row r="799" spans="1:93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</row>
    <row r="800" spans="1:93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</row>
    <row r="801" spans="1:93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</row>
    <row r="802" spans="1:93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</row>
    <row r="803" spans="1:93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</row>
    <row r="804" spans="1:93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</row>
    <row r="805" spans="1:93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</row>
    <row r="806" spans="1:93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</row>
    <row r="807" spans="1:93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</row>
    <row r="808" spans="1:93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</row>
    <row r="809" spans="1:93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</row>
    <row r="810" spans="1:93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</row>
    <row r="811" spans="1:93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</row>
    <row r="812" spans="1:93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</row>
    <row r="813" spans="1:93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</row>
    <row r="814" spans="1:93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</row>
    <row r="815" spans="1:93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</row>
    <row r="816" spans="1:93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</row>
    <row r="817" spans="1:93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</row>
    <row r="818" spans="1:93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</row>
    <row r="819" spans="1:93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</row>
    <row r="820" spans="1:93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</row>
    <row r="821" spans="1:93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</row>
    <row r="822" spans="1:93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</row>
    <row r="823" spans="1:93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</row>
    <row r="824" spans="1:93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</row>
    <row r="825" spans="1:93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</row>
    <row r="826" spans="1:93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</row>
    <row r="827" spans="1:93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</row>
    <row r="828" spans="1:93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</row>
    <row r="829" spans="1:93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</row>
    <row r="830" spans="1:93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</row>
    <row r="831" spans="1:93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</row>
    <row r="832" spans="1:93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</row>
    <row r="833" spans="1:93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</row>
    <row r="834" spans="1:93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</row>
    <row r="835" spans="1:93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</row>
    <row r="836" spans="1:93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</row>
    <row r="837" spans="1:93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</row>
    <row r="838" spans="1:93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</row>
    <row r="839" spans="1:93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</row>
    <row r="840" spans="1:93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</row>
    <row r="841" spans="1:93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</row>
    <row r="842" spans="1:93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</row>
    <row r="843" spans="1:93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</row>
    <row r="844" spans="1:93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</row>
    <row r="845" spans="1:93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</row>
    <row r="846" spans="1:93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</row>
    <row r="847" spans="1:93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</row>
    <row r="848" spans="1:93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</row>
    <row r="849" spans="1:93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</row>
    <row r="850" spans="1:93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</row>
    <row r="851" spans="1:93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</row>
    <row r="852" spans="1:93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</row>
    <row r="853" spans="1:93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</row>
    <row r="854" spans="1:93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</row>
    <row r="855" spans="1:93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</row>
    <row r="856" spans="1:93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</row>
    <row r="857" spans="1:93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</row>
    <row r="858" spans="1:93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</row>
    <row r="859" spans="1:93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</row>
    <row r="860" spans="1:93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</row>
    <row r="861" spans="1:93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</row>
    <row r="862" spans="1:93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</row>
    <row r="863" spans="1:93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</row>
    <row r="864" spans="1:93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</row>
    <row r="865" spans="1:93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</row>
    <row r="866" spans="1:93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</row>
    <row r="867" spans="1:93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</row>
    <row r="868" spans="1:93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</row>
    <row r="869" spans="1:93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</row>
    <row r="870" spans="1:93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</row>
    <row r="871" spans="1:93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</row>
    <row r="872" spans="1:93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</row>
    <row r="873" spans="1:93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</row>
    <row r="874" spans="1:93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</row>
    <row r="875" spans="1:93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</row>
    <row r="876" spans="1:93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</row>
    <row r="877" spans="1:93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</row>
    <row r="878" spans="1:93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</row>
    <row r="879" spans="1:93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</row>
    <row r="880" spans="1:93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</row>
    <row r="881" spans="1:93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</row>
    <row r="882" spans="1:93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</row>
    <row r="883" spans="1:93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</row>
    <row r="884" spans="1:93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</row>
    <row r="885" spans="1:93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</row>
    <row r="886" spans="1:93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</row>
    <row r="887" spans="1:93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</row>
    <row r="888" spans="1:93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</row>
    <row r="889" spans="1:93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</row>
    <row r="890" spans="1:93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</row>
    <row r="891" spans="1:93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</row>
    <row r="892" spans="1:93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</row>
    <row r="893" spans="1:93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</row>
    <row r="894" spans="1:93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</row>
    <row r="895" spans="1:93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</row>
    <row r="896" spans="1:93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</row>
    <row r="897" spans="1:93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</row>
    <row r="898" spans="1:93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</row>
    <row r="899" spans="1:93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</row>
    <row r="900" spans="1:93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</row>
    <row r="901" spans="1:93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</row>
    <row r="902" spans="1:93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</row>
    <row r="903" spans="1:93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</row>
    <row r="904" spans="1:93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</row>
    <row r="905" spans="1:93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</row>
    <row r="906" spans="1:93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</row>
    <row r="907" spans="1:93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</row>
    <row r="908" spans="1:93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</row>
    <row r="909" spans="1:93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</row>
    <row r="910" spans="1:93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</row>
    <row r="911" spans="1:93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</row>
    <row r="912" spans="1:93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</row>
    <row r="913" spans="1:93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</row>
    <row r="914" spans="1:93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</row>
    <row r="915" spans="1:93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</row>
    <row r="916" spans="1:93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</row>
    <row r="917" spans="1:93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</row>
    <row r="918" spans="1:93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</row>
    <row r="919" spans="1:93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</row>
    <row r="920" spans="1:93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</row>
    <row r="921" spans="1:93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</row>
    <row r="922" spans="1:93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</row>
    <row r="923" spans="1:93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</row>
    <row r="924" spans="1:93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</row>
    <row r="925" spans="1:93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</row>
    <row r="926" spans="1:93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</row>
    <row r="927" spans="1:93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</row>
    <row r="928" spans="1:93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</row>
    <row r="929" spans="1:93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</row>
    <row r="930" spans="1:93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</row>
    <row r="931" spans="1:93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</row>
    <row r="932" spans="1:93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</row>
    <row r="933" spans="1:93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</row>
    <row r="934" spans="1:93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</row>
    <row r="935" spans="1:93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</row>
    <row r="936" spans="1:93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</row>
    <row r="937" spans="1:93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</row>
    <row r="938" spans="1:93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</row>
    <row r="939" spans="1:93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</row>
    <row r="940" spans="1:93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</row>
    <row r="941" spans="1:93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</row>
    <row r="942" spans="1:93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</row>
    <row r="943" spans="1:93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</row>
    <row r="944" spans="1:93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</row>
    <row r="945" spans="1:93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</row>
    <row r="946" spans="1:93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</row>
    <row r="947" spans="1:93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</row>
    <row r="948" spans="1:93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</row>
    <row r="949" spans="1:93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</row>
    <row r="950" spans="1:93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</row>
    <row r="951" spans="1:93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</row>
    <row r="952" spans="1:93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</row>
    <row r="953" spans="1:93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</row>
    <row r="954" spans="1:93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</row>
    <row r="955" spans="1:93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</row>
    <row r="956" spans="1:93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</row>
    <row r="957" spans="1:93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</row>
    <row r="958" spans="1:93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</row>
    <row r="959" spans="1:93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</row>
    <row r="960" spans="1:93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</row>
    <row r="961" spans="1:93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</row>
    <row r="962" spans="1:93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</row>
    <row r="963" spans="1:93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</row>
    <row r="964" spans="1:93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</row>
    <row r="965" spans="1:93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</row>
    <row r="966" spans="1:93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</row>
    <row r="967" spans="1:93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</row>
    <row r="968" spans="1:93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</row>
    <row r="969" spans="1:93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</row>
    <row r="970" spans="1:93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</row>
    <row r="971" spans="1:93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</row>
    <row r="972" spans="1:93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</row>
    <row r="973" spans="1:93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</row>
    <row r="974" spans="1:93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</row>
    <row r="975" spans="1:93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</row>
    <row r="976" spans="1:93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</row>
    <row r="977" spans="1:93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</row>
    <row r="978" spans="1:93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</row>
    <row r="979" spans="1:93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</row>
    <row r="980" spans="1:93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</row>
    <row r="981" spans="1:93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</row>
    <row r="982" spans="1:93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</row>
    <row r="983" spans="1:93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</row>
    <row r="984" spans="1:93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</row>
    <row r="985" spans="1:93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</row>
    <row r="986" spans="1:93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</row>
    <row r="987" spans="1:93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</row>
    <row r="988" spans="1:93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</row>
    <row r="989" spans="1:93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</row>
    <row r="990" spans="1:93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</row>
    <row r="991" spans="1:93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</row>
    <row r="992" spans="1:93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</row>
    <row r="993" spans="1:93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</row>
    <row r="994" spans="1:93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</row>
    <row r="995" spans="1:93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</row>
    <row r="996" spans="1:93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</row>
    <row r="997" spans="1:93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</row>
    <row r="998" spans="1:93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</row>
    <row r="999" spans="1:93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</row>
    <row r="1000" spans="1:93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zoomScale="80" zoomScaleNormal="80" workbookViewId="0"/>
  </sheetViews>
  <sheetFormatPr defaultColWidth="12.625" defaultRowHeight="15" x14ac:dyDescent="0.25"/>
  <cols>
    <col min="1" max="1" width="25.125" style="24" bestFit="1" customWidth="1"/>
    <col min="2" max="2" width="11.125" style="24" bestFit="1" customWidth="1"/>
    <col min="3" max="3" width="43.625" style="24" bestFit="1" customWidth="1"/>
    <col min="4" max="4" width="50.75" style="24" bestFit="1" customWidth="1"/>
    <col min="5" max="5" width="35.375" style="24" bestFit="1" customWidth="1"/>
    <col min="6" max="6" width="21.75" style="24" bestFit="1" customWidth="1"/>
    <col min="7" max="7" width="79.5" style="24" bestFit="1" customWidth="1"/>
    <col min="8" max="8" width="37.25" style="24" bestFit="1" customWidth="1"/>
    <col min="9" max="11" width="36.125" style="24" bestFit="1" customWidth="1"/>
    <col min="12" max="12" width="38.625" style="24" bestFit="1" customWidth="1"/>
    <col min="13" max="17" width="36.125" style="24" bestFit="1" customWidth="1"/>
    <col min="18" max="18" width="34.25" style="24" bestFit="1" customWidth="1"/>
    <col min="19" max="19" width="32.875" style="24" bestFit="1" customWidth="1"/>
    <col min="20" max="20" width="35.375" style="24" bestFit="1" customWidth="1"/>
    <col min="21" max="21" width="31.375" style="24" bestFit="1" customWidth="1"/>
    <col min="22" max="22" width="38.875" style="24" bestFit="1" customWidth="1"/>
    <col min="23" max="23" width="45.125" style="24" bestFit="1" customWidth="1"/>
    <col min="24" max="24" width="36.125" style="24" bestFit="1" customWidth="1"/>
    <col min="25" max="28" width="35.375" style="24" bestFit="1" customWidth="1"/>
    <col min="29" max="29" width="49.25" style="24" bestFit="1" customWidth="1"/>
    <col min="30" max="31" width="18.625" style="24" customWidth="1"/>
    <col min="32" max="16384" width="12.625" style="24"/>
  </cols>
  <sheetData>
    <row r="1" spans="1:31" ht="30" x14ac:dyDescent="0.25">
      <c r="A1" s="21" t="s">
        <v>0</v>
      </c>
      <c r="B1" s="21" t="s">
        <v>1</v>
      </c>
      <c r="C1" s="21" t="s">
        <v>879</v>
      </c>
      <c r="D1" s="21" t="s">
        <v>880</v>
      </c>
      <c r="E1" s="21" t="s">
        <v>881</v>
      </c>
      <c r="F1" s="21" t="s">
        <v>882</v>
      </c>
      <c r="G1" s="21" t="s">
        <v>883</v>
      </c>
      <c r="H1" s="21" t="s">
        <v>884</v>
      </c>
      <c r="I1" s="21" t="s">
        <v>885</v>
      </c>
      <c r="J1" s="21" t="s">
        <v>886</v>
      </c>
      <c r="K1" s="21" t="s">
        <v>887</v>
      </c>
      <c r="L1" s="21" t="s">
        <v>888</v>
      </c>
      <c r="M1" s="21" t="s">
        <v>289</v>
      </c>
      <c r="N1" s="21" t="s">
        <v>290</v>
      </c>
      <c r="O1" s="21" t="s">
        <v>291</v>
      </c>
      <c r="P1" s="21" t="s">
        <v>292</v>
      </c>
      <c r="Q1" s="21" t="s">
        <v>20</v>
      </c>
      <c r="R1" s="21" t="s">
        <v>889</v>
      </c>
      <c r="S1" s="21" t="s">
        <v>890</v>
      </c>
      <c r="T1" s="21" t="s">
        <v>891</v>
      </c>
      <c r="U1" s="21" t="s">
        <v>892</v>
      </c>
      <c r="V1" s="21" t="s">
        <v>285</v>
      </c>
      <c r="W1" s="21" t="s">
        <v>286</v>
      </c>
      <c r="X1" s="21" t="s">
        <v>893</v>
      </c>
      <c r="Y1" s="21" t="s">
        <v>894</v>
      </c>
      <c r="Z1" s="21" t="s">
        <v>895</v>
      </c>
      <c r="AA1" s="21" t="s">
        <v>60</v>
      </c>
      <c r="AB1" s="21" t="s">
        <v>896</v>
      </c>
      <c r="AC1" s="21" t="s">
        <v>897</v>
      </c>
      <c r="AD1" s="9"/>
      <c r="AE1" s="10"/>
    </row>
    <row r="2" spans="1:31" x14ac:dyDescent="0.25">
      <c r="A2" s="3" t="s">
        <v>64</v>
      </c>
      <c r="B2" s="3" t="s">
        <v>65</v>
      </c>
      <c r="C2" s="2" t="s">
        <v>898</v>
      </c>
      <c r="D2" s="3" t="s">
        <v>899</v>
      </c>
      <c r="E2" s="3" t="s">
        <v>900</v>
      </c>
      <c r="F2" s="3" t="s">
        <v>901</v>
      </c>
      <c r="G2" s="3" t="s">
        <v>902</v>
      </c>
      <c r="H2" s="3" t="s">
        <v>903</v>
      </c>
      <c r="I2" s="3" t="s">
        <v>90</v>
      </c>
      <c r="J2" s="3" t="s">
        <v>91</v>
      </c>
      <c r="K2" s="3" t="s">
        <v>92</v>
      </c>
      <c r="L2" s="3" t="s">
        <v>88</v>
      </c>
      <c r="M2" s="3" t="s">
        <v>348</v>
      </c>
      <c r="N2" s="3" t="s">
        <v>349</v>
      </c>
      <c r="O2" s="3" t="s">
        <v>350</v>
      </c>
      <c r="P2" s="3" t="s">
        <v>351</v>
      </c>
      <c r="Q2" s="3" t="s">
        <v>352</v>
      </c>
      <c r="R2" s="3" t="s">
        <v>904</v>
      </c>
      <c r="S2" s="9" t="s">
        <v>905</v>
      </c>
      <c r="T2" s="3" t="s">
        <v>906</v>
      </c>
      <c r="U2" s="3" t="s">
        <v>907</v>
      </c>
      <c r="V2" s="2" t="s">
        <v>344</v>
      </c>
      <c r="W2" s="2" t="s">
        <v>345</v>
      </c>
      <c r="X2" s="3" t="s">
        <v>908</v>
      </c>
      <c r="Y2" s="3" t="s">
        <v>909</v>
      </c>
      <c r="Z2" s="3" t="s">
        <v>910</v>
      </c>
      <c r="AA2" s="3" t="s">
        <v>911</v>
      </c>
      <c r="AB2" s="3" t="s">
        <v>912</v>
      </c>
      <c r="AC2" s="3" t="s">
        <v>913</v>
      </c>
      <c r="AD2" s="9"/>
      <c r="AE2" s="9"/>
    </row>
    <row r="3" spans="1:31" x14ac:dyDescent="0.25">
      <c r="A3" s="4" t="s">
        <v>129</v>
      </c>
      <c r="B3" s="4">
        <v>2001</v>
      </c>
      <c r="C3" s="4" t="s">
        <v>432</v>
      </c>
      <c r="D3" s="7">
        <v>630458000</v>
      </c>
      <c r="E3" s="7">
        <f>D3*99.99%</f>
        <v>630394954.19999993</v>
      </c>
      <c r="F3" s="11">
        <f t="shared" ref="F3:F15" si="0">D3-E3</f>
        <v>63045.800000071526</v>
      </c>
      <c r="G3" s="4" t="s">
        <v>424</v>
      </c>
      <c r="H3" s="12">
        <f t="shared" ref="H3:H15" si="1">E3/D3</f>
        <v>0.9998999999999999</v>
      </c>
      <c r="I3" s="13" t="s">
        <v>600</v>
      </c>
      <c r="J3" s="4" t="s">
        <v>600</v>
      </c>
      <c r="K3" s="4" t="s">
        <v>600</v>
      </c>
      <c r="L3" s="4" t="s">
        <v>600</v>
      </c>
      <c r="M3" s="7">
        <v>34374000000</v>
      </c>
      <c r="N3" s="7">
        <v>32637000000</v>
      </c>
      <c r="O3" s="7">
        <v>-1737000000</v>
      </c>
      <c r="P3" s="5">
        <v>1.0529999999999999</v>
      </c>
      <c r="Q3" s="7">
        <v>9529000000</v>
      </c>
      <c r="R3" s="14" t="s">
        <v>600</v>
      </c>
      <c r="S3" s="12">
        <f t="shared" ref="S3:S15" si="2">D3/Q3</f>
        <v>6.6162031692727469E-2</v>
      </c>
      <c r="T3" s="7">
        <v>35619620000</v>
      </c>
      <c r="U3" s="12">
        <f t="shared" ref="U3:U23" si="3">T3/N3</f>
        <v>1.091387688819438</v>
      </c>
      <c r="V3" s="5"/>
      <c r="W3" s="5"/>
      <c r="X3" s="7"/>
      <c r="Y3" s="7">
        <v>1261348000</v>
      </c>
      <c r="Z3" s="7">
        <v>79439000</v>
      </c>
      <c r="AA3" s="7">
        <v>14100000</v>
      </c>
      <c r="AB3" s="7">
        <v>0</v>
      </c>
      <c r="AC3" s="7">
        <v>1354887000</v>
      </c>
      <c r="AD3" s="2"/>
      <c r="AE3" s="4"/>
    </row>
    <row r="4" spans="1:31" x14ac:dyDescent="0.25">
      <c r="A4" s="4" t="s">
        <v>129</v>
      </c>
      <c r="B4" s="4">
        <v>2002</v>
      </c>
      <c r="C4" s="4" t="s">
        <v>432</v>
      </c>
      <c r="D4" s="7">
        <v>459613000</v>
      </c>
      <c r="E4" s="7">
        <f>D4*79.68%</f>
        <v>366219638.40000004</v>
      </c>
      <c r="F4" s="11">
        <f t="shared" si="0"/>
        <v>93393361.599999964</v>
      </c>
      <c r="G4" s="4" t="s">
        <v>424</v>
      </c>
      <c r="H4" s="12">
        <f t="shared" si="1"/>
        <v>0.79680000000000006</v>
      </c>
      <c r="I4" s="4" t="s">
        <v>600</v>
      </c>
      <c r="J4" s="4" t="s">
        <v>600</v>
      </c>
      <c r="K4" s="4" t="s">
        <v>600</v>
      </c>
      <c r="L4" s="4" t="s">
        <v>600</v>
      </c>
      <c r="M4" s="7">
        <v>37968000000</v>
      </c>
      <c r="N4" s="7">
        <v>35384000000</v>
      </c>
      <c r="O4" s="7">
        <v>-2584000000</v>
      </c>
      <c r="P4" s="5">
        <v>1.073</v>
      </c>
      <c r="Q4" s="7">
        <v>10145000000</v>
      </c>
      <c r="R4" s="4" t="s">
        <v>600</v>
      </c>
      <c r="S4" s="12">
        <f t="shared" si="2"/>
        <v>4.5304386397240021E-2</v>
      </c>
      <c r="T4" s="7">
        <v>32448309000</v>
      </c>
      <c r="U4" s="12">
        <f t="shared" si="3"/>
        <v>0.91703337666742035</v>
      </c>
      <c r="V4" s="5"/>
      <c r="W4" s="5"/>
      <c r="X4" s="7"/>
      <c r="Y4" s="7">
        <v>1389815000</v>
      </c>
      <c r="Z4" s="7">
        <v>69235000</v>
      </c>
      <c r="AA4" s="7">
        <v>15039000</v>
      </c>
      <c r="AB4" s="7">
        <v>2449000</v>
      </c>
      <c r="AC4" s="7">
        <v>1476538000</v>
      </c>
      <c r="AD4" s="4"/>
      <c r="AE4" s="4"/>
    </row>
    <row r="5" spans="1:31" x14ac:dyDescent="0.25">
      <c r="A5" s="4" t="s">
        <v>129</v>
      </c>
      <c r="B5" s="4">
        <v>2003</v>
      </c>
      <c r="C5" s="4" t="s">
        <v>432</v>
      </c>
      <c r="D5" s="7">
        <v>450766000</v>
      </c>
      <c r="E5" s="7">
        <f>D5*67.61%</f>
        <v>304762892.60000002</v>
      </c>
      <c r="F5" s="11">
        <f t="shared" si="0"/>
        <v>146003107.39999998</v>
      </c>
      <c r="G5" s="4" t="s">
        <v>424</v>
      </c>
      <c r="H5" s="12">
        <f t="shared" si="1"/>
        <v>0.67610000000000003</v>
      </c>
      <c r="I5" s="4" t="s">
        <v>600</v>
      </c>
      <c r="J5" s="4" t="s">
        <v>600</v>
      </c>
      <c r="K5" s="4" t="s">
        <v>600</v>
      </c>
      <c r="L5" s="4" t="s">
        <v>600</v>
      </c>
      <c r="M5" s="7">
        <v>38957000000</v>
      </c>
      <c r="N5" s="7">
        <v>38265000000</v>
      </c>
      <c r="O5" s="7">
        <v>-692000000</v>
      </c>
      <c r="P5" s="5">
        <v>1.018</v>
      </c>
      <c r="Q5" s="7">
        <v>10669000000</v>
      </c>
      <c r="R5" s="4" t="s">
        <v>600</v>
      </c>
      <c r="S5" s="12">
        <f t="shared" si="2"/>
        <v>4.2250070297122508E-2</v>
      </c>
      <c r="T5" s="7">
        <v>32726882000</v>
      </c>
      <c r="U5" s="12">
        <f t="shared" si="3"/>
        <v>0.85526935842153406</v>
      </c>
      <c r="V5" s="5"/>
      <c r="W5" s="5"/>
      <c r="X5" s="7"/>
      <c r="Y5" s="7">
        <v>1537762000</v>
      </c>
      <c r="Z5" s="7">
        <v>67473000</v>
      </c>
      <c r="AA5" s="7">
        <v>16201000</v>
      </c>
      <c r="AB5" s="7">
        <v>0</v>
      </c>
      <c r="AC5" s="7">
        <v>1621436000</v>
      </c>
      <c r="AD5" s="4"/>
      <c r="AE5" s="4"/>
    </row>
    <row r="6" spans="1:31" x14ac:dyDescent="0.25">
      <c r="A6" s="4" t="s">
        <v>129</v>
      </c>
      <c r="B6" s="4">
        <v>2004</v>
      </c>
      <c r="C6" s="4" t="s">
        <v>432</v>
      </c>
      <c r="D6" s="7">
        <v>469200000</v>
      </c>
      <c r="E6" s="7">
        <f>D6*91.66%</f>
        <v>430068720</v>
      </c>
      <c r="F6" s="11">
        <f t="shared" si="0"/>
        <v>39131280</v>
      </c>
      <c r="G6" s="4" t="s">
        <v>424</v>
      </c>
      <c r="H6" s="12">
        <f t="shared" si="1"/>
        <v>0.91659999999999997</v>
      </c>
      <c r="I6" s="4" t="s">
        <v>600</v>
      </c>
      <c r="J6" s="4" t="s">
        <v>600</v>
      </c>
      <c r="K6" s="4" t="s">
        <v>600</v>
      </c>
      <c r="L6" s="4" t="s">
        <v>600</v>
      </c>
      <c r="M6" s="7">
        <v>39243000000</v>
      </c>
      <c r="N6" s="7">
        <v>40698000000</v>
      </c>
      <c r="O6" s="7">
        <v>1455000000</v>
      </c>
      <c r="P6" s="5">
        <v>0.96399999999999997</v>
      </c>
      <c r="Q6" s="7">
        <v>10885000000</v>
      </c>
      <c r="R6" s="4" t="s">
        <v>600</v>
      </c>
      <c r="S6" s="12">
        <f t="shared" si="2"/>
        <v>4.3105190629306386E-2</v>
      </c>
      <c r="T6" s="7">
        <v>37784408000</v>
      </c>
      <c r="U6" s="12">
        <f t="shared" si="3"/>
        <v>0.92840945501007421</v>
      </c>
      <c r="V6" s="5"/>
      <c r="W6" s="5"/>
      <c r="X6" s="7">
        <f>(4266788-1454947)*1000</f>
        <v>2811841000</v>
      </c>
      <c r="Y6" s="7">
        <v>1692166000</v>
      </c>
      <c r="Z6" s="7">
        <v>80237000</v>
      </c>
      <c r="AA6" s="7">
        <v>18119000</v>
      </c>
      <c r="AB6" s="7">
        <v>0</v>
      </c>
      <c r="AC6" s="7">
        <v>1790522000</v>
      </c>
      <c r="AD6" s="4"/>
      <c r="AE6" s="4"/>
    </row>
    <row r="7" spans="1:31" x14ac:dyDescent="0.25">
      <c r="A7" s="4" t="s">
        <v>129</v>
      </c>
      <c r="B7" s="4">
        <v>2005</v>
      </c>
      <c r="C7" s="4" t="s">
        <v>432</v>
      </c>
      <c r="D7" s="7">
        <v>810944000</v>
      </c>
      <c r="E7" s="7">
        <f>D7*85.26%</f>
        <v>691410854.39999998</v>
      </c>
      <c r="F7" s="11">
        <f t="shared" si="0"/>
        <v>119533145.60000002</v>
      </c>
      <c r="G7" s="4" t="s">
        <v>424</v>
      </c>
      <c r="H7" s="12">
        <f t="shared" si="1"/>
        <v>0.85260000000000002</v>
      </c>
      <c r="I7" s="4" t="s">
        <v>600</v>
      </c>
      <c r="J7" s="4" t="s">
        <v>600</v>
      </c>
      <c r="K7" s="4" t="s">
        <v>600</v>
      </c>
      <c r="L7" s="4" t="s">
        <v>600</v>
      </c>
      <c r="M7" s="7">
        <v>39691000000</v>
      </c>
      <c r="N7" s="7">
        <v>43958000000</v>
      </c>
      <c r="O7" s="7">
        <v>4267000000</v>
      </c>
      <c r="P7" s="5">
        <v>0.90300000000000002</v>
      </c>
      <c r="Q7" s="7">
        <v>11510000000</v>
      </c>
      <c r="R7" s="4" t="s">
        <v>600</v>
      </c>
      <c r="S7" s="12">
        <f t="shared" si="2"/>
        <v>7.0455603822762822E-2</v>
      </c>
      <c r="T7" s="7">
        <v>41640481000</v>
      </c>
      <c r="U7" s="12">
        <f t="shared" si="3"/>
        <v>0.94727878884389649</v>
      </c>
      <c r="V7" s="5"/>
      <c r="W7" s="5"/>
      <c r="X7" s="7">
        <f>(9524402-4266788)*1000</f>
        <v>5257614000</v>
      </c>
      <c r="Y7" s="7">
        <v>1865776000</v>
      </c>
      <c r="Z7" s="7">
        <v>78709000</v>
      </c>
      <c r="AA7" s="7">
        <v>18182000</v>
      </c>
      <c r="AB7" s="7">
        <v>0</v>
      </c>
      <c r="AC7" s="7">
        <v>1962667000</v>
      </c>
      <c r="AD7" s="4"/>
      <c r="AE7" s="4"/>
    </row>
    <row r="8" spans="1:31" x14ac:dyDescent="0.25">
      <c r="A8" s="4" t="s">
        <v>129</v>
      </c>
      <c r="B8" s="4">
        <v>2006</v>
      </c>
      <c r="C8" s="4" t="s">
        <v>432</v>
      </c>
      <c r="D8" s="7">
        <v>864245000</v>
      </c>
      <c r="E8" s="7">
        <f>D8*89.51%</f>
        <v>773585699.5</v>
      </c>
      <c r="F8" s="11">
        <f t="shared" si="0"/>
        <v>90659300.5</v>
      </c>
      <c r="G8" s="4" t="s">
        <v>424</v>
      </c>
      <c r="H8" s="12">
        <f t="shared" si="1"/>
        <v>0.89510000000000001</v>
      </c>
      <c r="I8" s="4" t="s">
        <v>600</v>
      </c>
      <c r="J8" s="4" t="s">
        <v>600</v>
      </c>
      <c r="K8" s="4" t="s">
        <v>600</v>
      </c>
      <c r="L8" s="4" t="s">
        <v>600</v>
      </c>
      <c r="M8" s="7">
        <v>40372000000</v>
      </c>
      <c r="N8" s="7">
        <v>49628000000</v>
      </c>
      <c r="O8" s="7">
        <v>9256000000</v>
      </c>
      <c r="P8" s="5">
        <v>0.81299999999999994</v>
      </c>
      <c r="Q8" s="7">
        <v>12212000000</v>
      </c>
      <c r="R8" s="4" t="s">
        <v>600</v>
      </c>
      <c r="S8" s="12">
        <f t="shared" si="2"/>
        <v>7.0770144120537171E-2</v>
      </c>
      <c r="T8" s="7">
        <v>46020734000</v>
      </c>
      <c r="U8" s="12">
        <f t="shared" si="3"/>
        <v>0.92731389538163944</v>
      </c>
      <c r="V8" s="5"/>
      <c r="W8" s="5"/>
      <c r="X8" s="7">
        <f>(10515245-9254402)*1000</f>
        <v>1260843000</v>
      </c>
      <c r="Y8" s="7">
        <v>2015557000</v>
      </c>
      <c r="Z8" s="7">
        <v>85804000</v>
      </c>
      <c r="AA8" s="7">
        <v>19724000</v>
      </c>
      <c r="AB8" s="7">
        <f>(3+255)*1000</f>
        <v>258000</v>
      </c>
      <c r="AC8" s="7">
        <v>2121343000</v>
      </c>
      <c r="AD8" s="4"/>
      <c r="AE8" s="4"/>
    </row>
    <row r="9" spans="1:31" x14ac:dyDescent="0.25">
      <c r="A9" s="4" t="s">
        <v>129</v>
      </c>
      <c r="B9" s="4">
        <v>2007</v>
      </c>
      <c r="C9" s="4" t="s">
        <v>432</v>
      </c>
      <c r="D9" s="7">
        <v>1299606000</v>
      </c>
      <c r="E9" s="7">
        <f>D9*85.89%</f>
        <v>1116231593.4000001</v>
      </c>
      <c r="F9" s="11">
        <f t="shared" si="0"/>
        <v>183374406.5999999</v>
      </c>
      <c r="G9" s="4" t="s">
        <v>424</v>
      </c>
      <c r="H9" s="12">
        <f t="shared" si="1"/>
        <v>0.85890000000000011</v>
      </c>
      <c r="I9" s="4" t="s">
        <v>600</v>
      </c>
      <c r="J9" s="4" t="s">
        <v>600</v>
      </c>
      <c r="K9" s="4" t="s">
        <v>600</v>
      </c>
      <c r="L9" s="4" t="s">
        <v>600</v>
      </c>
      <c r="M9" s="7">
        <v>42669000000</v>
      </c>
      <c r="N9" s="7">
        <v>52822000000</v>
      </c>
      <c r="O9" s="7">
        <v>10153000000</v>
      </c>
      <c r="P9" s="5">
        <v>0.80800000000000005</v>
      </c>
      <c r="Q9" s="7">
        <v>13002000000</v>
      </c>
      <c r="R9" s="4" t="s">
        <v>600</v>
      </c>
      <c r="S9" s="12">
        <f t="shared" si="2"/>
        <v>9.9954314720812176E-2</v>
      </c>
      <c r="T9" s="7">
        <v>54948224000</v>
      </c>
      <c r="U9" s="12">
        <f t="shared" si="3"/>
        <v>1.0402526220135551</v>
      </c>
      <c r="V9" s="5"/>
      <c r="W9" s="5"/>
      <c r="X9" s="7">
        <f>(10301023-10515245)*1000</f>
        <v>-214222000</v>
      </c>
      <c r="Y9" s="7">
        <v>2219350000</v>
      </c>
      <c r="Z9" s="7">
        <v>89716000</v>
      </c>
      <c r="AA9" s="7">
        <v>23686000</v>
      </c>
      <c r="AB9" s="7">
        <f>(7+171)*1000</f>
        <v>178000</v>
      </c>
      <c r="AC9" s="7">
        <v>2332930000</v>
      </c>
      <c r="AD9" s="4"/>
      <c r="AE9" s="4"/>
    </row>
    <row r="10" spans="1:31" x14ac:dyDescent="0.25">
      <c r="A10" s="4" t="s">
        <v>129</v>
      </c>
      <c r="B10" s="4">
        <v>2008</v>
      </c>
      <c r="C10" s="4" t="s">
        <v>432</v>
      </c>
      <c r="D10" s="7">
        <v>1378993000</v>
      </c>
      <c r="E10" s="7">
        <f>D10*92.58%</f>
        <v>1276671719.3999999</v>
      </c>
      <c r="F10" s="11">
        <f t="shared" si="0"/>
        <v>102321280.60000014</v>
      </c>
      <c r="G10" s="4" t="s">
        <v>424</v>
      </c>
      <c r="H10" s="12">
        <f t="shared" si="1"/>
        <v>0.92579999999999985</v>
      </c>
      <c r="I10" s="4" t="s">
        <v>600</v>
      </c>
      <c r="J10" s="4" t="s">
        <v>600</v>
      </c>
      <c r="K10" s="4" t="s">
        <v>600</v>
      </c>
      <c r="L10" s="4" t="s">
        <v>600</v>
      </c>
      <c r="M10" s="7">
        <v>47815000000</v>
      </c>
      <c r="N10" s="7">
        <v>58116000000</v>
      </c>
      <c r="O10" s="7">
        <v>10301000000</v>
      </c>
      <c r="P10" s="5">
        <v>0.82299999999999995</v>
      </c>
      <c r="Q10" s="7">
        <v>13834000000</v>
      </c>
      <c r="R10" s="4" t="s">
        <v>600</v>
      </c>
      <c r="S10" s="12">
        <f t="shared" si="2"/>
        <v>9.9681437039178838E-2</v>
      </c>
      <c r="T10" s="7">
        <v>51743477000</v>
      </c>
      <c r="U10" s="12">
        <f t="shared" si="3"/>
        <v>0.89034821735838665</v>
      </c>
      <c r="V10" s="5"/>
      <c r="W10" s="5"/>
      <c r="X10" s="7">
        <f>(10006356-10301023)*1000</f>
        <v>-294667000</v>
      </c>
      <c r="Y10" s="7">
        <v>2427543000</v>
      </c>
      <c r="Z10" s="7">
        <v>97574000</v>
      </c>
      <c r="AA10" s="7">
        <v>24677000</v>
      </c>
      <c r="AB10" s="7">
        <f>(4+294)*1000</f>
        <v>298000</v>
      </c>
      <c r="AC10" s="7">
        <v>2550092000</v>
      </c>
      <c r="AD10" s="4"/>
      <c r="AE10" s="4"/>
    </row>
    <row r="11" spans="1:31" x14ac:dyDescent="0.25">
      <c r="A11" s="4" t="s">
        <v>129</v>
      </c>
      <c r="B11" s="4">
        <v>2009</v>
      </c>
      <c r="C11" s="4" t="s">
        <v>432</v>
      </c>
      <c r="D11" s="7">
        <v>1501018000</v>
      </c>
      <c r="E11" s="7">
        <f>D11*81.25%</f>
        <v>1219577125</v>
      </c>
      <c r="F11" s="11">
        <f t="shared" si="0"/>
        <v>281440875</v>
      </c>
      <c r="G11" s="4" t="s">
        <v>424</v>
      </c>
      <c r="H11" s="12">
        <f t="shared" si="1"/>
        <v>0.8125</v>
      </c>
      <c r="I11" s="4" t="s">
        <v>600</v>
      </c>
      <c r="J11" s="4" t="s">
        <v>600</v>
      </c>
      <c r="K11" s="4" t="s">
        <v>600</v>
      </c>
      <c r="L11" s="4" t="s">
        <v>600</v>
      </c>
      <c r="M11" s="7">
        <v>52548000000</v>
      </c>
      <c r="N11" s="7">
        <v>62554000000</v>
      </c>
      <c r="O11" s="7">
        <v>10006000000</v>
      </c>
      <c r="P11" s="5">
        <v>0.84</v>
      </c>
      <c r="Q11" s="7">
        <v>14559000000</v>
      </c>
      <c r="R11" s="4" t="s">
        <v>600</v>
      </c>
      <c r="S11" s="12">
        <f t="shared" si="2"/>
        <v>0.10309897657806168</v>
      </c>
      <c r="T11" s="7">
        <v>39889754000</v>
      </c>
      <c r="U11" s="12">
        <f t="shared" si="3"/>
        <v>0.6376851040700835</v>
      </c>
      <c r="V11" s="5"/>
      <c r="W11" s="5"/>
      <c r="X11" s="7">
        <f>(13138233-20006356)*1000</f>
        <v>-6868123000</v>
      </c>
      <c r="Y11" s="7">
        <v>2617313000</v>
      </c>
      <c r="Z11" s="7">
        <v>86688000</v>
      </c>
      <c r="AA11" s="7">
        <v>30692000</v>
      </c>
      <c r="AB11" s="7">
        <f>(265+403)*1000</f>
        <v>668000</v>
      </c>
      <c r="AC11" s="7">
        <v>2735361000</v>
      </c>
      <c r="AD11" s="4"/>
      <c r="AE11" s="4"/>
    </row>
    <row r="12" spans="1:31" x14ac:dyDescent="0.25">
      <c r="A12" s="4" t="s">
        <v>129</v>
      </c>
      <c r="B12" s="4">
        <v>2010</v>
      </c>
      <c r="C12" s="4" t="s">
        <v>432</v>
      </c>
      <c r="D12" s="7">
        <v>1489124000</v>
      </c>
      <c r="E12" s="7">
        <f>D12*66.57%</f>
        <v>991309846.79999995</v>
      </c>
      <c r="F12" s="11">
        <f t="shared" si="0"/>
        <v>497814153.20000005</v>
      </c>
      <c r="G12" s="4" t="s">
        <v>424</v>
      </c>
      <c r="H12" s="12">
        <f t="shared" si="1"/>
        <v>0.66569999999999996</v>
      </c>
      <c r="I12" s="4" t="s">
        <v>600</v>
      </c>
      <c r="J12" s="4" t="s">
        <v>600</v>
      </c>
      <c r="K12" s="4" t="s">
        <v>600</v>
      </c>
      <c r="L12" s="4" t="s">
        <v>600</v>
      </c>
      <c r="M12" s="7">
        <v>53185000000</v>
      </c>
      <c r="N12" s="7">
        <v>66323000000</v>
      </c>
      <c r="O12" s="7">
        <v>13138000000</v>
      </c>
      <c r="P12" s="5">
        <v>0.80200000000000005</v>
      </c>
      <c r="Q12" s="7">
        <v>14948000000</v>
      </c>
      <c r="R12" s="4" t="s">
        <v>600</v>
      </c>
      <c r="S12" s="12">
        <f t="shared" si="2"/>
        <v>9.9620283649986624E-2</v>
      </c>
      <c r="T12" s="7">
        <v>44645816000</v>
      </c>
      <c r="U12" s="12">
        <f t="shared" si="3"/>
        <v>0.67315736622287892</v>
      </c>
      <c r="V12" s="5"/>
      <c r="W12" s="5"/>
      <c r="X12" s="7">
        <f>(20071826-13138233)*1000</f>
        <v>6933593000</v>
      </c>
      <c r="Y12" s="7">
        <v>2907204000</v>
      </c>
      <c r="Z12" s="7">
        <v>88671000</v>
      </c>
      <c r="AA12" s="7">
        <v>23720000</v>
      </c>
      <c r="AB12" s="7">
        <f>(3807+104)*1000</f>
        <v>3911000</v>
      </c>
      <c r="AC12" s="7">
        <v>3023506000</v>
      </c>
      <c r="AD12" s="4"/>
      <c r="AE12" s="4"/>
    </row>
    <row r="13" spans="1:31" x14ac:dyDescent="0.25">
      <c r="A13" s="4" t="s">
        <v>129</v>
      </c>
      <c r="B13" s="4">
        <v>2011</v>
      </c>
      <c r="C13" s="4" t="s">
        <v>432</v>
      </c>
      <c r="D13" s="7">
        <v>1577131000</v>
      </c>
      <c r="E13" s="7">
        <f>D13*46.73%</f>
        <v>736993316.29999995</v>
      </c>
      <c r="F13" s="11">
        <f t="shared" si="0"/>
        <v>840137683.70000005</v>
      </c>
      <c r="G13" s="4" t="s">
        <v>424</v>
      </c>
      <c r="H13" s="12">
        <f t="shared" si="1"/>
        <v>0.46729999999999999</v>
      </c>
      <c r="I13" s="4" t="s">
        <v>600</v>
      </c>
      <c r="J13" s="4" t="s">
        <v>600</v>
      </c>
      <c r="K13" s="4" t="s">
        <v>600</v>
      </c>
      <c r="L13" s="4" t="s">
        <v>600</v>
      </c>
      <c r="M13" s="7">
        <v>52729000000</v>
      </c>
      <c r="N13" s="7">
        <v>72801000000</v>
      </c>
      <c r="O13" s="7">
        <v>20072000000</v>
      </c>
      <c r="P13" s="5">
        <v>0.72399999999999998</v>
      </c>
      <c r="Q13" s="7">
        <v>14758000000</v>
      </c>
      <c r="R13" s="4" t="s">
        <v>600</v>
      </c>
      <c r="S13" s="12">
        <f t="shared" si="2"/>
        <v>0.1068661742783575</v>
      </c>
      <c r="T13" s="7">
        <v>51280335000</v>
      </c>
      <c r="U13" s="12">
        <f t="shared" si="3"/>
        <v>0.70439053034985788</v>
      </c>
      <c r="V13" s="5"/>
      <c r="W13" s="5"/>
      <c r="X13" s="7">
        <f>(22625731-20071826)*1000</f>
        <v>2553905000</v>
      </c>
      <c r="Y13" s="7">
        <v>3125772000</v>
      </c>
      <c r="Z13" s="7">
        <v>96209000</v>
      </c>
      <c r="AA13" s="7">
        <v>25082000</v>
      </c>
      <c r="AB13" s="7">
        <f>(6334+130)*1000</f>
        <v>6464000</v>
      </c>
      <c r="AC13" s="7">
        <v>3253527000</v>
      </c>
      <c r="AD13" s="4"/>
      <c r="AE13" s="4"/>
    </row>
    <row r="14" spans="1:31" x14ac:dyDescent="0.25">
      <c r="A14" s="4" t="s">
        <v>129</v>
      </c>
      <c r="B14" s="4">
        <v>2012</v>
      </c>
      <c r="C14" s="4" t="s">
        <v>432</v>
      </c>
      <c r="D14" s="7">
        <v>1614464000</v>
      </c>
      <c r="E14" s="7">
        <f>D14*59.56%</f>
        <v>961574758.39999998</v>
      </c>
      <c r="F14" s="11">
        <f t="shared" si="0"/>
        <v>652889241.60000002</v>
      </c>
      <c r="G14" s="4" t="s">
        <v>424</v>
      </c>
      <c r="H14" s="12">
        <f t="shared" si="1"/>
        <v>0.59560000000000002</v>
      </c>
      <c r="I14" s="4" t="s">
        <v>600</v>
      </c>
      <c r="J14" s="4" t="s">
        <v>600</v>
      </c>
      <c r="K14" s="4" t="s">
        <v>600</v>
      </c>
      <c r="L14" s="4" t="s">
        <v>600</v>
      </c>
      <c r="M14" s="7">
        <v>52559000000</v>
      </c>
      <c r="N14" s="7">
        <v>75185000000</v>
      </c>
      <c r="O14" s="7">
        <v>22626000000</v>
      </c>
      <c r="P14" s="5">
        <v>0.69899999999999995</v>
      </c>
      <c r="Q14" s="7">
        <v>14709000000</v>
      </c>
      <c r="R14" s="4" t="s">
        <v>600</v>
      </c>
      <c r="S14" s="12">
        <f t="shared" si="2"/>
        <v>0.10976028282004215</v>
      </c>
      <c r="T14" s="7">
        <v>50266721000</v>
      </c>
      <c r="U14" s="12">
        <f t="shared" si="3"/>
        <v>0.66857379796501959</v>
      </c>
      <c r="V14" s="5"/>
      <c r="W14" s="5"/>
      <c r="X14" s="7">
        <f>(26646941-22625763)*1000</f>
        <v>4021178000</v>
      </c>
      <c r="Y14" s="7">
        <v>3257359000</v>
      </c>
      <c r="Z14" s="7">
        <v>84577000</v>
      </c>
      <c r="AA14" s="7">
        <v>25475000</v>
      </c>
      <c r="AB14" s="7">
        <f>(584+110)*1000</f>
        <v>694000</v>
      </c>
      <c r="AC14" s="7">
        <v>3368105000</v>
      </c>
      <c r="AD14" s="4"/>
      <c r="AE14" s="4"/>
    </row>
    <row r="15" spans="1:31" x14ac:dyDescent="0.25">
      <c r="A15" s="4" t="s">
        <v>129</v>
      </c>
      <c r="B15" s="4">
        <v>2013</v>
      </c>
      <c r="C15" s="4" t="s">
        <v>432</v>
      </c>
      <c r="D15" s="7">
        <v>2227090000</v>
      </c>
      <c r="E15" s="7">
        <f>D15*75.79%</f>
        <v>1687911511</v>
      </c>
      <c r="F15" s="11">
        <f t="shared" si="0"/>
        <v>539178489</v>
      </c>
      <c r="G15" s="4" t="s">
        <v>424</v>
      </c>
      <c r="H15" s="12">
        <f t="shared" si="1"/>
        <v>0.75790000000000002</v>
      </c>
      <c r="I15" s="4" t="s">
        <v>600</v>
      </c>
      <c r="J15" s="4" t="s">
        <v>600</v>
      </c>
      <c r="K15" s="4" t="s">
        <v>600</v>
      </c>
      <c r="L15" s="4" t="s">
        <v>600</v>
      </c>
      <c r="M15" s="7">
        <v>51212000000</v>
      </c>
      <c r="N15" s="7">
        <v>77859000000</v>
      </c>
      <c r="O15" s="7">
        <v>26647000000</v>
      </c>
      <c r="P15" s="5">
        <v>0.65800000000000003</v>
      </c>
      <c r="Q15" s="7">
        <v>14880000000</v>
      </c>
      <c r="R15" s="4" t="s">
        <v>600</v>
      </c>
      <c r="S15" s="12">
        <f t="shared" si="2"/>
        <v>0.14967002688172043</v>
      </c>
      <c r="T15" s="7">
        <v>54972736000</v>
      </c>
      <c r="U15" s="12">
        <f t="shared" si="3"/>
        <v>0.7060549968532861</v>
      </c>
      <c r="V15" s="5"/>
      <c r="W15" s="5"/>
      <c r="X15" s="7">
        <f>(26953010-26646941)*1000</f>
        <v>306069000</v>
      </c>
      <c r="Y15" s="7">
        <v>3516219000</v>
      </c>
      <c r="Z15" s="7">
        <v>77588000</v>
      </c>
      <c r="AA15" s="7">
        <v>31154000</v>
      </c>
      <c r="AB15" s="7">
        <f>(4552+27)*1000</f>
        <v>4579000</v>
      </c>
      <c r="AC15" s="7">
        <v>3629540000</v>
      </c>
      <c r="AD15" s="4"/>
      <c r="AE15" s="4"/>
    </row>
    <row r="16" spans="1:31" x14ac:dyDescent="0.25">
      <c r="A16" s="4" t="s">
        <v>129</v>
      </c>
      <c r="B16" s="4">
        <v>2014</v>
      </c>
      <c r="C16" s="4" t="s">
        <v>432</v>
      </c>
      <c r="D16" s="13" t="s">
        <v>600</v>
      </c>
      <c r="E16" s="4" t="s">
        <v>600</v>
      </c>
      <c r="F16" s="4" t="s">
        <v>600</v>
      </c>
      <c r="G16" s="4" t="s">
        <v>424</v>
      </c>
      <c r="H16" s="13" t="s">
        <v>600</v>
      </c>
      <c r="I16" s="7">
        <f>(504726+1226394+551822)*1000</f>
        <v>2282942000</v>
      </c>
      <c r="J16" s="7">
        <f>(338286+852699+539131)*1000</f>
        <v>1730116000</v>
      </c>
      <c r="K16" s="11">
        <f t="shared" ref="K16:K23" si="4">I16-J16</f>
        <v>552826000</v>
      </c>
      <c r="L16" s="12">
        <f t="shared" ref="L16:L23" si="5">J16/I16</f>
        <v>0.75784492115875046</v>
      </c>
      <c r="M16" s="7">
        <v>52124581000</v>
      </c>
      <c r="N16" s="7">
        <v>79077591000</v>
      </c>
      <c r="O16" s="7">
        <v>26953010000</v>
      </c>
      <c r="P16" s="5">
        <v>0.65900000000000003</v>
      </c>
      <c r="Q16" s="7">
        <v>15269079000</v>
      </c>
      <c r="R16" s="12">
        <f t="shared" ref="R16:R23" si="6">I16/Q16</f>
        <v>0.14951406040927551</v>
      </c>
      <c r="S16" s="13" t="s">
        <v>600</v>
      </c>
      <c r="T16" s="7">
        <v>62208638000</v>
      </c>
      <c r="U16" s="12">
        <f t="shared" si="3"/>
        <v>0.78667846621680726</v>
      </c>
      <c r="V16" s="5"/>
      <c r="W16" s="5"/>
      <c r="X16" s="7">
        <f>(24938817-26954931)*1000</f>
        <v>-2016114000</v>
      </c>
      <c r="Y16" s="7">
        <v>3711208000</v>
      </c>
      <c r="Z16" s="7">
        <v>98049000</v>
      </c>
      <c r="AA16" s="7">
        <v>39785000</v>
      </c>
      <c r="AB16" s="7">
        <v>6745000</v>
      </c>
      <c r="AC16" s="7">
        <v>3855787000</v>
      </c>
      <c r="AD16" s="4"/>
      <c r="AE16" s="4"/>
    </row>
    <row r="17" spans="1:31" x14ac:dyDescent="0.25">
      <c r="A17" s="4" t="s">
        <v>129</v>
      </c>
      <c r="B17" s="4">
        <v>2015</v>
      </c>
      <c r="C17" s="4" t="s">
        <v>432</v>
      </c>
      <c r="D17" s="4" t="s">
        <v>600</v>
      </c>
      <c r="E17" s="4" t="s">
        <v>600</v>
      </c>
      <c r="F17" s="4" t="s">
        <v>600</v>
      </c>
      <c r="G17" s="4" t="s">
        <v>424</v>
      </c>
      <c r="H17" s="4" t="s">
        <v>600</v>
      </c>
      <c r="I17" s="7">
        <f>(612824+1353158+540859)*1000</f>
        <v>2506841000</v>
      </c>
      <c r="J17" s="7">
        <f>(478235+1078065+535919)*1000</f>
        <v>2092219000</v>
      </c>
      <c r="K17" s="11">
        <f t="shared" si="4"/>
        <v>414622000</v>
      </c>
      <c r="L17" s="12">
        <f t="shared" si="5"/>
        <v>0.83460379018852815</v>
      </c>
      <c r="M17" s="7">
        <v>57144567000</v>
      </c>
      <c r="N17" s="7">
        <v>82083384000</v>
      </c>
      <c r="O17" s="7">
        <v>24938817000</v>
      </c>
      <c r="P17" s="5">
        <v>0.69599999999999995</v>
      </c>
      <c r="Q17" s="7">
        <v>15671359000</v>
      </c>
      <c r="R17" s="12">
        <f t="shared" si="6"/>
        <v>0.15996321697435431</v>
      </c>
      <c r="S17" s="4" t="s">
        <v>600</v>
      </c>
      <c r="T17" s="7">
        <v>64049880000</v>
      </c>
      <c r="U17" s="12">
        <f t="shared" si="3"/>
        <v>0.78030262495025793</v>
      </c>
      <c r="V17" s="5"/>
      <c r="W17" s="5"/>
      <c r="X17" s="7">
        <f>(22627541-24938817)*1000</f>
        <v>-2311276000</v>
      </c>
      <c r="Y17" s="7">
        <v>3935656000</v>
      </c>
      <c r="Z17" s="7">
        <v>100993000</v>
      </c>
      <c r="AA17" s="7">
        <v>38898000</v>
      </c>
      <c r="AB17" s="7">
        <v>2323000</v>
      </c>
      <c r="AC17" s="7">
        <v>4077870000</v>
      </c>
      <c r="AD17" s="4"/>
      <c r="AE17" s="4"/>
    </row>
    <row r="18" spans="1:31" x14ac:dyDescent="0.25">
      <c r="A18" s="4" t="s">
        <v>129</v>
      </c>
      <c r="B18" s="4">
        <v>2016</v>
      </c>
      <c r="C18" s="4" t="s">
        <v>432</v>
      </c>
      <c r="D18" s="4" t="s">
        <v>600</v>
      </c>
      <c r="E18" s="4" t="s">
        <v>600</v>
      </c>
      <c r="F18" s="4" t="s">
        <v>600</v>
      </c>
      <c r="G18" s="4" t="s">
        <v>424</v>
      </c>
      <c r="H18" s="4" t="s">
        <v>600</v>
      </c>
      <c r="I18" s="7">
        <f>(628486+1344981+554335)*1000</f>
        <v>2527802000</v>
      </c>
      <c r="J18" s="7">
        <f>(557160+1072020+549408)*1000</f>
        <v>2178588000</v>
      </c>
      <c r="K18" s="11">
        <f t="shared" si="4"/>
        <v>349214000</v>
      </c>
      <c r="L18" s="12">
        <f t="shared" si="5"/>
        <v>0.86185073039739668</v>
      </c>
      <c r="M18" s="7">
        <v>62083601000</v>
      </c>
      <c r="N18" s="7">
        <v>84711142000</v>
      </c>
      <c r="O18" s="7">
        <v>22627541000</v>
      </c>
      <c r="P18" s="5">
        <v>0.73299999999999998</v>
      </c>
      <c r="Q18" s="7">
        <v>15901380000</v>
      </c>
      <c r="R18" s="12">
        <f t="shared" si="6"/>
        <v>0.15896746068580211</v>
      </c>
      <c r="S18" s="4" t="s">
        <v>600</v>
      </c>
      <c r="T18" s="7">
        <v>64028909000</v>
      </c>
      <c r="U18" s="12">
        <f t="shared" si="3"/>
        <v>0.7558499093306994</v>
      </c>
      <c r="V18" s="5"/>
      <c r="W18" s="5"/>
      <c r="X18" s="7">
        <f>(21915256-22627541)*1000</f>
        <v>-712285000</v>
      </c>
      <c r="Y18" s="7">
        <v>4169852000</v>
      </c>
      <c r="Z18" s="7">
        <v>99444000</v>
      </c>
      <c r="AA18" s="7">
        <v>39695000</v>
      </c>
      <c r="AB18" s="7">
        <v>2263000</v>
      </c>
      <c r="AC18" s="7">
        <v>4311254000</v>
      </c>
      <c r="AD18" s="4"/>
      <c r="AE18" s="4"/>
    </row>
    <row r="19" spans="1:31" x14ac:dyDescent="0.25">
      <c r="A19" s="4" t="s">
        <v>129</v>
      </c>
      <c r="B19" s="4">
        <v>2017</v>
      </c>
      <c r="C19" s="4" t="s">
        <v>432</v>
      </c>
      <c r="D19" s="4" t="s">
        <v>600</v>
      </c>
      <c r="E19" s="4" t="s">
        <v>600</v>
      </c>
      <c r="F19" s="4" t="s">
        <v>600</v>
      </c>
      <c r="G19" s="4" t="s">
        <v>424</v>
      </c>
      <c r="H19" s="4" t="s">
        <v>600</v>
      </c>
      <c r="I19" s="7">
        <f>(542418+1287939+487067)*1000</f>
        <v>2317424000</v>
      </c>
      <c r="J19" s="7">
        <f>(542418+1156935+487702)*1000</f>
        <v>2187055000</v>
      </c>
      <c r="K19" s="11">
        <f t="shared" si="4"/>
        <v>130369000</v>
      </c>
      <c r="L19" s="12">
        <f t="shared" si="5"/>
        <v>0.94374400196079788</v>
      </c>
      <c r="M19" s="7">
        <v>65203736000</v>
      </c>
      <c r="N19" s="7">
        <v>87118992000</v>
      </c>
      <c r="O19" s="7">
        <v>21915256000</v>
      </c>
      <c r="P19" s="5">
        <v>0.748</v>
      </c>
      <c r="Q19" s="7">
        <v>16325998000</v>
      </c>
      <c r="R19" s="12">
        <f t="shared" si="6"/>
        <v>0.14194685066113569</v>
      </c>
      <c r="S19" s="4" t="s">
        <v>600</v>
      </c>
      <c r="T19" s="7">
        <v>70342933000</v>
      </c>
      <c r="U19" s="12">
        <f t="shared" si="3"/>
        <v>0.80743511127860612</v>
      </c>
      <c r="V19" s="5"/>
      <c r="W19" s="5"/>
      <c r="X19" s="7">
        <f>(20637038-21915256)*1000</f>
        <v>-1278218000</v>
      </c>
      <c r="Y19" s="7">
        <v>4324025000</v>
      </c>
      <c r="Z19" s="7">
        <v>114137000</v>
      </c>
      <c r="AA19" s="7">
        <v>44955000</v>
      </c>
      <c r="AB19" s="7">
        <v>10927000</v>
      </c>
      <c r="AC19" s="7">
        <v>4494044000</v>
      </c>
      <c r="AD19" s="4"/>
      <c r="AE19" s="4"/>
    </row>
    <row r="20" spans="1:31" x14ac:dyDescent="0.25">
      <c r="A20" s="4" t="s">
        <v>129</v>
      </c>
      <c r="B20" s="4">
        <v>2018</v>
      </c>
      <c r="C20" s="4" t="s">
        <v>432</v>
      </c>
      <c r="D20" s="4" t="s">
        <v>600</v>
      </c>
      <c r="E20" s="4" t="s">
        <v>600</v>
      </c>
      <c r="F20" s="4" t="s">
        <v>600</v>
      </c>
      <c r="G20" s="4" t="s">
        <v>424</v>
      </c>
      <c r="H20" s="4" t="s">
        <v>600</v>
      </c>
      <c r="I20" s="7">
        <f>(560154+1319796+504955)*1000</f>
        <v>2384905000</v>
      </c>
      <c r="J20" s="7">
        <f>(560154+1319796+505603)*1000</f>
        <v>2385553000</v>
      </c>
      <c r="K20" s="11">
        <f t="shared" si="4"/>
        <v>-648000</v>
      </c>
      <c r="L20" s="12">
        <f t="shared" si="5"/>
        <v>1.0002717089359954</v>
      </c>
      <c r="M20" s="7">
        <v>69214246000</v>
      </c>
      <c r="N20" s="7">
        <v>89851284000</v>
      </c>
      <c r="O20" s="7">
        <v>20637038000</v>
      </c>
      <c r="P20" s="5">
        <v>0.77</v>
      </c>
      <c r="Q20" s="7">
        <v>16764876000</v>
      </c>
      <c r="R20" s="12">
        <f t="shared" si="6"/>
        <v>0.142256047703544</v>
      </c>
      <c r="S20" s="4" t="s">
        <v>600</v>
      </c>
      <c r="T20" s="7">
        <v>74084142000</v>
      </c>
      <c r="U20" s="12">
        <f t="shared" si="3"/>
        <v>0.82451956946992544</v>
      </c>
      <c r="V20" s="5"/>
      <c r="W20" s="5"/>
      <c r="X20" s="7">
        <f>(19970023-20637038)*1000</f>
        <v>-667015000</v>
      </c>
      <c r="Y20" s="7">
        <v>4548751000</v>
      </c>
      <c r="Z20" s="7">
        <v>116473000</v>
      </c>
      <c r="AA20" s="7">
        <v>44661000</v>
      </c>
      <c r="AB20" s="7">
        <v>8750000</v>
      </c>
      <c r="AC20" s="7">
        <v>4718635000</v>
      </c>
      <c r="AD20" s="4"/>
      <c r="AE20" s="4"/>
    </row>
    <row r="21" spans="1:31" x14ac:dyDescent="0.25">
      <c r="A21" s="4" t="s">
        <v>129</v>
      </c>
      <c r="B21" s="4">
        <v>2019</v>
      </c>
      <c r="C21" s="4" t="s">
        <v>432</v>
      </c>
      <c r="D21" s="4" t="s">
        <v>600</v>
      </c>
      <c r="E21" s="4" t="s">
        <v>600</v>
      </c>
      <c r="F21" s="4" t="s">
        <v>600</v>
      </c>
      <c r="G21" s="4" t="s">
        <v>424</v>
      </c>
      <c r="H21" s="4" t="s">
        <v>600</v>
      </c>
      <c r="I21" s="7">
        <f>(567450+1315160+515904)*1000</f>
        <v>2398514000</v>
      </c>
      <c r="J21" s="7">
        <f>(567450+1315160+518513)*1000</f>
        <v>2401123000</v>
      </c>
      <c r="K21" s="11">
        <f t="shared" si="4"/>
        <v>-2609000</v>
      </c>
      <c r="L21" s="12">
        <f t="shared" si="5"/>
        <v>1.0010877568361076</v>
      </c>
      <c r="M21" s="7">
        <v>73204795000</v>
      </c>
      <c r="N21" s="7">
        <v>93174818000</v>
      </c>
      <c r="O21" s="7">
        <v>19970023000</v>
      </c>
      <c r="P21" s="5">
        <v>0.78600000000000003</v>
      </c>
      <c r="Q21" s="7">
        <v>17614448000</v>
      </c>
      <c r="R21" s="12">
        <f t="shared" si="6"/>
        <v>0.13616742346964264</v>
      </c>
      <c r="S21" s="4" t="s">
        <v>600</v>
      </c>
      <c r="T21" s="7">
        <v>77392855000</v>
      </c>
      <c r="U21" s="12">
        <f t="shared" si="3"/>
        <v>0.83061986769858787</v>
      </c>
      <c r="V21" s="5"/>
      <c r="W21" s="5"/>
      <c r="X21" s="7">
        <f>(22889823-19970023)*1000</f>
        <v>2919800000</v>
      </c>
      <c r="Y21" s="7">
        <v>4774664000</v>
      </c>
      <c r="Z21" s="7">
        <v>112169000</v>
      </c>
      <c r="AA21" s="7">
        <v>48586000</v>
      </c>
      <c r="AB21" s="7">
        <v>9282000</v>
      </c>
      <c r="AC21" s="7">
        <v>4944701000</v>
      </c>
      <c r="AD21" s="4"/>
      <c r="AE21" s="4"/>
    </row>
    <row r="22" spans="1:31" x14ac:dyDescent="0.25">
      <c r="A22" s="4" t="s">
        <v>129</v>
      </c>
      <c r="B22" s="4">
        <v>2020</v>
      </c>
      <c r="C22" s="4" t="s">
        <v>432</v>
      </c>
      <c r="D22" s="4" t="s">
        <v>600</v>
      </c>
      <c r="E22" s="4" t="s">
        <v>600</v>
      </c>
      <c r="F22" s="4" t="s">
        <v>600</v>
      </c>
      <c r="G22" s="4" t="s">
        <v>424</v>
      </c>
      <c r="H22" s="4" t="s">
        <v>600</v>
      </c>
      <c r="I22" s="7">
        <f>(600306+1374613+544676)*1000</f>
        <v>2519595000</v>
      </c>
      <c r="J22" s="7">
        <f>(600306+1374613+547382)*1000</f>
        <v>2522301000</v>
      </c>
      <c r="K22" s="11">
        <f t="shared" si="4"/>
        <v>-2706000</v>
      </c>
      <c r="L22" s="12">
        <f t="shared" si="5"/>
        <v>1.0010739821280801</v>
      </c>
      <c r="M22" s="7">
        <v>76244148000</v>
      </c>
      <c r="N22" s="7">
        <v>99133971000</v>
      </c>
      <c r="O22" s="7">
        <v>22889823000</v>
      </c>
      <c r="P22" s="5">
        <v>0.76900000000000002</v>
      </c>
      <c r="Q22" s="7">
        <v>18242017000</v>
      </c>
      <c r="R22" s="12">
        <f t="shared" si="6"/>
        <v>0.13812041727622554</v>
      </c>
      <c r="S22" s="4" t="s">
        <v>600</v>
      </c>
      <c r="T22" s="32">
        <v>76453387000</v>
      </c>
      <c r="U22" s="12">
        <f t="shared" si="3"/>
        <v>0.77121279646913365</v>
      </c>
      <c r="V22" s="4"/>
      <c r="W22" s="4"/>
      <c r="X22" s="18">
        <f>(23133534-22889823)*1000</f>
        <v>243711000</v>
      </c>
      <c r="Y22" s="7">
        <v>5033582000</v>
      </c>
      <c r="Z22" s="7">
        <v>101961000</v>
      </c>
      <c r="AA22" s="7">
        <v>50094000</v>
      </c>
      <c r="AB22" s="7">
        <v>3705000</v>
      </c>
      <c r="AC22" s="7">
        <v>5189342000</v>
      </c>
      <c r="AD22" s="4"/>
      <c r="AE22" s="4"/>
    </row>
    <row r="23" spans="1:31" x14ac:dyDescent="0.25">
      <c r="A23" s="4" t="s">
        <v>129</v>
      </c>
      <c r="B23" s="4">
        <v>2021</v>
      </c>
      <c r="C23" s="4" t="s">
        <v>432</v>
      </c>
      <c r="D23" s="4" t="s">
        <v>600</v>
      </c>
      <c r="E23" s="4" t="s">
        <v>600</v>
      </c>
      <c r="F23" s="4" t="s">
        <v>600</v>
      </c>
      <c r="G23" s="4" t="s">
        <v>424</v>
      </c>
      <c r="H23" s="4" t="s">
        <v>600</v>
      </c>
      <c r="I23" s="7">
        <f>636236000+1469854000+610434000</f>
        <v>2716524000</v>
      </c>
      <c r="J23" s="7">
        <f>636236000+1469854000+610473000</f>
        <v>2716563000</v>
      </c>
      <c r="K23" s="11">
        <f t="shared" si="4"/>
        <v>-39000</v>
      </c>
      <c r="L23" s="12">
        <f t="shared" si="5"/>
        <v>1.0000143565821615</v>
      </c>
      <c r="M23" s="7">
        <v>78759722000</v>
      </c>
      <c r="N23" s="7">
        <v>101893256000</v>
      </c>
      <c r="O23" s="7">
        <v>23133534000</v>
      </c>
      <c r="P23" s="5">
        <v>0.77300000000000002</v>
      </c>
      <c r="Q23" s="7">
        <v>18749343000</v>
      </c>
      <c r="R23" s="12">
        <f t="shared" si="6"/>
        <v>0.1448863568179429</v>
      </c>
      <c r="S23" s="4" t="s">
        <v>600</v>
      </c>
      <c r="T23" s="32">
        <v>95288645000</v>
      </c>
      <c r="U23" s="12">
        <f t="shared" si="3"/>
        <v>0.93518107812748663</v>
      </c>
      <c r="V23" s="4"/>
      <c r="W23" s="4"/>
      <c r="X23" s="4"/>
      <c r="Y23" s="7">
        <v>5277178000</v>
      </c>
      <c r="Z23" s="7">
        <v>109987000</v>
      </c>
      <c r="AA23" s="7">
        <v>51859000</v>
      </c>
      <c r="AB23" s="7">
        <v>1604000</v>
      </c>
      <c r="AC23" s="7">
        <v>5440628000</v>
      </c>
      <c r="AD23" s="4"/>
      <c r="AE23" s="4"/>
    </row>
    <row r="24" spans="1:3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7"/>
      <c r="AD24" s="4"/>
      <c r="AE24" s="4"/>
    </row>
    <row r="25" spans="1:31" x14ac:dyDescent="0.25">
      <c r="A25" s="4" t="s">
        <v>621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x14ac:dyDescent="0.25">
      <c r="A26" s="4" t="s">
        <v>129</v>
      </c>
      <c r="B26" s="4">
        <v>2001</v>
      </c>
      <c r="C26" s="4" t="s">
        <v>914</v>
      </c>
      <c r="D26" s="4" t="s">
        <v>915</v>
      </c>
      <c r="E26" s="4" t="s">
        <v>915</v>
      </c>
      <c r="F26" s="4"/>
      <c r="G26" s="4" t="s">
        <v>916</v>
      </c>
      <c r="H26" s="4"/>
      <c r="I26" s="4"/>
      <c r="J26" s="4"/>
      <c r="K26" s="4"/>
      <c r="L26" s="4"/>
      <c r="M26" s="4" t="s">
        <v>917</v>
      </c>
      <c r="N26" s="4" t="s">
        <v>917</v>
      </c>
      <c r="O26" s="4" t="s">
        <v>917</v>
      </c>
      <c r="P26" s="4" t="s">
        <v>917</v>
      </c>
      <c r="Q26" s="4" t="s">
        <v>917</v>
      </c>
      <c r="R26" s="4"/>
      <c r="S26" s="4"/>
      <c r="T26" s="4" t="s">
        <v>918</v>
      </c>
      <c r="U26" s="4"/>
      <c r="V26" s="4"/>
      <c r="W26" s="4"/>
      <c r="X26" s="4"/>
      <c r="Y26" s="4" t="s">
        <v>918</v>
      </c>
      <c r="Z26" s="4" t="s">
        <v>918</v>
      </c>
      <c r="AA26" s="4" t="s">
        <v>918</v>
      </c>
      <c r="AB26" s="4" t="s">
        <v>918</v>
      </c>
      <c r="AC26" s="4" t="s">
        <v>918</v>
      </c>
      <c r="AD26" s="4"/>
      <c r="AE26" s="4"/>
    </row>
    <row r="27" spans="1:31" x14ac:dyDescent="0.25">
      <c r="A27" s="4" t="s">
        <v>129</v>
      </c>
      <c r="B27" s="4">
        <v>2002</v>
      </c>
      <c r="C27" s="4" t="s">
        <v>919</v>
      </c>
      <c r="D27" s="4" t="s">
        <v>920</v>
      </c>
      <c r="E27" s="4" t="s">
        <v>920</v>
      </c>
      <c r="F27" s="4"/>
      <c r="G27" s="4" t="s">
        <v>921</v>
      </c>
      <c r="H27" s="4"/>
      <c r="I27" s="4"/>
      <c r="J27" s="4"/>
      <c r="K27" s="4"/>
      <c r="L27" s="4"/>
      <c r="M27" s="4" t="s">
        <v>922</v>
      </c>
      <c r="N27" s="4" t="s">
        <v>922</v>
      </c>
      <c r="O27" s="4" t="s">
        <v>922</v>
      </c>
      <c r="P27" s="4" t="s">
        <v>922</v>
      </c>
      <c r="Q27" s="4" t="s">
        <v>922</v>
      </c>
      <c r="R27" s="4"/>
      <c r="S27" s="4"/>
      <c r="T27" s="4" t="s">
        <v>923</v>
      </c>
      <c r="U27" s="4"/>
      <c r="V27" s="4"/>
      <c r="W27" s="4"/>
      <c r="X27" s="4"/>
      <c r="Y27" s="4" t="s">
        <v>923</v>
      </c>
      <c r="Z27" s="4" t="s">
        <v>923</v>
      </c>
      <c r="AA27" s="4" t="s">
        <v>923</v>
      </c>
      <c r="AB27" s="4" t="s">
        <v>923</v>
      </c>
      <c r="AC27" s="4" t="s">
        <v>923</v>
      </c>
      <c r="AD27" s="4"/>
      <c r="AE27" s="4"/>
    </row>
    <row r="28" spans="1:31" x14ac:dyDescent="0.25">
      <c r="A28" s="4" t="s">
        <v>129</v>
      </c>
      <c r="B28" s="4">
        <v>2003</v>
      </c>
      <c r="C28" s="4" t="s">
        <v>924</v>
      </c>
      <c r="D28" s="4" t="s">
        <v>925</v>
      </c>
      <c r="E28" s="4" t="s">
        <v>925</v>
      </c>
      <c r="F28" s="4"/>
      <c r="G28" s="4" t="s">
        <v>926</v>
      </c>
      <c r="H28" s="4"/>
      <c r="I28" s="4"/>
      <c r="J28" s="4"/>
      <c r="K28" s="4"/>
      <c r="L28" s="4"/>
      <c r="M28" s="4" t="s">
        <v>927</v>
      </c>
      <c r="N28" s="4" t="s">
        <v>927</v>
      </c>
      <c r="O28" s="4" t="s">
        <v>927</v>
      </c>
      <c r="P28" s="4" t="s">
        <v>927</v>
      </c>
      <c r="Q28" s="4" t="s">
        <v>927</v>
      </c>
      <c r="R28" s="4"/>
      <c r="S28" s="4"/>
      <c r="T28" s="4" t="s">
        <v>928</v>
      </c>
      <c r="U28" s="4"/>
      <c r="V28" s="4"/>
      <c r="W28" s="4"/>
      <c r="X28" s="4"/>
      <c r="Y28" s="4" t="s">
        <v>928</v>
      </c>
      <c r="Z28" s="4" t="s">
        <v>928</v>
      </c>
      <c r="AA28" s="4" t="s">
        <v>928</v>
      </c>
      <c r="AB28" s="4" t="s">
        <v>928</v>
      </c>
      <c r="AC28" s="4" t="s">
        <v>928</v>
      </c>
      <c r="AD28" s="4"/>
      <c r="AE28" s="4"/>
    </row>
    <row r="29" spans="1:31" x14ac:dyDescent="0.25">
      <c r="A29" s="4" t="s">
        <v>129</v>
      </c>
      <c r="B29" s="4">
        <v>2004</v>
      </c>
      <c r="C29" s="4" t="s">
        <v>929</v>
      </c>
      <c r="D29" s="4" t="s">
        <v>930</v>
      </c>
      <c r="E29" s="4" t="s">
        <v>930</v>
      </c>
      <c r="F29" s="4"/>
      <c r="G29" s="4" t="s">
        <v>931</v>
      </c>
      <c r="H29" s="4"/>
      <c r="I29" s="4"/>
      <c r="J29" s="4"/>
      <c r="K29" s="4"/>
      <c r="L29" s="4"/>
      <c r="M29" s="4" t="s">
        <v>932</v>
      </c>
      <c r="N29" s="4" t="s">
        <v>932</v>
      </c>
      <c r="O29" s="4" t="s">
        <v>932</v>
      </c>
      <c r="P29" s="4" t="s">
        <v>932</v>
      </c>
      <c r="Q29" s="4" t="s">
        <v>932</v>
      </c>
      <c r="R29" s="4"/>
      <c r="S29" s="4"/>
      <c r="T29" s="4" t="s">
        <v>933</v>
      </c>
      <c r="U29" s="4"/>
      <c r="V29" s="4"/>
      <c r="W29" s="4"/>
      <c r="X29" s="4" t="s">
        <v>934</v>
      </c>
      <c r="Y29" s="4" t="s">
        <v>933</v>
      </c>
      <c r="Z29" s="4" t="s">
        <v>933</v>
      </c>
      <c r="AA29" s="4" t="s">
        <v>933</v>
      </c>
      <c r="AB29" s="4" t="s">
        <v>933</v>
      </c>
      <c r="AC29" s="4" t="s">
        <v>933</v>
      </c>
      <c r="AD29" s="4"/>
      <c r="AE29" s="4"/>
    </row>
    <row r="30" spans="1:31" x14ac:dyDescent="0.25">
      <c r="A30" s="4" t="s">
        <v>129</v>
      </c>
      <c r="B30" s="4">
        <v>2005</v>
      </c>
      <c r="C30" s="4" t="s">
        <v>935</v>
      </c>
      <c r="D30" s="4" t="s">
        <v>936</v>
      </c>
      <c r="E30" s="4" t="s">
        <v>936</v>
      </c>
      <c r="F30" s="4"/>
      <c r="G30" s="4" t="s">
        <v>937</v>
      </c>
      <c r="H30" s="4"/>
      <c r="I30" s="4"/>
      <c r="J30" s="4"/>
      <c r="K30" s="4"/>
      <c r="L30" s="4"/>
      <c r="M30" s="4" t="s">
        <v>938</v>
      </c>
      <c r="N30" s="4" t="s">
        <v>938</v>
      </c>
      <c r="O30" s="4" t="s">
        <v>938</v>
      </c>
      <c r="P30" s="4" t="s">
        <v>938</v>
      </c>
      <c r="Q30" s="4" t="s">
        <v>938</v>
      </c>
      <c r="R30" s="4"/>
      <c r="S30" s="4"/>
      <c r="T30" s="4" t="s">
        <v>939</v>
      </c>
      <c r="U30" s="4"/>
      <c r="V30" s="4"/>
      <c r="W30" s="4"/>
      <c r="X30" s="4" t="s">
        <v>940</v>
      </c>
      <c r="Y30" s="4" t="s">
        <v>939</v>
      </c>
      <c r="Z30" s="4" t="s">
        <v>939</v>
      </c>
      <c r="AA30" s="4" t="s">
        <v>939</v>
      </c>
      <c r="AB30" s="4" t="s">
        <v>939</v>
      </c>
      <c r="AC30" s="4" t="s">
        <v>939</v>
      </c>
      <c r="AD30" s="4"/>
      <c r="AE30" s="4"/>
    </row>
    <row r="31" spans="1:31" x14ac:dyDescent="0.25">
      <c r="A31" s="4" t="s">
        <v>129</v>
      </c>
      <c r="B31" s="4">
        <v>2006</v>
      </c>
      <c r="C31" s="4" t="s">
        <v>941</v>
      </c>
      <c r="D31" s="4" t="s">
        <v>942</v>
      </c>
      <c r="E31" s="4" t="s">
        <v>942</v>
      </c>
      <c r="F31" s="4"/>
      <c r="G31" s="4" t="s">
        <v>943</v>
      </c>
      <c r="H31" s="4"/>
      <c r="I31" s="4"/>
      <c r="J31" s="4"/>
      <c r="K31" s="4"/>
      <c r="L31" s="4"/>
      <c r="M31" s="4" t="s">
        <v>944</v>
      </c>
      <c r="N31" s="4" t="s">
        <v>944</v>
      </c>
      <c r="O31" s="4" t="s">
        <v>944</v>
      </c>
      <c r="P31" s="4" t="s">
        <v>944</v>
      </c>
      <c r="Q31" s="4" t="s">
        <v>944</v>
      </c>
      <c r="R31" s="4"/>
      <c r="S31" s="4"/>
      <c r="T31" s="4" t="s">
        <v>945</v>
      </c>
      <c r="U31" s="4"/>
      <c r="V31" s="4"/>
      <c r="W31" s="4"/>
      <c r="X31" s="4" t="s">
        <v>946</v>
      </c>
      <c r="Y31" s="4" t="s">
        <v>945</v>
      </c>
      <c r="Z31" s="4" t="s">
        <v>945</v>
      </c>
      <c r="AA31" s="4" t="s">
        <v>945</v>
      </c>
      <c r="AB31" s="4" t="s">
        <v>945</v>
      </c>
      <c r="AC31" s="4" t="s">
        <v>945</v>
      </c>
      <c r="AD31" s="4"/>
      <c r="AE31" s="4"/>
    </row>
    <row r="32" spans="1:31" x14ac:dyDescent="0.25">
      <c r="A32" s="4" t="s">
        <v>129</v>
      </c>
      <c r="B32" s="4">
        <v>2007</v>
      </c>
      <c r="C32" s="4" t="s">
        <v>947</v>
      </c>
      <c r="D32" s="4" t="s">
        <v>948</v>
      </c>
      <c r="E32" s="4" t="s">
        <v>948</v>
      </c>
      <c r="F32" s="4"/>
      <c r="G32" s="4" t="s">
        <v>949</v>
      </c>
      <c r="H32" s="4"/>
      <c r="I32" s="4"/>
      <c r="J32" s="4"/>
      <c r="K32" s="4"/>
      <c r="L32" s="4"/>
      <c r="M32" s="4" t="s">
        <v>950</v>
      </c>
      <c r="N32" s="4" t="s">
        <v>950</v>
      </c>
      <c r="O32" s="4" t="s">
        <v>950</v>
      </c>
      <c r="P32" s="4" t="s">
        <v>950</v>
      </c>
      <c r="Q32" s="4" t="s">
        <v>950</v>
      </c>
      <c r="R32" s="4"/>
      <c r="S32" s="4"/>
      <c r="T32" s="4" t="s">
        <v>951</v>
      </c>
      <c r="U32" s="4"/>
      <c r="V32" s="4"/>
      <c r="W32" s="4"/>
      <c r="X32" s="4" t="s">
        <v>952</v>
      </c>
      <c r="Y32" s="4" t="s">
        <v>951</v>
      </c>
      <c r="Z32" s="4" t="s">
        <v>951</v>
      </c>
      <c r="AA32" s="4" t="s">
        <v>951</v>
      </c>
      <c r="AB32" s="4" t="s">
        <v>951</v>
      </c>
      <c r="AC32" s="4" t="s">
        <v>951</v>
      </c>
      <c r="AD32" s="4"/>
      <c r="AE32" s="4"/>
    </row>
    <row r="33" spans="1:31" x14ac:dyDescent="0.25">
      <c r="A33" s="4" t="s">
        <v>129</v>
      </c>
      <c r="B33" s="4">
        <v>2008</v>
      </c>
      <c r="C33" s="4" t="s">
        <v>953</v>
      </c>
      <c r="D33" s="4" t="s">
        <v>954</v>
      </c>
      <c r="E33" s="4" t="s">
        <v>954</v>
      </c>
      <c r="F33" s="4"/>
      <c r="G33" s="4" t="s">
        <v>955</v>
      </c>
      <c r="H33" s="4"/>
      <c r="I33" s="4"/>
      <c r="J33" s="4"/>
      <c r="K33" s="4"/>
      <c r="L33" s="4"/>
      <c r="M33" s="4" t="s">
        <v>956</v>
      </c>
      <c r="N33" s="4" t="s">
        <v>956</v>
      </c>
      <c r="O33" s="4" t="s">
        <v>956</v>
      </c>
      <c r="P33" s="4" t="s">
        <v>956</v>
      </c>
      <c r="Q33" s="4" t="s">
        <v>956</v>
      </c>
      <c r="R33" s="4"/>
      <c r="S33" s="4"/>
      <c r="T33" s="4" t="s">
        <v>957</v>
      </c>
      <c r="U33" s="4"/>
      <c r="V33" s="4"/>
      <c r="W33" s="4"/>
      <c r="X33" s="4" t="s">
        <v>958</v>
      </c>
      <c r="Y33" s="4" t="s">
        <v>957</v>
      </c>
      <c r="Z33" s="4" t="s">
        <v>957</v>
      </c>
      <c r="AA33" s="4" t="s">
        <v>957</v>
      </c>
      <c r="AB33" s="4" t="s">
        <v>957</v>
      </c>
      <c r="AC33" s="4" t="s">
        <v>957</v>
      </c>
      <c r="AD33" s="4"/>
      <c r="AE33" s="4"/>
    </row>
    <row r="34" spans="1:31" x14ac:dyDescent="0.25">
      <c r="A34" s="4" t="s">
        <v>129</v>
      </c>
      <c r="B34" s="4">
        <v>2009</v>
      </c>
      <c r="C34" s="4" t="s">
        <v>959</v>
      </c>
      <c r="D34" s="4" t="s">
        <v>960</v>
      </c>
      <c r="E34" s="4" t="s">
        <v>960</v>
      </c>
      <c r="F34" s="4"/>
      <c r="G34" s="4" t="s">
        <v>961</v>
      </c>
      <c r="H34" s="4"/>
      <c r="I34" s="4"/>
      <c r="J34" s="4"/>
      <c r="K34" s="4"/>
      <c r="L34" s="4"/>
      <c r="M34" s="4" t="s">
        <v>962</v>
      </c>
      <c r="N34" s="4" t="s">
        <v>962</v>
      </c>
      <c r="O34" s="4" t="s">
        <v>962</v>
      </c>
      <c r="P34" s="4" t="s">
        <v>962</v>
      </c>
      <c r="Q34" s="4" t="s">
        <v>962</v>
      </c>
      <c r="R34" s="4"/>
      <c r="S34" s="4"/>
      <c r="T34" s="4" t="s">
        <v>963</v>
      </c>
      <c r="U34" s="4"/>
      <c r="V34" s="4"/>
      <c r="W34" s="4"/>
      <c r="X34" s="4" t="s">
        <v>964</v>
      </c>
      <c r="Y34" s="4" t="s">
        <v>963</v>
      </c>
      <c r="Z34" s="4" t="s">
        <v>963</v>
      </c>
      <c r="AA34" s="4" t="s">
        <v>963</v>
      </c>
      <c r="AB34" s="4" t="s">
        <v>963</v>
      </c>
      <c r="AC34" s="4" t="s">
        <v>963</v>
      </c>
      <c r="AD34" s="4"/>
      <c r="AE34" s="4"/>
    </row>
    <row r="35" spans="1:31" x14ac:dyDescent="0.25">
      <c r="A35" s="4" t="s">
        <v>129</v>
      </c>
      <c r="B35" s="4">
        <v>2010</v>
      </c>
      <c r="C35" s="4" t="s">
        <v>965</v>
      </c>
      <c r="D35" s="4" t="s">
        <v>966</v>
      </c>
      <c r="E35" s="4" t="s">
        <v>966</v>
      </c>
      <c r="F35" s="4"/>
      <c r="G35" s="4" t="s">
        <v>965</v>
      </c>
      <c r="H35" s="4"/>
      <c r="I35" s="4"/>
      <c r="J35" s="4"/>
      <c r="K35" s="4"/>
      <c r="L35" s="4"/>
      <c r="M35" s="4" t="s">
        <v>967</v>
      </c>
      <c r="N35" s="4" t="s">
        <v>967</v>
      </c>
      <c r="O35" s="4" t="s">
        <v>967</v>
      </c>
      <c r="P35" s="4" t="s">
        <v>967</v>
      </c>
      <c r="Q35" s="4" t="s">
        <v>967</v>
      </c>
      <c r="R35" s="4"/>
      <c r="S35" s="4"/>
      <c r="T35" s="4" t="s">
        <v>968</v>
      </c>
      <c r="U35" s="4"/>
      <c r="V35" s="4"/>
      <c r="W35" s="4"/>
      <c r="X35" s="4" t="s">
        <v>969</v>
      </c>
      <c r="Y35" s="4" t="s">
        <v>968</v>
      </c>
      <c r="Z35" s="4" t="s">
        <v>968</v>
      </c>
      <c r="AA35" s="4" t="s">
        <v>968</v>
      </c>
      <c r="AB35" s="4" t="s">
        <v>968</v>
      </c>
      <c r="AC35" s="4" t="s">
        <v>968</v>
      </c>
      <c r="AD35" s="4"/>
      <c r="AE35" s="4"/>
    </row>
    <row r="36" spans="1:31" x14ac:dyDescent="0.25">
      <c r="A36" s="4" t="s">
        <v>129</v>
      </c>
      <c r="B36" s="4">
        <v>2011</v>
      </c>
      <c r="C36" s="4" t="s">
        <v>970</v>
      </c>
      <c r="D36" s="4" t="s">
        <v>971</v>
      </c>
      <c r="E36" s="4" t="s">
        <v>971</v>
      </c>
      <c r="F36" s="4"/>
      <c r="G36" s="4" t="s">
        <v>972</v>
      </c>
      <c r="H36" s="4"/>
      <c r="I36" s="4"/>
      <c r="J36" s="4"/>
      <c r="K36" s="4"/>
      <c r="L36" s="4"/>
      <c r="M36" s="4" t="s">
        <v>973</v>
      </c>
      <c r="N36" s="4" t="s">
        <v>973</v>
      </c>
      <c r="O36" s="4" t="s">
        <v>973</v>
      </c>
      <c r="P36" s="4" t="s">
        <v>973</v>
      </c>
      <c r="Q36" s="4" t="s">
        <v>973</v>
      </c>
      <c r="R36" s="4"/>
      <c r="S36" s="4"/>
      <c r="T36" s="4" t="s">
        <v>974</v>
      </c>
      <c r="U36" s="4"/>
      <c r="V36" s="4"/>
      <c r="W36" s="4"/>
      <c r="X36" s="4" t="s">
        <v>975</v>
      </c>
      <c r="Y36" s="4" t="s">
        <v>974</v>
      </c>
      <c r="Z36" s="4" t="s">
        <v>974</v>
      </c>
      <c r="AA36" s="4" t="s">
        <v>974</v>
      </c>
      <c r="AB36" s="4" t="s">
        <v>974</v>
      </c>
      <c r="AC36" s="4" t="s">
        <v>974</v>
      </c>
      <c r="AD36" s="4"/>
      <c r="AE36" s="4"/>
    </row>
    <row r="37" spans="1:31" x14ac:dyDescent="0.25">
      <c r="A37" s="4" t="s">
        <v>129</v>
      </c>
      <c r="B37" s="4">
        <v>2012</v>
      </c>
      <c r="C37" s="4" t="s">
        <v>976</v>
      </c>
      <c r="D37" s="4" t="s">
        <v>977</v>
      </c>
      <c r="E37" s="4" t="s">
        <v>977</v>
      </c>
      <c r="F37" s="4"/>
      <c r="G37" s="4" t="s">
        <v>978</v>
      </c>
      <c r="H37" s="4"/>
      <c r="I37" s="4"/>
      <c r="J37" s="4"/>
      <c r="K37" s="4"/>
      <c r="L37" s="4"/>
      <c r="M37" s="4" t="s">
        <v>979</v>
      </c>
      <c r="N37" s="4" t="s">
        <v>979</v>
      </c>
      <c r="O37" s="4" t="s">
        <v>979</v>
      </c>
      <c r="P37" s="4" t="s">
        <v>979</v>
      </c>
      <c r="Q37" s="4" t="s">
        <v>979</v>
      </c>
      <c r="R37" s="4"/>
      <c r="S37" s="4"/>
      <c r="T37" s="4" t="s">
        <v>980</v>
      </c>
      <c r="U37" s="4"/>
      <c r="V37" s="4"/>
      <c r="W37" s="4"/>
      <c r="X37" s="4" t="s">
        <v>981</v>
      </c>
      <c r="Y37" s="4" t="s">
        <v>980</v>
      </c>
      <c r="Z37" s="4" t="s">
        <v>980</v>
      </c>
      <c r="AA37" s="4" t="s">
        <v>980</v>
      </c>
      <c r="AB37" s="4" t="s">
        <v>980</v>
      </c>
      <c r="AC37" s="4" t="s">
        <v>980</v>
      </c>
      <c r="AD37" s="4"/>
      <c r="AE37" s="4"/>
    </row>
    <row r="38" spans="1:31" x14ac:dyDescent="0.25">
      <c r="A38" s="4" t="s">
        <v>129</v>
      </c>
      <c r="B38" s="4">
        <v>2013</v>
      </c>
      <c r="C38" s="4" t="s">
        <v>982</v>
      </c>
      <c r="D38" s="4" t="s">
        <v>983</v>
      </c>
      <c r="E38" s="4" t="s">
        <v>983</v>
      </c>
      <c r="F38" s="4"/>
      <c r="G38" s="4" t="s">
        <v>984</v>
      </c>
      <c r="H38" s="4"/>
      <c r="I38" s="4"/>
      <c r="J38" s="4"/>
      <c r="K38" s="4"/>
      <c r="L38" s="4"/>
      <c r="M38" s="4" t="s">
        <v>985</v>
      </c>
      <c r="N38" s="4" t="s">
        <v>985</v>
      </c>
      <c r="O38" s="4" t="s">
        <v>985</v>
      </c>
      <c r="P38" s="4" t="s">
        <v>985</v>
      </c>
      <c r="Q38" s="4" t="s">
        <v>985</v>
      </c>
      <c r="R38" s="4"/>
      <c r="S38" s="4"/>
      <c r="T38" s="4" t="s">
        <v>986</v>
      </c>
      <c r="U38" s="4"/>
      <c r="V38" s="4"/>
      <c r="W38" s="4"/>
      <c r="X38" s="4" t="s">
        <v>987</v>
      </c>
      <c r="Y38" s="4" t="s">
        <v>986</v>
      </c>
      <c r="Z38" s="4" t="s">
        <v>986</v>
      </c>
      <c r="AA38" s="4" t="s">
        <v>986</v>
      </c>
      <c r="AB38" s="4" t="s">
        <v>986</v>
      </c>
      <c r="AC38" s="4" t="s">
        <v>986</v>
      </c>
      <c r="AD38" s="4"/>
      <c r="AE38" s="4"/>
    </row>
    <row r="39" spans="1:31" x14ac:dyDescent="0.25">
      <c r="A39" s="4" t="s">
        <v>129</v>
      </c>
      <c r="B39" s="4">
        <v>2014</v>
      </c>
      <c r="C39" s="4" t="s">
        <v>988</v>
      </c>
      <c r="D39" s="4"/>
      <c r="E39" s="4"/>
      <c r="F39" s="4"/>
      <c r="G39" s="4" t="s">
        <v>989</v>
      </c>
      <c r="H39" s="4"/>
      <c r="I39" s="4" t="s">
        <v>990</v>
      </c>
      <c r="J39" s="4" t="s">
        <v>990</v>
      </c>
      <c r="K39" s="17" t="s">
        <v>990</v>
      </c>
      <c r="L39" s="4"/>
      <c r="M39" s="4" t="s">
        <v>991</v>
      </c>
      <c r="N39" s="4" t="s">
        <v>991</v>
      </c>
      <c r="O39" s="4" t="s">
        <v>991</v>
      </c>
      <c r="P39" s="4" t="s">
        <v>991</v>
      </c>
      <c r="Q39" s="4" t="s">
        <v>991</v>
      </c>
      <c r="R39" s="4"/>
      <c r="S39" s="4"/>
      <c r="T39" s="4" t="s">
        <v>992</v>
      </c>
      <c r="U39" s="4"/>
      <c r="V39" s="4"/>
      <c r="W39" s="4"/>
      <c r="X39" s="4" t="s">
        <v>993</v>
      </c>
      <c r="Y39" s="4" t="s">
        <v>992</v>
      </c>
      <c r="Z39" s="4" t="s">
        <v>992</v>
      </c>
      <c r="AA39" s="4" t="s">
        <v>992</v>
      </c>
      <c r="AB39" s="4" t="s">
        <v>992</v>
      </c>
      <c r="AC39" s="4" t="s">
        <v>992</v>
      </c>
      <c r="AD39" s="4"/>
      <c r="AE39" s="4"/>
    </row>
    <row r="40" spans="1:31" x14ac:dyDescent="0.25">
      <c r="A40" s="4" t="s">
        <v>129</v>
      </c>
      <c r="B40" s="4">
        <v>2015</v>
      </c>
      <c r="C40" s="4" t="s">
        <v>994</v>
      </c>
      <c r="D40" s="4"/>
      <c r="E40" s="4"/>
      <c r="F40" s="4"/>
      <c r="G40" s="4" t="s">
        <v>995</v>
      </c>
      <c r="H40" s="4"/>
      <c r="I40" s="4" t="s">
        <v>996</v>
      </c>
      <c r="J40" s="4" t="s">
        <v>996</v>
      </c>
      <c r="K40" s="17" t="s">
        <v>996</v>
      </c>
      <c r="L40" s="4"/>
      <c r="M40" s="4" t="s">
        <v>997</v>
      </c>
      <c r="N40" s="4" t="s">
        <v>997</v>
      </c>
      <c r="O40" s="4" t="s">
        <v>997</v>
      </c>
      <c r="P40" s="4" t="s">
        <v>997</v>
      </c>
      <c r="Q40" s="4" t="s">
        <v>997</v>
      </c>
      <c r="R40" s="4"/>
      <c r="S40" s="4"/>
      <c r="T40" s="4" t="s">
        <v>998</v>
      </c>
      <c r="U40" s="4"/>
      <c r="V40" s="4"/>
      <c r="W40" s="4"/>
      <c r="X40" s="4" t="s">
        <v>999</v>
      </c>
      <c r="Y40" s="4" t="s">
        <v>998</v>
      </c>
      <c r="Z40" s="4" t="s">
        <v>998</v>
      </c>
      <c r="AA40" s="4" t="s">
        <v>998</v>
      </c>
      <c r="AB40" s="4" t="s">
        <v>998</v>
      </c>
      <c r="AC40" s="4" t="s">
        <v>998</v>
      </c>
      <c r="AD40" s="4"/>
      <c r="AE40" s="4"/>
    </row>
    <row r="41" spans="1:31" x14ac:dyDescent="0.25">
      <c r="A41" s="4" t="s">
        <v>129</v>
      </c>
      <c r="B41" s="4">
        <v>2016</v>
      </c>
      <c r="C41" s="4" t="s">
        <v>1000</v>
      </c>
      <c r="D41" s="4"/>
      <c r="E41" s="4"/>
      <c r="F41" s="4"/>
      <c r="G41" s="4" t="s">
        <v>1001</v>
      </c>
      <c r="H41" s="4"/>
      <c r="I41" s="4" t="s">
        <v>1002</v>
      </c>
      <c r="J41" s="4" t="s">
        <v>1002</v>
      </c>
      <c r="K41" s="17" t="s">
        <v>1002</v>
      </c>
      <c r="L41" s="4"/>
      <c r="M41" s="4" t="s">
        <v>1003</v>
      </c>
      <c r="N41" s="4" t="s">
        <v>1003</v>
      </c>
      <c r="O41" s="4" t="s">
        <v>1003</v>
      </c>
      <c r="P41" s="4" t="s">
        <v>1003</v>
      </c>
      <c r="Q41" s="4" t="s">
        <v>1003</v>
      </c>
      <c r="R41" s="4"/>
      <c r="S41" s="4"/>
      <c r="T41" s="4" t="s">
        <v>1004</v>
      </c>
      <c r="U41" s="4"/>
      <c r="V41" s="4"/>
      <c r="W41" s="4"/>
      <c r="X41" s="4" t="s">
        <v>1005</v>
      </c>
      <c r="Y41" s="4" t="s">
        <v>1004</v>
      </c>
      <c r="Z41" s="4" t="s">
        <v>1004</v>
      </c>
      <c r="AA41" s="4" t="s">
        <v>1004</v>
      </c>
      <c r="AB41" s="4" t="s">
        <v>1004</v>
      </c>
      <c r="AC41" s="4" t="s">
        <v>1004</v>
      </c>
      <c r="AD41" s="4"/>
      <c r="AE41" s="4"/>
    </row>
    <row r="42" spans="1:31" x14ac:dyDescent="0.25">
      <c r="A42" s="4" t="s">
        <v>129</v>
      </c>
      <c r="B42" s="4">
        <v>2017</v>
      </c>
      <c r="C42" s="4" t="s">
        <v>1006</v>
      </c>
      <c r="D42" s="4"/>
      <c r="E42" s="4"/>
      <c r="F42" s="4"/>
      <c r="G42" s="4" t="s">
        <v>1007</v>
      </c>
      <c r="H42" s="4"/>
      <c r="I42" s="4" t="s">
        <v>1008</v>
      </c>
      <c r="J42" s="4" t="s">
        <v>1008</v>
      </c>
      <c r="K42" s="17" t="s">
        <v>1008</v>
      </c>
      <c r="L42" s="4"/>
      <c r="M42" s="4" t="s">
        <v>1009</v>
      </c>
      <c r="N42" s="4" t="s">
        <v>1009</v>
      </c>
      <c r="O42" s="4" t="s">
        <v>1009</v>
      </c>
      <c r="P42" s="4" t="s">
        <v>1009</v>
      </c>
      <c r="Q42" s="4" t="s">
        <v>1009</v>
      </c>
      <c r="R42" s="4"/>
      <c r="S42" s="4"/>
      <c r="T42" s="4" t="s">
        <v>1010</v>
      </c>
      <c r="U42" s="4"/>
      <c r="V42" s="4"/>
      <c r="W42" s="4"/>
      <c r="X42" s="4" t="s">
        <v>1011</v>
      </c>
      <c r="Y42" s="4" t="s">
        <v>1010</v>
      </c>
      <c r="Z42" s="4" t="s">
        <v>1010</v>
      </c>
      <c r="AA42" s="4" t="s">
        <v>1010</v>
      </c>
      <c r="AB42" s="4" t="s">
        <v>1010</v>
      </c>
      <c r="AC42" s="4" t="s">
        <v>1010</v>
      </c>
      <c r="AD42" s="4"/>
      <c r="AE42" s="4"/>
    </row>
    <row r="43" spans="1:31" x14ac:dyDescent="0.25">
      <c r="A43" s="4" t="s">
        <v>129</v>
      </c>
      <c r="B43" s="4">
        <v>2018</v>
      </c>
      <c r="C43" s="4" t="s">
        <v>1012</v>
      </c>
      <c r="D43" s="4"/>
      <c r="E43" s="4"/>
      <c r="F43" s="4"/>
      <c r="G43" s="4" t="s">
        <v>1013</v>
      </c>
      <c r="H43" s="4"/>
      <c r="I43" s="4" t="s">
        <v>1014</v>
      </c>
      <c r="J43" s="4" t="s">
        <v>1014</v>
      </c>
      <c r="K43" s="17" t="s">
        <v>1014</v>
      </c>
      <c r="L43" s="4"/>
      <c r="M43" s="4" t="s">
        <v>1015</v>
      </c>
      <c r="N43" s="4" t="s">
        <v>1015</v>
      </c>
      <c r="O43" s="4" t="s">
        <v>1015</v>
      </c>
      <c r="P43" s="4" t="s">
        <v>1015</v>
      </c>
      <c r="Q43" s="4" t="s">
        <v>1015</v>
      </c>
      <c r="R43" s="4"/>
      <c r="S43" s="4"/>
      <c r="T43" s="4" t="s">
        <v>1016</v>
      </c>
      <c r="U43" s="4"/>
      <c r="V43" s="4"/>
      <c r="W43" s="4"/>
      <c r="X43" s="4" t="s">
        <v>1017</v>
      </c>
      <c r="Y43" s="4" t="s">
        <v>1016</v>
      </c>
      <c r="Z43" s="4" t="s">
        <v>1016</v>
      </c>
      <c r="AA43" s="4" t="s">
        <v>1016</v>
      </c>
      <c r="AB43" s="4" t="s">
        <v>1016</v>
      </c>
      <c r="AC43" s="4" t="s">
        <v>1016</v>
      </c>
      <c r="AD43" s="4"/>
      <c r="AE43" s="4"/>
    </row>
    <row r="44" spans="1:31" x14ac:dyDescent="0.25">
      <c r="A44" s="4" t="s">
        <v>129</v>
      </c>
      <c r="B44" s="4">
        <v>2019</v>
      </c>
      <c r="C44" s="4" t="s">
        <v>1018</v>
      </c>
      <c r="D44" s="4"/>
      <c r="E44" s="4"/>
      <c r="F44" s="4"/>
      <c r="G44" s="4" t="s">
        <v>1019</v>
      </c>
      <c r="H44" s="4"/>
      <c r="I44" s="4" t="s">
        <v>1020</v>
      </c>
      <c r="J44" s="4" t="s">
        <v>1020</v>
      </c>
      <c r="K44" s="17" t="s">
        <v>1020</v>
      </c>
      <c r="L44" s="4"/>
      <c r="M44" s="4" t="s">
        <v>1021</v>
      </c>
      <c r="N44" s="4" t="s">
        <v>1021</v>
      </c>
      <c r="O44" s="4" t="s">
        <v>1021</v>
      </c>
      <c r="P44" s="4" t="s">
        <v>1021</v>
      </c>
      <c r="Q44" s="4" t="s">
        <v>1021</v>
      </c>
      <c r="R44" s="4"/>
      <c r="S44" s="4"/>
      <c r="T44" s="4" t="s">
        <v>1022</v>
      </c>
      <c r="U44" s="4"/>
      <c r="V44" s="4"/>
      <c r="W44" s="4"/>
      <c r="X44" s="4" t="s">
        <v>1023</v>
      </c>
      <c r="Y44" s="4" t="s">
        <v>1022</v>
      </c>
      <c r="Z44" s="4" t="s">
        <v>1022</v>
      </c>
      <c r="AA44" s="4" t="s">
        <v>1022</v>
      </c>
      <c r="AB44" s="4" t="s">
        <v>1022</v>
      </c>
      <c r="AC44" s="4" t="s">
        <v>1022</v>
      </c>
      <c r="AD44" s="4"/>
      <c r="AE44" s="4"/>
    </row>
    <row r="45" spans="1:31" x14ac:dyDescent="0.25">
      <c r="A45" s="4" t="s">
        <v>129</v>
      </c>
      <c r="B45" s="4">
        <v>2020</v>
      </c>
      <c r="C45" s="4" t="s">
        <v>1024</v>
      </c>
      <c r="D45" s="4"/>
      <c r="E45" s="4"/>
      <c r="F45" s="4"/>
      <c r="G45" s="4" t="s">
        <v>1025</v>
      </c>
      <c r="H45" s="4"/>
      <c r="I45" s="4" t="s">
        <v>1026</v>
      </c>
      <c r="J45" s="4" t="s">
        <v>1026</v>
      </c>
      <c r="K45" s="17" t="s">
        <v>1026</v>
      </c>
      <c r="L45" s="4"/>
      <c r="M45" s="4" t="s">
        <v>1027</v>
      </c>
      <c r="N45" s="4" t="s">
        <v>1027</v>
      </c>
      <c r="O45" s="4" t="s">
        <v>1027</v>
      </c>
      <c r="P45" s="4" t="s">
        <v>1027</v>
      </c>
      <c r="Q45" s="4" t="s">
        <v>1027</v>
      </c>
      <c r="R45" s="4"/>
      <c r="S45" s="4"/>
      <c r="T45" s="4" t="s">
        <v>1028</v>
      </c>
      <c r="U45" s="4"/>
      <c r="V45" s="4"/>
      <c r="W45" s="4"/>
      <c r="X45" s="17" t="s">
        <v>1029</v>
      </c>
      <c r="Y45" s="4" t="s">
        <v>1028</v>
      </c>
      <c r="Z45" s="4" t="s">
        <v>1028</v>
      </c>
      <c r="AA45" s="4" t="s">
        <v>1028</v>
      </c>
      <c r="AB45" s="4" t="s">
        <v>1028</v>
      </c>
      <c r="AC45" s="4" t="s">
        <v>1028</v>
      </c>
      <c r="AD45" s="4"/>
      <c r="AE45" s="4"/>
    </row>
    <row r="46" spans="1:31" x14ac:dyDescent="0.25">
      <c r="A46" s="4" t="s">
        <v>129</v>
      </c>
      <c r="B46" s="4">
        <v>2021</v>
      </c>
      <c r="C46" s="4" t="s">
        <v>1030</v>
      </c>
      <c r="D46" s="4"/>
      <c r="E46" s="4"/>
      <c r="F46" s="4"/>
      <c r="G46" s="4" t="s">
        <v>233</v>
      </c>
      <c r="H46" s="4"/>
      <c r="I46" s="4" t="s">
        <v>234</v>
      </c>
      <c r="J46" s="4" t="s">
        <v>234</v>
      </c>
      <c r="K46" s="17" t="s">
        <v>234</v>
      </c>
      <c r="L46" s="4"/>
      <c r="M46" s="4" t="s">
        <v>1031</v>
      </c>
      <c r="N46" s="4" t="s">
        <v>1031</v>
      </c>
      <c r="O46" s="4" t="s">
        <v>1031</v>
      </c>
      <c r="P46" s="4" t="s">
        <v>1031</v>
      </c>
      <c r="Q46" s="4" t="s">
        <v>1031</v>
      </c>
      <c r="R46" s="4"/>
      <c r="S46" s="4"/>
      <c r="T46" s="4" t="s">
        <v>1032</v>
      </c>
      <c r="U46" s="4"/>
      <c r="V46" s="4"/>
      <c r="W46" s="4"/>
      <c r="X46" s="4"/>
      <c r="Y46" s="4" t="s">
        <v>1032</v>
      </c>
      <c r="Z46" s="4" t="s">
        <v>1032</v>
      </c>
      <c r="AA46" s="4" t="s">
        <v>1032</v>
      </c>
      <c r="AB46" s="4" t="s">
        <v>1032</v>
      </c>
      <c r="AC46" s="4" t="s">
        <v>1032</v>
      </c>
      <c r="AD46" s="4"/>
      <c r="AE46" s="4"/>
    </row>
    <row r="47" spans="1:3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spans="1:3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spans="1:3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spans="1:3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spans="1:3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spans="1:3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spans="1:3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spans="1:3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spans="1:3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spans="1:3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spans="1:3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spans="1:3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spans="1:3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spans="1:3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spans="1:3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spans="1:3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spans="1:3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spans="1:3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spans="1:3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spans="1:3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spans="1:3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spans="1:3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spans="1:3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spans="1:3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37" style="42" bestFit="1" customWidth="1"/>
    <col min="2" max="2" width="7.5" style="60" bestFit="1" customWidth="1"/>
    <col min="3" max="3" width="25.375" style="42" bestFit="1" customWidth="1"/>
    <col min="4" max="4" width="22.25" style="42" bestFit="1" customWidth="1"/>
    <col min="5" max="5" width="28.625" style="42" bestFit="1" customWidth="1"/>
    <col min="6" max="6" width="27.75" style="42" bestFit="1" customWidth="1"/>
    <col min="7" max="7" width="32.625" style="42" bestFit="1" customWidth="1"/>
    <col min="8" max="8" width="23.375" style="42" bestFit="1" customWidth="1"/>
    <col min="9" max="9" width="29.375" style="42" bestFit="1" customWidth="1"/>
    <col min="10" max="10" width="25.875" style="42" bestFit="1" customWidth="1"/>
    <col min="11" max="11" width="13.375" style="42" bestFit="1" customWidth="1"/>
    <col min="12" max="12" width="18.25" style="42" bestFit="1" customWidth="1"/>
    <col min="13" max="13" width="31.75" style="42" bestFit="1" customWidth="1"/>
    <col min="14" max="14" width="33.875" style="42" bestFit="1" customWidth="1"/>
    <col min="15" max="15" width="22.5" style="42" bestFit="1" customWidth="1"/>
    <col min="16" max="16" width="33.875" style="42" bestFit="1" customWidth="1"/>
    <col min="17" max="17" width="28.625" style="42" bestFit="1" customWidth="1"/>
    <col min="18" max="18" width="21.375" style="42" bestFit="1" customWidth="1"/>
    <col min="19" max="19" width="20.625" style="42" bestFit="1" customWidth="1"/>
    <col min="20" max="20" width="26.875" style="42" bestFit="1" customWidth="1"/>
    <col min="21" max="21" width="21.375" style="42" bestFit="1" customWidth="1"/>
    <col min="22" max="22" width="27.5" style="42" bestFit="1" customWidth="1"/>
    <col min="23" max="23" width="24.875" style="42" bestFit="1" customWidth="1"/>
    <col min="24" max="24" width="27.625" style="42" bestFit="1" customWidth="1"/>
    <col min="25" max="25" width="26.125" style="42" bestFit="1" customWidth="1"/>
    <col min="26" max="26" width="33.875" style="42" bestFit="1" customWidth="1"/>
    <col min="27" max="27" width="23.375" style="42" bestFit="1" customWidth="1"/>
    <col min="28" max="28" width="26.625" style="42" bestFit="1" customWidth="1"/>
    <col min="29" max="29" width="29.125" style="42" bestFit="1" customWidth="1"/>
    <col min="30" max="30" width="15" style="42" bestFit="1" customWidth="1"/>
    <col min="31" max="31" width="8.875" style="42" bestFit="1" customWidth="1"/>
    <col min="32" max="32" width="14.875" style="42" bestFit="1" customWidth="1"/>
    <col min="33" max="33" width="12.625" style="42" bestFit="1" customWidth="1"/>
    <col min="34" max="34" width="9.375" style="42" bestFit="1" customWidth="1"/>
    <col min="35" max="35" width="33.875" style="42" bestFit="1" customWidth="1"/>
    <col min="36" max="36" width="12.875" style="42" bestFit="1" customWidth="1"/>
    <col min="37" max="37" width="12" style="42" bestFit="1" customWidth="1"/>
    <col min="38" max="38" width="10.625" style="42" bestFit="1" customWidth="1"/>
    <col min="39" max="39" width="13" style="42" bestFit="1" customWidth="1"/>
    <col min="40" max="40" width="10.125" style="42" bestFit="1" customWidth="1"/>
    <col min="41" max="41" width="11.125" style="42" bestFit="1" customWidth="1"/>
    <col min="42" max="42" width="11.75" style="42" bestFit="1" customWidth="1"/>
    <col min="43" max="43" width="12.125" style="42" bestFit="1" customWidth="1"/>
    <col min="44" max="44" width="10.75" style="42" bestFit="1" customWidth="1"/>
    <col min="45" max="45" width="13.5" style="42" bestFit="1" customWidth="1"/>
    <col min="46" max="46" width="12.25" style="42" bestFit="1" customWidth="1"/>
    <col min="47" max="47" width="10.625" style="42" bestFit="1" customWidth="1"/>
    <col min="48" max="48" width="12.375" style="42" bestFit="1" customWidth="1"/>
    <col min="49" max="50" width="10.375" style="42" bestFit="1" customWidth="1"/>
    <col min="51" max="51" width="13" style="42" bestFit="1" customWidth="1"/>
    <col min="52" max="52" width="15.25" style="42" bestFit="1" customWidth="1"/>
    <col min="53" max="53" width="9.125" style="42" bestFit="1" customWidth="1"/>
    <col min="54" max="54" width="12.625" style="42"/>
    <col min="55" max="55" width="12.375" style="42" bestFit="1" customWidth="1"/>
    <col min="56" max="56" width="33.875" style="42" bestFit="1" customWidth="1"/>
    <col min="57" max="57" width="12.375" style="42" bestFit="1" customWidth="1"/>
    <col min="58" max="58" width="9.875" style="42" bestFit="1" customWidth="1"/>
    <col min="59" max="59" width="13.125" style="42" bestFit="1" customWidth="1"/>
    <col min="60" max="60" width="11.75" style="42" bestFit="1" customWidth="1"/>
    <col min="61" max="61" width="17.5" style="42" bestFit="1" customWidth="1"/>
    <col min="62" max="62" width="12.625" style="42"/>
    <col min="63" max="63" width="10.375" style="42" bestFit="1" customWidth="1"/>
    <col min="64" max="64" width="13.5" style="42" bestFit="1" customWidth="1"/>
    <col min="65" max="65" width="12.125" style="42" bestFit="1" customWidth="1"/>
    <col min="66" max="66" width="14.875" style="42" bestFit="1" customWidth="1"/>
    <col min="67" max="67" width="15.125" style="42" bestFit="1" customWidth="1"/>
    <col min="68" max="68" width="11.375" style="42" bestFit="1" customWidth="1"/>
    <col min="69" max="69" width="12.625" style="42"/>
    <col min="70" max="70" width="12.25" style="42" bestFit="1" customWidth="1"/>
    <col min="71" max="71" width="10.5" style="42" bestFit="1" customWidth="1"/>
    <col min="72" max="72" width="12.125" style="42" bestFit="1" customWidth="1"/>
    <col min="73" max="73" width="10.875" style="42" bestFit="1" customWidth="1"/>
    <col min="74" max="74" width="10.75" style="42" bestFit="1" customWidth="1"/>
    <col min="75" max="75" width="11.875" style="42" bestFit="1" customWidth="1"/>
    <col min="76" max="76" width="13.625" style="42" bestFit="1" customWidth="1"/>
    <col min="77" max="77" width="11.875" style="42" bestFit="1" customWidth="1"/>
    <col min="78" max="78" width="12.375" style="42" bestFit="1" customWidth="1"/>
    <col min="79" max="79" width="11.125" style="42" bestFit="1" customWidth="1"/>
    <col min="80" max="80" width="12.625" style="42"/>
    <col min="81" max="81" width="10.875" style="42" bestFit="1" customWidth="1"/>
    <col min="82" max="82" width="14.75" style="42" bestFit="1" customWidth="1"/>
    <col min="83" max="83" width="12.625" style="42" bestFit="1" customWidth="1"/>
    <col min="84" max="84" width="9.625" style="42" bestFit="1" customWidth="1"/>
    <col min="85" max="85" width="12.625" style="42"/>
    <col min="86" max="86" width="33.875" style="42" bestFit="1" customWidth="1"/>
    <col min="87" max="87" width="13.375" style="42" bestFit="1" customWidth="1"/>
    <col min="88" max="88" width="12.625" style="42"/>
    <col min="89" max="89" width="10.625" style="42" bestFit="1" customWidth="1"/>
    <col min="90" max="90" width="12.375" style="42" bestFit="1" customWidth="1"/>
    <col min="91" max="91" width="12.125" style="42" bestFit="1" customWidth="1"/>
    <col min="92" max="16384" width="12.625" style="42"/>
  </cols>
  <sheetData>
    <row r="1" spans="1:91" ht="60" x14ac:dyDescent="0.2">
      <c r="A1" s="37" t="s">
        <v>0</v>
      </c>
      <c r="B1" s="38" t="s">
        <v>1</v>
      </c>
      <c r="C1" s="39" t="s">
        <v>1252</v>
      </c>
      <c r="D1" s="39" t="s">
        <v>1253</v>
      </c>
      <c r="E1" s="39" t="s">
        <v>1254</v>
      </c>
      <c r="F1" s="39" t="s">
        <v>1255</v>
      </c>
      <c r="G1" s="39" t="s">
        <v>1256</v>
      </c>
      <c r="H1" s="39" t="s">
        <v>1257</v>
      </c>
      <c r="I1" s="39" t="s">
        <v>1258</v>
      </c>
      <c r="J1" s="39" t="s">
        <v>1259</v>
      </c>
      <c r="K1" s="39" t="s">
        <v>1260</v>
      </c>
      <c r="L1" s="39" t="s">
        <v>1261</v>
      </c>
      <c r="M1" s="39" t="s">
        <v>1262</v>
      </c>
      <c r="N1" s="39" t="s">
        <v>1263</v>
      </c>
      <c r="O1" s="39" t="s">
        <v>1264</v>
      </c>
      <c r="P1" s="39" t="s">
        <v>1265</v>
      </c>
      <c r="Q1" s="39" t="s">
        <v>1266</v>
      </c>
      <c r="R1" s="39" t="s">
        <v>1267</v>
      </c>
      <c r="S1" s="39" t="s">
        <v>1268</v>
      </c>
      <c r="T1" s="39" t="s">
        <v>1269</v>
      </c>
      <c r="U1" s="39" t="s">
        <v>1270</v>
      </c>
      <c r="V1" s="40" t="s">
        <v>1271</v>
      </c>
      <c r="W1" s="39" t="s">
        <v>1272</v>
      </c>
      <c r="X1" s="39" t="s">
        <v>1273</v>
      </c>
      <c r="Y1" s="39" t="s">
        <v>1274</v>
      </c>
      <c r="Z1" s="39" t="s">
        <v>1275</v>
      </c>
      <c r="AA1" s="39" t="s">
        <v>1276</v>
      </c>
      <c r="AB1" s="39" t="s">
        <v>1277</v>
      </c>
      <c r="AC1" s="39" t="s">
        <v>1278</v>
      </c>
      <c r="AD1" s="39" t="s">
        <v>1279</v>
      </c>
      <c r="AE1" s="39" t="s">
        <v>1280</v>
      </c>
      <c r="AF1" s="39" t="s">
        <v>1281</v>
      </c>
      <c r="AG1" s="39" t="s">
        <v>1282</v>
      </c>
      <c r="AH1" s="39" t="s">
        <v>1283</v>
      </c>
      <c r="AI1" s="39" t="s">
        <v>1284</v>
      </c>
      <c r="AJ1" s="39" t="s">
        <v>1285</v>
      </c>
      <c r="AK1" s="39" t="s">
        <v>1286</v>
      </c>
      <c r="AL1" s="39" t="s">
        <v>1287</v>
      </c>
      <c r="AM1" s="39" t="s">
        <v>1288</v>
      </c>
      <c r="AN1" s="39" t="s">
        <v>1289</v>
      </c>
      <c r="AO1" s="39" t="s">
        <v>1290</v>
      </c>
      <c r="AP1" s="39" t="s">
        <v>1291</v>
      </c>
      <c r="AQ1" s="39" t="s">
        <v>1292</v>
      </c>
      <c r="AR1" s="39" t="s">
        <v>1293</v>
      </c>
      <c r="AS1" s="39" t="s">
        <v>1294</v>
      </c>
      <c r="AT1" s="39" t="s">
        <v>1295</v>
      </c>
      <c r="AU1" s="39" t="s">
        <v>1296</v>
      </c>
      <c r="AV1" s="40" t="s">
        <v>1297</v>
      </c>
      <c r="AW1" s="39" t="s">
        <v>1298</v>
      </c>
      <c r="AX1" s="39" t="s">
        <v>1299</v>
      </c>
      <c r="AY1" s="39" t="s">
        <v>1300</v>
      </c>
      <c r="AZ1" s="39" t="s">
        <v>1301</v>
      </c>
      <c r="BA1" s="39" t="s">
        <v>1302</v>
      </c>
      <c r="BB1" s="39" t="s">
        <v>1303</v>
      </c>
      <c r="BC1" s="40" t="s">
        <v>1304</v>
      </c>
      <c r="BD1" s="39" t="s">
        <v>1305</v>
      </c>
      <c r="BE1" s="40" t="s">
        <v>1306</v>
      </c>
      <c r="BF1" s="39" t="s">
        <v>1307</v>
      </c>
      <c r="BG1" s="39" t="s">
        <v>1308</v>
      </c>
      <c r="BH1" s="39" t="s">
        <v>1309</v>
      </c>
      <c r="BI1" s="39" t="s">
        <v>1310</v>
      </c>
      <c r="BJ1" s="40" t="s">
        <v>1311</v>
      </c>
      <c r="BK1" s="39" t="s">
        <v>1312</v>
      </c>
      <c r="BL1" s="39" t="s">
        <v>1313</v>
      </c>
      <c r="BM1" s="39" t="s">
        <v>1314</v>
      </c>
      <c r="BN1" s="39" t="s">
        <v>1315</v>
      </c>
      <c r="BO1" s="39" t="s">
        <v>1316</v>
      </c>
      <c r="BP1" s="39" t="s">
        <v>1317</v>
      </c>
      <c r="BQ1" s="39" t="s">
        <v>1318</v>
      </c>
      <c r="BR1" s="39" t="s">
        <v>1319</v>
      </c>
      <c r="BS1" s="39" t="s">
        <v>1320</v>
      </c>
      <c r="BT1" s="39" t="s">
        <v>1321</v>
      </c>
      <c r="BU1" s="39" t="s">
        <v>1322</v>
      </c>
      <c r="BV1" s="39" t="s">
        <v>1323</v>
      </c>
      <c r="BW1" s="39" t="s">
        <v>1324</v>
      </c>
      <c r="BX1" s="39" t="s">
        <v>1325</v>
      </c>
      <c r="BY1" s="39" t="s">
        <v>1326</v>
      </c>
      <c r="BZ1" s="40" t="s">
        <v>1327</v>
      </c>
      <c r="CA1" s="39" t="s">
        <v>1328</v>
      </c>
      <c r="CB1" s="39" t="s">
        <v>1329</v>
      </c>
      <c r="CC1" s="39" t="s">
        <v>1330</v>
      </c>
      <c r="CD1" s="39" t="s">
        <v>1331</v>
      </c>
      <c r="CE1" s="39" t="s">
        <v>1332</v>
      </c>
      <c r="CF1" s="39" t="s">
        <v>1333</v>
      </c>
      <c r="CG1" s="40" t="s">
        <v>1334</v>
      </c>
      <c r="CH1" s="39" t="s">
        <v>1335</v>
      </c>
      <c r="CI1" s="40" t="s">
        <v>1336</v>
      </c>
      <c r="CJ1" s="39" t="s">
        <v>1337</v>
      </c>
      <c r="CK1" s="39" t="s">
        <v>1338</v>
      </c>
      <c r="CL1" s="40" t="s">
        <v>1339</v>
      </c>
      <c r="CM1" s="41" t="s">
        <v>1340</v>
      </c>
    </row>
    <row r="2" spans="1:91" ht="15" x14ac:dyDescent="0.2">
      <c r="A2" s="43" t="s">
        <v>64</v>
      </c>
      <c r="B2" s="44" t="s">
        <v>65</v>
      </c>
      <c r="C2" s="45" t="s">
        <v>1341</v>
      </c>
      <c r="D2" s="46" t="s">
        <v>1342</v>
      </c>
      <c r="E2" s="46" t="s">
        <v>1343</v>
      </c>
      <c r="F2" s="46" t="s">
        <v>1344</v>
      </c>
      <c r="G2" s="46" t="s">
        <v>1345</v>
      </c>
      <c r="H2" s="46" t="s">
        <v>1346</v>
      </c>
      <c r="I2" s="46" t="s">
        <v>1347</v>
      </c>
      <c r="J2" s="46" t="s">
        <v>1348</v>
      </c>
      <c r="K2" s="46" t="s">
        <v>1349</v>
      </c>
      <c r="L2" s="46" t="s">
        <v>1350</v>
      </c>
      <c r="M2" s="46" t="s">
        <v>1351</v>
      </c>
      <c r="N2" s="46" t="s">
        <v>1352</v>
      </c>
      <c r="O2" s="46" t="s">
        <v>1353</v>
      </c>
      <c r="P2" s="46" t="s">
        <v>1354</v>
      </c>
      <c r="Q2" s="46" t="s">
        <v>1355</v>
      </c>
      <c r="R2" s="46" t="s">
        <v>1356</v>
      </c>
      <c r="S2" s="46" t="s">
        <v>1357</v>
      </c>
      <c r="T2" s="46" t="s">
        <v>1358</v>
      </c>
      <c r="U2" s="46" t="s">
        <v>1359</v>
      </c>
      <c r="V2" s="47" t="s">
        <v>1360</v>
      </c>
      <c r="W2" s="48" t="s">
        <v>1361</v>
      </c>
      <c r="X2" s="46" t="s">
        <v>1362</v>
      </c>
      <c r="Y2" s="46" t="s">
        <v>1363</v>
      </c>
      <c r="Z2" s="46" t="s">
        <v>1364</v>
      </c>
      <c r="AA2" s="46" t="s">
        <v>1365</v>
      </c>
      <c r="AB2" s="46" t="s">
        <v>1366</v>
      </c>
      <c r="AC2" s="46" t="s">
        <v>1367</v>
      </c>
      <c r="AD2" s="46" t="s">
        <v>1368</v>
      </c>
      <c r="AE2" s="49" t="s">
        <v>1369</v>
      </c>
      <c r="AF2" s="49" t="s">
        <v>1370</v>
      </c>
      <c r="AG2" s="49" t="s">
        <v>1371</v>
      </c>
      <c r="AH2" s="49" t="s">
        <v>1372</v>
      </c>
      <c r="AI2" s="49" t="s">
        <v>1373</v>
      </c>
      <c r="AJ2" s="49" t="s">
        <v>1374</v>
      </c>
      <c r="AK2" s="49" t="s">
        <v>1375</v>
      </c>
      <c r="AL2" s="49" t="s">
        <v>1376</v>
      </c>
      <c r="AM2" s="49" t="s">
        <v>1377</v>
      </c>
      <c r="AN2" s="49" t="s">
        <v>1378</v>
      </c>
      <c r="AO2" s="49" t="s">
        <v>1379</v>
      </c>
      <c r="AP2" s="49" t="s">
        <v>1380</v>
      </c>
      <c r="AQ2" s="49" t="s">
        <v>1381</v>
      </c>
      <c r="AR2" s="49" t="s">
        <v>1382</v>
      </c>
      <c r="AS2" s="49" t="s">
        <v>1383</v>
      </c>
      <c r="AT2" s="49" t="s">
        <v>1384</v>
      </c>
      <c r="AU2" s="49" t="s">
        <v>1385</v>
      </c>
      <c r="AV2" s="50" t="s">
        <v>1386</v>
      </c>
      <c r="AW2" s="49" t="s">
        <v>1387</v>
      </c>
      <c r="AX2" s="49" t="s">
        <v>1388</v>
      </c>
      <c r="AY2" s="49" t="s">
        <v>1389</v>
      </c>
      <c r="AZ2" s="49" t="s">
        <v>1390</v>
      </c>
      <c r="BA2" s="49" t="s">
        <v>1391</v>
      </c>
      <c r="BB2" s="49" t="s">
        <v>1392</v>
      </c>
      <c r="BC2" s="50" t="s">
        <v>1393</v>
      </c>
      <c r="BD2" s="49" t="s">
        <v>1394</v>
      </c>
      <c r="BE2" s="50" t="s">
        <v>1395</v>
      </c>
      <c r="BF2" s="49" t="s">
        <v>1396</v>
      </c>
      <c r="BG2" s="49" t="s">
        <v>1397</v>
      </c>
      <c r="BH2" s="49" t="s">
        <v>1398</v>
      </c>
      <c r="BI2" s="49" t="s">
        <v>1399</v>
      </c>
      <c r="BJ2" s="50" t="s">
        <v>1400</v>
      </c>
      <c r="BK2" s="49" t="s">
        <v>1401</v>
      </c>
      <c r="BL2" s="49" t="s">
        <v>1402</v>
      </c>
      <c r="BM2" s="49" t="s">
        <v>1403</v>
      </c>
      <c r="BN2" s="49" t="s">
        <v>1404</v>
      </c>
      <c r="BO2" s="49" t="s">
        <v>1405</v>
      </c>
      <c r="BP2" s="49" t="s">
        <v>1406</v>
      </c>
      <c r="BQ2" s="49" t="s">
        <v>1407</v>
      </c>
      <c r="BR2" s="49" t="s">
        <v>1408</v>
      </c>
      <c r="BS2" s="49" t="s">
        <v>1409</v>
      </c>
      <c r="BT2" s="49" t="s">
        <v>1410</v>
      </c>
      <c r="BU2" s="49" t="s">
        <v>1411</v>
      </c>
      <c r="BV2" s="49" t="s">
        <v>1412</v>
      </c>
      <c r="BW2" s="49" t="s">
        <v>1413</v>
      </c>
      <c r="BX2" s="49" t="s">
        <v>1414</v>
      </c>
      <c r="BY2" s="49" t="s">
        <v>1415</v>
      </c>
      <c r="BZ2" s="50" t="s">
        <v>1416</v>
      </c>
      <c r="CA2" s="49" t="s">
        <v>1417</v>
      </c>
      <c r="CB2" s="49" t="s">
        <v>1418</v>
      </c>
      <c r="CC2" s="49" t="s">
        <v>1419</v>
      </c>
      <c r="CD2" s="49" t="s">
        <v>1420</v>
      </c>
      <c r="CE2" s="49" t="s">
        <v>1421</v>
      </c>
      <c r="CF2" s="49" t="s">
        <v>1422</v>
      </c>
      <c r="CG2" s="50" t="s">
        <v>1423</v>
      </c>
      <c r="CH2" s="49" t="s">
        <v>1424</v>
      </c>
      <c r="CI2" s="50" t="s">
        <v>1425</v>
      </c>
      <c r="CJ2" s="49" t="s">
        <v>1426</v>
      </c>
      <c r="CK2" s="49" t="s">
        <v>1427</v>
      </c>
      <c r="CL2" s="50" t="s">
        <v>1428</v>
      </c>
    </row>
    <row r="3" spans="1:91" ht="15" x14ac:dyDescent="0.25">
      <c r="A3" s="4" t="s">
        <v>129</v>
      </c>
      <c r="B3" s="52">
        <v>2001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4">
        <f t="shared" ref="V3:V22" si="0">SUM(C3:U3)</f>
        <v>0</v>
      </c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4">
        <f t="shared" ref="AV3:AV22" si="1">SUM(W3:AU3)</f>
        <v>0</v>
      </c>
      <c r="AW3" s="53"/>
      <c r="AX3" s="53"/>
      <c r="AY3" s="53"/>
      <c r="AZ3" s="53"/>
      <c r="BA3" s="53"/>
      <c r="BB3" s="53"/>
      <c r="BC3" s="54">
        <f t="shared" ref="BC3:BC22" si="2">SUM(AW3:BB3)</f>
        <v>0</v>
      </c>
      <c r="BD3" s="53"/>
      <c r="BE3" s="54">
        <f>SUM(BD3:BD3)</f>
        <v>0</v>
      </c>
      <c r="BF3" s="53"/>
      <c r="BG3" s="53"/>
      <c r="BH3" s="53"/>
      <c r="BI3" s="53"/>
      <c r="BJ3" s="54">
        <f t="shared" ref="BJ3:BJ22" si="3">SUM(BF3:BI3)</f>
        <v>0</v>
      </c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4">
        <f t="shared" ref="BZ3:BZ22" si="4">SUM(BK3:BY3)</f>
        <v>0</v>
      </c>
      <c r="CA3" s="53"/>
      <c r="CB3" s="53"/>
      <c r="CC3" s="53"/>
      <c r="CD3" s="53"/>
      <c r="CE3" s="53"/>
      <c r="CF3" s="53"/>
      <c r="CG3" s="54">
        <f t="shared" ref="CG3:CG22" si="5">SUM(CA3:CF3)</f>
        <v>0</v>
      </c>
      <c r="CH3" s="53"/>
      <c r="CI3" s="54">
        <f t="shared" ref="CI3:CI22" si="6">SUM(CH3:CH3)</f>
        <v>0</v>
      </c>
      <c r="CJ3" s="53"/>
      <c r="CK3" s="53"/>
      <c r="CL3" s="54">
        <f t="shared" ref="CL3:CL22" si="7">SUM(CJ3:CK3)</f>
        <v>0</v>
      </c>
      <c r="CM3" s="55">
        <f>V3+AV3+BC3+BE3+BJ3+BZ3+CG3+CI3</f>
        <v>0</v>
      </c>
    </row>
    <row r="4" spans="1:91" ht="15" x14ac:dyDescent="0.25">
      <c r="A4" s="4" t="s">
        <v>129</v>
      </c>
      <c r="B4" s="52">
        <v>2002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4">
        <f t="shared" si="0"/>
        <v>0</v>
      </c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4">
        <f t="shared" si="1"/>
        <v>0</v>
      </c>
      <c r="AW4" s="53"/>
      <c r="AX4" s="53"/>
      <c r="AY4" s="53"/>
      <c r="AZ4" s="53"/>
      <c r="BA4" s="53"/>
      <c r="BB4" s="53"/>
      <c r="BC4" s="54">
        <f t="shared" si="2"/>
        <v>0</v>
      </c>
      <c r="BD4" s="53"/>
      <c r="BE4" s="54">
        <f t="shared" ref="BE4:BE23" si="8">SUM(BD4:BD4)</f>
        <v>0</v>
      </c>
      <c r="BF4" s="53"/>
      <c r="BG4" s="53"/>
      <c r="BH4" s="53"/>
      <c r="BI4" s="53"/>
      <c r="BJ4" s="54">
        <f t="shared" si="3"/>
        <v>0</v>
      </c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4">
        <f t="shared" si="4"/>
        <v>0</v>
      </c>
      <c r="CA4" s="53"/>
      <c r="CB4" s="53"/>
      <c r="CC4" s="53"/>
      <c r="CD4" s="53"/>
      <c r="CE4" s="53"/>
      <c r="CF4" s="53"/>
      <c r="CG4" s="54">
        <f t="shared" si="5"/>
        <v>0</v>
      </c>
      <c r="CH4" s="53"/>
      <c r="CI4" s="54">
        <f t="shared" si="6"/>
        <v>0</v>
      </c>
      <c r="CJ4" s="53"/>
      <c r="CK4" s="53"/>
      <c r="CL4" s="54">
        <f t="shared" si="7"/>
        <v>0</v>
      </c>
      <c r="CM4" s="55">
        <f t="shared" ref="CM4:CM23" si="9">V4+AV4+BC4+BE4+BJ4+BZ4+CG4+CI4</f>
        <v>0</v>
      </c>
    </row>
    <row r="5" spans="1:91" ht="15" x14ac:dyDescent="0.25">
      <c r="A5" s="4" t="s">
        <v>129</v>
      </c>
      <c r="B5" s="52">
        <v>2003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4">
        <f t="shared" si="0"/>
        <v>0</v>
      </c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4">
        <f t="shared" si="1"/>
        <v>0</v>
      </c>
      <c r="AW5" s="53"/>
      <c r="AX5" s="53"/>
      <c r="AY5" s="53"/>
      <c r="AZ5" s="53"/>
      <c r="BA5" s="53"/>
      <c r="BB5" s="53"/>
      <c r="BC5" s="54">
        <f t="shared" si="2"/>
        <v>0</v>
      </c>
      <c r="BD5" s="53"/>
      <c r="BE5" s="54">
        <f t="shared" si="8"/>
        <v>0</v>
      </c>
      <c r="BF5" s="53"/>
      <c r="BG5" s="53"/>
      <c r="BH5" s="53"/>
      <c r="BI5" s="53"/>
      <c r="BJ5" s="54">
        <f t="shared" si="3"/>
        <v>0</v>
      </c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4">
        <f t="shared" si="4"/>
        <v>0</v>
      </c>
      <c r="CA5" s="53"/>
      <c r="CB5" s="53"/>
      <c r="CC5" s="53"/>
      <c r="CD5" s="53"/>
      <c r="CE5" s="53"/>
      <c r="CF5" s="53"/>
      <c r="CG5" s="54">
        <f t="shared" si="5"/>
        <v>0</v>
      </c>
      <c r="CH5" s="53"/>
      <c r="CI5" s="54">
        <f t="shared" si="6"/>
        <v>0</v>
      </c>
      <c r="CJ5" s="53"/>
      <c r="CK5" s="53"/>
      <c r="CL5" s="54">
        <f t="shared" si="7"/>
        <v>0</v>
      </c>
      <c r="CM5" s="55">
        <f t="shared" si="9"/>
        <v>0</v>
      </c>
    </row>
    <row r="6" spans="1:91" ht="15" x14ac:dyDescent="0.25">
      <c r="A6" s="4" t="s">
        <v>129</v>
      </c>
      <c r="B6" s="52">
        <v>2004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4">
        <f t="shared" si="0"/>
        <v>0</v>
      </c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4">
        <f t="shared" si="1"/>
        <v>0</v>
      </c>
      <c r="AW6" s="53"/>
      <c r="AX6" s="53"/>
      <c r="AY6" s="53"/>
      <c r="AZ6" s="53"/>
      <c r="BA6" s="53"/>
      <c r="BB6" s="53"/>
      <c r="BC6" s="54">
        <f t="shared" si="2"/>
        <v>0</v>
      </c>
      <c r="BD6" s="53"/>
      <c r="BE6" s="54">
        <f t="shared" si="8"/>
        <v>0</v>
      </c>
      <c r="BF6" s="53"/>
      <c r="BG6" s="53"/>
      <c r="BH6" s="53"/>
      <c r="BI6" s="53"/>
      <c r="BJ6" s="54">
        <f t="shared" si="3"/>
        <v>0</v>
      </c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4">
        <f t="shared" si="4"/>
        <v>0</v>
      </c>
      <c r="CA6" s="53"/>
      <c r="CB6" s="53"/>
      <c r="CC6" s="53"/>
      <c r="CD6" s="53"/>
      <c r="CE6" s="53"/>
      <c r="CF6" s="53"/>
      <c r="CG6" s="54">
        <f t="shared" si="5"/>
        <v>0</v>
      </c>
      <c r="CH6" s="53"/>
      <c r="CI6" s="54">
        <f t="shared" si="6"/>
        <v>0</v>
      </c>
      <c r="CJ6" s="53"/>
      <c r="CK6" s="53"/>
      <c r="CL6" s="54">
        <f t="shared" si="7"/>
        <v>0</v>
      </c>
      <c r="CM6" s="55">
        <f t="shared" si="9"/>
        <v>0</v>
      </c>
    </row>
    <row r="7" spans="1:91" ht="15" x14ac:dyDescent="0.25">
      <c r="A7" s="4" t="s">
        <v>129</v>
      </c>
      <c r="B7" s="52">
        <v>2005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4">
        <f t="shared" si="0"/>
        <v>0</v>
      </c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4">
        <f t="shared" si="1"/>
        <v>0</v>
      </c>
      <c r="AW7" s="53"/>
      <c r="AX7" s="53"/>
      <c r="AY7" s="53"/>
      <c r="AZ7" s="53"/>
      <c r="BA7" s="53"/>
      <c r="BB7" s="53"/>
      <c r="BC7" s="54">
        <f t="shared" si="2"/>
        <v>0</v>
      </c>
      <c r="BD7" s="53"/>
      <c r="BE7" s="54">
        <f t="shared" si="8"/>
        <v>0</v>
      </c>
      <c r="BF7" s="53"/>
      <c r="BG7" s="53"/>
      <c r="BH7" s="53"/>
      <c r="BI7" s="53"/>
      <c r="BJ7" s="54">
        <f t="shared" si="3"/>
        <v>0</v>
      </c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4">
        <f t="shared" si="4"/>
        <v>0</v>
      </c>
      <c r="CA7" s="53"/>
      <c r="CB7" s="53"/>
      <c r="CC7" s="53"/>
      <c r="CD7" s="53"/>
      <c r="CE7" s="53"/>
      <c r="CF7" s="53"/>
      <c r="CG7" s="54">
        <f t="shared" si="5"/>
        <v>0</v>
      </c>
      <c r="CH7" s="53"/>
      <c r="CI7" s="54">
        <f t="shared" si="6"/>
        <v>0</v>
      </c>
      <c r="CJ7" s="53"/>
      <c r="CK7" s="53"/>
      <c r="CL7" s="54">
        <f t="shared" si="7"/>
        <v>0</v>
      </c>
      <c r="CM7" s="55">
        <f t="shared" si="9"/>
        <v>0</v>
      </c>
    </row>
    <row r="8" spans="1:91" ht="15" x14ac:dyDescent="0.25">
      <c r="A8" s="4" t="s">
        <v>129</v>
      </c>
      <c r="B8" s="52">
        <v>2006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4">
        <f t="shared" si="0"/>
        <v>0</v>
      </c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4">
        <f t="shared" si="1"/>
        <v>0</v>
      </c>
      <c r="AW8" s="53"/>
      <c r="AX8" s="53"/>
      <c r="AY8" s="53"/>
      <c r="AZ8" s="53"/>
      <c r="BA8" s="53"/>
      <c r="BB8" s="53"/>
      <c r="BC8" s="54">
        <f t="shared" si="2"/>
        <v>0</v>
      </c>
      <c r="BD8" s="53"/>
      <c r="BE8" s="54">
        <f t="shared" si="8"/>
        <v>0</v>
      </c>
      <c r="BF8" s="53"/>
      <c r="BG8" s="53"/>
      <c r="BH8" s="53"/>
      <c r="BI8" s="53"/>
      <c r="BJ8" s="54">
        <f t="shared" si="3"/>
        <v>0</v>
      </c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4">
        <f t="shared" si="4"/>
        <v>0</v>
      </c>
      <c r="CA8" s="53"/>
      <c r="CB8" s="53"/>
      <c r="CC8" s="53"/>
      <c r="CD8" s="53"/>
      <c r="CE8" s="53"/>
      <c r="CF8" s="53"/>
      <c r="CG8" s="54">
        <f t="shared" si="5"/>
        <v>0</v>
      </c>
      <c r="CH8" s="53"/>
      <c r="CI8" s="54">
        <f t="shared" si="6"/>
        <v>0</v>
      </c>
      <c r="CJ8" s="53"/>
      <c r="CK8" s="53"/>
      <c r="CL8" s="54">
        <f t="shared" si="7"/>
        <v>0</v>
      </c>
      <c r="CM8" s="55">
        <f t="shared" si="9"/>
        <v>0</v>
      </c>
    </row>
    <row r="9" spans="1:91" ht="15" x14ac:dyDescent="0.25">
      <c r="A9" s="4" t="s">
        <v>129</v>
      </c>
      <c r="B9" s="52">
        <v>2007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4">
        <f t="shared" si="0"/>
        <v>0</v>
      </c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4">
        <f t="shared" si="1"/>
        <v>0</v>
      </c>
      <c r="AW9" s="53"/>
      <c r="AX9" s="53"/>
      <c r="AY9" s="53"/>
      <c r="AZ9" s="53"/>
      <c r="BA9" s="53"/>
      <c r="BB9" s="53"/>
      <c r="BC9" s="54">
        <f t="shared" si="2"/>
        <v>0</v>
      </c>
      <c r="BD9" s="53"/>
      <c r="BE9" s="54">
        <f t="shared" si="8"/>
        <v>0</v>
      </c>
      <c r="BF9" s="53"/>
      <c r="BG9" s="53"/>
      <c r="BH9" s="53"/>
      <c r="BI9" s="53"/>
      <c r="BJ9" s="54">
        <f t="shared" si="3"/>
        <v>0</v>
      </c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4">
        <f t="shared" si="4"/>
        <v>0</v>
      </c>
      <c r="CA9" s="53"/>
      <c r="CB9" s="53"/>
      <c r="CC9" s="53"/>
      <c r="CD9" s="53"/>
      <c r="CE9" s="53"/>
      <c r="CF9" s="53"/>
      <c r="CG9" s="54">
        <f t="shared" si="5"/>
        <v>0</v>
      </c>
      <c r="CH9" s="53"/>
      <c r="CI9" s="54">
        <f t="shared" si="6"/>
        <v>0</v>
      </c>
      <c r="CJ9" s="53"/>
      <c r="CK9" s="53"/>
      <c r="CL9" s="54">
        <f t="shared" si="7"/>
        <v>0</v>
      </c>
      <c r="CM9" s="55">
        <f t="shared" si="9"/>
        <v>0</v>
      </c>
    </row>
    <row r="10" spans="1:91" ht="15" x14ac:dyDescent="0.25">
      <c r="A10" s="4" t="s">
        <v>129</v>
      </c>
      <c r="B10" s="52">
        <v>2008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4">
        <f t="shared" si="0"/>
        <v>0</v>
      </c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4">
        <f t="shared" si="1"/>
        <v>0</v>
      </c>
      <c r="AW10" s="53"/>
      <c r="AX10" s="53"/>
      <c r="AY10" s="53"/>
      <c r="AZ10" s="53"/>
      <c r="BA10" s="53"/>
      <c r="BB10" s="53"/>
      <c r="BC10" s="54">
        <f t="shared" si="2"/>
        <v>0</v>
      </c>
      <c r="BD10" s="53"/>
      <c r="BE10" s="54">
        <f t="shared" si="8"/>
        <v>0</v>
      </c>
      <c r="BF10" s="53"/>
      <c r="BG10" s="53"/>
      <c r="BH10" s="53"/>
      <c r="BI10" s="53"/>
      <c r="BJ10" s="54">
        <f t="shared" si="3"/>
        <v>0</v>
      </c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4">
        <f t="shared" si="4"/>
        <v>0</v>
      </c>
      <c r="CA10" s="53"/>
      <c r="CB10" s="53"/>
      <c r="CC10" s="53"/>
      <c r="CD10" s="53"/>
      <c r="CE10" s="53"/>
      <c r="CF10" s="53"/>
      <c r="CG10" s="54">
        <f t="shared" si="5"/>
        <v>0</v>
      </c>
      <c r="CH10" s="53"/>
      <c r="CI10" s="54">
        <f t="shared" si="6"/>
        <v>0</v>
      </c>
      <c r="CJ10" s="53"/>
      <c r="CK10" s="53"/>
      <c r="CL10" s="54">
        <f t="shared" si="7"/>
        <v>0</v>
      </c>
      <c r="CM10" s="55">
        <f t="shared" si="9"/>
        <v>0</v>
      </c>
    </row>
    <row r="11" spans="1:91" ht="15" x14ac:dyDescent="0.25">
      <c r="A11" s="4" t="s">
        <v>129</v>
      </c>
      <c r="B11" s="52">
        <v>2009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4">
        <f t="shared" si="0"/>
        <v>0</v>
      </c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4">
        <f t="shared" si="1"/>
        <v>0</v>
      </c>
      <c r="AW11" s="53"/>
      <c r="AX11" s="53"/>
      <c r="AY11" s="53"/>
      <c r="AZ11" s="53"/>
      <c r="BA11" s="53"/>
      <c r="BB11" s="53"/>
      <c r="BC11" s="54">
        <f t="shared" si="2"/>
        <v>0</v>
      </c>
      <c r="BD11" s="53"/>
      <c r="BE11" s="54">
        <f t="shared" si="8"/>
        <v>0</v>
      </c>
      <c r="BF11" s="53"/>
      <c r="BG11" s="53"/>
      <c r="BH11" s="53"/>
      <c r="BI11" s="53"/>
      <c r="BJ11" s="54">
        <f t="shared" si="3"/>
        <v>0</v>
      </c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4">
        <f t="shared" si="4"/>
        <v>0</v>
      </c>
      <c r="CA11" s="53"/>
      <c r="CB11" s="53"/>
      <c r="CC11" s="53"/>
      <c r="CD11" s="53"/>
      <c r="CE11" s="53"/>
      <c r="CF11" s="53"/>
      <c r="CG11" s="54">
        <f t="shared" si="5"/>
        <v>0</v>
      </c>
      <c r="CH11" s="53"/>
      <c r="CI11" s="54">
        <f t="shared" si="6"/>
        <v>0</v>
      </c>
      <c r="CJ11" s="53"/>
      <c r="CK11" s="53"/>
      <c r="CL11" s="54">
        <f t="shared" si="7"/>
        <v>0</v>
      </c>
      <c r="CM11" s="55">
        <f t="shared" si="9"/>
        <v>0</v>
      </c>
    </row>
    <row r="12" spans="1:91" ht="15" x14ac:dyDescent="0.25">
      <c r="A12" s="4" t="s">
        <v>129</v>
      </c>
      <c r="B12" s="52">
        <v>2010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4">
        <f t="shared" si="0"/>
        <v>0</v>
      </c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4">
        <f t="shared" si="1"/>
        <v>0</v>
      </c>
      <c r="AW12" s="53"/>
      <c r="AX12" s="53"/>
      <c r="AY12" s="53"/>
      <c r="AZ12" s="53"/>
      <c r="BA12" s="53"/>
      <c r="BB12" s="53"/>
      <c r="BC12" s="54">
        <f t="shared" si="2"/>
        <v>0</v>
      </c>
      <c r="BD12" s="53"/>
      <c r="BE12" s="54">
        <f t="shared" si="8"/>
        <v>0</v>
      </c>
      <c r="BF12" s="53"/>
      <c r="BG12" s="53"/>
      <c r="BH12" s="53"/>
      <c r="BI12" s="53"/>
      <c r="BJ12" s="54">
        <f t="shared" si="3"/>
        <v>0</v>
      </c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4">
        <f t="shared" si="4"/>
        <v>0</v>
      </c>
      <c r="CA12" s="53"/>
      <c r="CB12" s="53"/>
      <c r="CC12" s="53"/>
      <c r="CD12" s="53"/>
      <c r="CE12" s="53"/>
      <c r="CF12" s="53"/>
      <c r="CG12" s="54">
        <f t="shared" si="5"/>
        <v>0</v>
      </c>
      <c r="CH12" s="53"/>
      <c r="CI12" s="54">
        <f t="shared" si="6"/>
        <v>0</v>
      </c>
      <c r="CJ12" s="53"/>
      <c r="CK12" s="53"/>
      <c r="CL12" s="54">
        <f t="shared" si="7"/>
        <v>0</v>
      </c>
      <c r="CM12" s="55">
        <f t="shared" si="9"/>
        <v>0</v>
      </c>
    </row>
    <row r="13" spans="1:91" ht="15" x14ac:dyDescent="0.25">
      <c r="A13" s="4" t="s">
        <v>129</v>
      </c>
      <c r="B13" s="52">
        <v>2011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4">
        <f t="shared" si="0"/>
        <v>0</v>
      </c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4">
        <f t="shared" si="1"/>
        <v>0</v>
      </c>
      <c r="AW13" s="53"/>
      <c r="AX13" s="53"/>
      <c r="AY13" s="53"/>
      <c r="AZ13" s="53"/>
      <c r="BA13" s="53"/>
      <c r="BB13" s="53"/>
      <c r="BC13" s="54">
        <f t="shared" si="2"/>
        <v>0</v>
      </c>
      <c r="BD13" s="53"/>
      <c r="BE13" s="54">
        <f t="shared" si="8"/>
        <v>0</v>
      </c>
      <c r="BF13" s="53"/>
      <c r="BG13" s="53"/>
      <c r="BH13" s="53"/>
      <c r="BI13" s="53"/>
      <c r="BJ13" s="54">
        <f t="shared" si="3"/>
        <v>0</v>
      </c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4">
        <f t="shared" si="4"/>
        <v>0</v>
      </c>
      <c r="CA13" s="53"/>
      <c r="CB13" s="53"/>
      <c r="CC13" s="53"/>
      <c r="CD13" s="53"/>
      <c r="CE13" s="53"/>
      <c r="CF13" s="53"/>
      <c r="CG13" s="54">
        <f t="shared" si="5"/>
        <v>0</v>
      </c>
      <c r="CH13" s="53"/>
      <c r="CI13" s="54">
        <f t="shared" si="6"/>
        <v>0</v>
      </c>
      <c r="CJ13" s="53"/>
      <c r="CK13" s="53"/>
      <c r="CL13" s="54">
        <f t="shared" si="7"/>
        <v>0</v>
      </c>
      <c r="CM13" s="55">
        <f t="shared" si="9"/>
        <v>0</v>
      </c>
    </row>
    <row r="14" spans="1:91" ht="15" x14ac:dyDescent="0.25">
      <c r="A14" s="4" t="s">
        <v>129</v>
      </c>
      <c r="B14" s="52">
        <v>2012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4">
        <f t="shared" si="0"/>
        <v>0</v>
      </c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4">
        <f t="shared" si="1"/>
        <v>0</v>
      </c>
      <c r="AW14" s="53"/>
      <c r="AX14" s="53"/>
      <c r="AY14" s="53"/>
      <c r="AZ14" s="53"/>
      <c r="BA14" s="53"/>
      <c r="BB14" s="53"/>
      <c r="BC14" s="54">
        <f t="shared" si="2"/>
        <v>0</v>
      </c>
      <c r="BD14" s="53"/>
      <c r="BE14" s="54">
        <f t="shared" si="8"/>
        <v>0</v>
      </c>
      <c r="BF14" s="53"/>
      <c r="BG14" s="53"/>
      <c r="BH14" s="53"/>
      <c r="BI14" s="53"/>
      <c r="BJ14" s="54">
        <f t="shared" si="3"/>
        <v>0</v>
      </c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4">
        <f t="shared" si="4"/>
        <v>0</v>
      </c>
      <c r="CA14" s="53"/>
      <c r="CB14" s="53"/>
      <c r="CC14" s="53"/>
      <c r="CD14" s="53"/>
      <c r="CE14" s="53"/>
      <c r="CF14" s="53"/>
      <c r="CG14" s="54">
        <f t="shared" si="5"/>
        <v>0</v>
      </c>
      <c r="CH14" s="53"/>
      <c r="CI14" s="54">
        <f t="shared" si="6"/>
        <v>0</v>
      </c>
      <c r="CJ14" s="53"/>
      <c r="CK14" s="53"/>
      <c r="CL14" s="54">
        <f t="shared" si="7"/>
        <v>0</v>
      </c>
      <c r="CM14" s="55">
        <f t="shared" si="9"/>
        <v>0</v>
      </c>
    </row>
    <row r="15" spans="1:91" ht="15" x14ac:dyDescent="0.25">
      <c r="A15" s="4" t="s">
        <v>129</v>
      </c>
      <c r="B15" s="52">
        <v>2013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4">
        <f t="shared" si="0"/>
        <v>0</v>
      </c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4">
        <f t="shared" si="1"/>
        <v>0</v>
      </c>
      <c r="AW15" s="53"/>
      <c r="AX15" s="53"/>
      <c r="AY15" s="53"/>
      <c r="AZ15" s="53"/>
      <c r="BA15" s="53"/>
      <c r="BB15" s="53"/>
      <c r="BC15" s="54">
        <f t="shared" si="2"/>
        <v>0</v>
      </c>
      <c r="BD15" s="53"/>
      <c r="BE15" s="54">
        <f t="shared" si="8"/>
        <v>0</v>
      </c>
      <c r="BF15" s="53"/>
      <c r="BG15" s="53"/>
      <c r="BH15" s="53"/>
      <c r="BI15" s="53"/>
      <c r="BJ15" s="54">
        <f t="shared" si="3"/>
        <v>0</v>
      </c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4">
        <f t="shared" si="4"/>
        <v>0</v>
      </c>
      <c r="CA15" s="53"/>
      <c r="CB15" s="53"/>
      <c r="CC15" s="53"/>
      <c r="CD15" s="53"/>
      <c r="CE15" s="53"/>
      <c r="CF15" s="53"/>
      <c r="CG15" s="54">
        <f t="shared" si="5"/>
        <v>0</v>
      </c>
      <c r="CH15" s="53"/>
      <c r="CI15" s="54">
        <f t="shared" si="6"/>
        <v>0</v>
      </c>
      <c r="CJ15" s="53"/>
      <c r="CK15" s="53"/>
      <c r="CL15" s="54">
        <f t="shared" si="7"/>
        <v>0</v>
      </c>
      <c r="CM15" s="55">
        <f t="shared" si="9"/>
        <v>0</v>
      </c>
    </row>
    <row r="16" spans="1:91" ht="15" x14ac:dyDescent="0.25">
      <c r="A16" s="4" t="s">
        <v>129</v>
      </c>
      <c r="B16" s="52">
        <v>2014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4">
        <f t="shared" si="0"/>
        <v>0</v>
      </c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4">
        <f t="shared" si="1"/>
        <v>0</v>
      </c>
      <c r="AW16" s="53"/>
      <c r="AX16" s="53"/>
      <c r="AY16" s="53"/>
      <c r="AZ16" s="53"/>
      <c r="BA16" s="53"/>
      <c r="BB16" s="53"/>
      <c r="BC16" s="54">
        <f t="shared" si="2"/>
        <v>0</v>
      </c>
      <c r="BD16" s="53"/>
      <c r="BE16" s="54">
        <f t="shared" si="8"/>
        <v>0</v>
      </c>
      <c r="BF16" s="53"/>
      <c r="BG16" s="53"/>
      <c r="BH16" s="53"/>
      <c r="BI16" s="53"/>
      <c r="BJ16" s="54">
        <f t="shared" si="3"/>
        <v>0</v>
      </c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4">
        <f t="shared" si="4"/>
        <v>0</v>
      </c>
      <c r="CA16" s="53"/>
      <c r="CB16" s="53"/>
      <c r="CC16" s="53"/>
      <c r="CD16" s="53"/>
      <c r="CE16" s="53"/>
      <c r="CF16" s="53"/>
      <c r="CG16" s="54">
        <f t="shared" si="5"/>
        <v>0</v>
      </c>
      <c r="CH16" s="53"/>
      <c r="CI16" s="54">
        <f t="shared" si="6"/>
        <v>0</v>
      </c>
      <c r="CJ16" s="53"/>
      <c r="CK16" s="53"/>
      <c r="CL16" s="54">
        <f t="shared" si="7"/>
        <v>0</v>
      </c>
      <c r="CM16" s="55">
        <f t="shared" si="9"/>
        <v>0</v>
      </c>
    </row>
    <row r="17" spans="1:116" ht="15" x14ac:dyDescent="0.25">
      <c r="A17" s="4" t="s">
        <v>129</v>
      </c>
      <c r="B17" s="52">
        <v>2015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4">
        <f t="shared" si="0"/>
        <v>0</v>
      </c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4">
        <f t="shared" si="1"/>
        <v>0</v>
      </c>
      <c r="AW17" s="53"/>
      <c r="AX17" s="53"/>
      <c r="AY17" s="53"/>
      <c r="AZ17" s="53"/>
      <c r="BA17" s="53"/>
      <c r="BB17" s="53"/>
      <c r="BC17" s="54">
        <f t="shared" si="2"/>
        <v>0</v>
      </c>
      <c r="BD17" s="53"/>
      <c r="BE17" s="54">
        <f t="shared" si="8"/>
        <v>0</v>
      </c>
      <c r="BF17" s="53"/>
      <c r="BG17" s="53"/>
      <c r="BH17" s="53"/>
      <c r="BI17" s="53"/>
      <c r="BJ17" s="54">
        <f t="shared" si="3"/>
        <v>0</v>
      </c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4">
        <f t="shared" si="4"/>
        <v>0</v>
      </c>
      <c r="CA17" s="53"/>
      <c r="CB17" s="53"/>
      <c r="CC17" s="53"/>
      <c r="CD17" s="53"/>
      <c r="CE17" s="53"/>
      <c r="CF17" s="53"/>
      <c r="CG17" s="54">
        <f t="shared" si="5"/>
        <v>0</v>
      </c>
      <c r="CH17" s="53"/>
      <c r="CI17" s="54">
        <f t="shared" si="6"/>
        <v>0</v>
      </c>
      <c r="CJ17" s="53"/>
      <c r="CK17" s="53"/>
      <c r="CL17" s="54">
        <f t="shared" si="7"/>
        <v>0</v>
      </c>
      <c r="CM17" s="55">
        <f t="shared" si="9"/>
        <v>0</v>
      </c>
    </row>
    <row r="18" spans="1:116" ht="15" x14ac:dyDescent="0.25">
      <c r="A18" s="4" t="s">
        <v>129</v>
      </c>
      <c r="B18" s="52">
        <v>2016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4">
        <f t="shared" si="0"/>
        <v>0</v>
      </c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4">
        <f t="shared" si="1"/>
        <v>0</v>
      </c>
      <c r="AW18" s="53"/>
      <c r="AX18" s="53"/>
      <c r="AY18" s="53"/>
      <c r="AZ18" s="53"/>
      <c r="BA18" s="53"/>
      <c r="BB18" s="53"/>
      <c r="BC18" s="54">
        <f t="shared" si="2"/>
        <v>0</v>
      </c>
      <c r="BD18" s="53"/>
      <c r="BE18" s="54">
        <f t="shared" si="8"/>
        <v>0</v>
      </c>
      <c r="BF18" s="53"/>
      <c r="BG18" s="53"/>
      <c r="BH18" s="53"/>
      <c r="BI18" s="53"/>
      <c r="BJ18" s="54">
        <f t="shared" si="3"/>
        <v>0</v>
      </c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4">
        <f t="shared" si="4"/>
        <v>0</v>
      </c>
      <c r="CA18" s="53"/>
      <c r="CB18" s="53"/>
      <c r="CC18" s="53"/>
      <c r="CD18" s="53"/>
      <c r="CE18" s="53"/>
      <c r="CF18" s="53"/>
      <c r="CG18" s="54">
        <f t="shared" si="5"/>
        <v>0</v>
      </c>
      <c r="CH18" s="53"/>
      <c r="CI18" s="54">
        <f t="shared" si="6"/>
        <v>0</v>
      </c>
      <c r="CJ18" s="53"/>
      <c r="CK18" s="53"/>
      <c r="CL18" s="54">
        <f t="shared" si="7"/>
        <v>0</v>
      </c>
      <c r="CM18" s="55">
        <f t="shared" si="9"/>
        <v>0</v>
      </c>
    </row>
    <row r="19" spans="1:116" ht="15" x14ac:dyDescent="0.25">
      <c r="A19" s="4" t="s">
        <v>129</v>
      </c>
      <c r="B19" s="52">
        <v>2017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4">
        <f t="shared" si="0"/>
        <v>0</v>
      </c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4">
        <f t="shared" si="1"/>
        <v>0</v>
      </c>
      <c r="AW19" s="53"/>
      <c r="AX19" s="53"/>
      <c r="AY19" s="53"/>
      <c r="AZ19" s="53"/>
      <c r="BA19" s="53"/>
      <c r="BB19" s="53"/>
      <c r="BC19" s="54">
        <f t="shared" si="2"/>
        <v>0</v>
      </c>
      <c r="BD19" s="53"/>
      <c r="BE19" s="54">
        <f t="shared" si="8"/>
        <v>0</v>
      </c>
      <c r="BF19" s="53"/>
      <c r="BG19" s="53"/>
      <c r="BH19" s="53"/>
      <c r="BI19" s="53"/>
      <c r="BJ19" s="54">
        <f t="shared" si="3"/>
        <v>0</v>
      </c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4">
        <f t="shared" si="4"/>
        <v>0</v>
      </c>
      <c r="CA19" s="53"/>
      <c r="CB19" s="53"/>
      <c r="CC19" s="53"/>
      <c r="CD19" s="53"/>
      <c r="CE19" s="53"/>
      <c r="CF19" s="53"/>
      <c r="CG19" s="54">
        <f t="shared" si="5"/>
        <v>0</v>
      </c>
      <c r="CH19" s="53"/>
      <c r="CI19" s="54">
        <f t="shared" si="6"/>
        <v>0</v>
      </c>
      <c r="CJ19" s="53"/>
      <c r="CK19" s="53"/>
      <c r="CL19" s="54">
        <f t="shared" si="7"/>
        <v>0</v>
      </c>
      <c r="CM19" s="55">
        <f t="shared" si="9"/>
        <v>0</v>
      </c>
    </row>
    <row r="20" spans="1:116" ht="15" x14ac:dyDescent="0.25">
      <c r="A20" s="4" t="s">
        <v>129</v>
      </c>
      <c r="B20" s="52">
        <v>2018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4">
        <f t="shared" si="0"/>
        <v>0</v>
      </c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4">
        <f t="shared" si="1"/>
        <v>0</v>
      </c>
      <c r="AW20" s="53"/>
      <c r="AX20" s="53"/>
      <c r="AY20" s="53"/>
      <c r="AZ20" s="53"/>
      <c r="BA20" s="53"/>
      <c r="BB20" s="53"/>
      <c r="BC20" s="54">
        <f t="shared" si="2"/>
        <v>0</v>
      </c>
      <c r="BD20" s="53"/>
      <c r="BE20" s="54">
        <f t="shared" si="8"/>
        <v>0</v>
      </c>
      <c r="BF20" s="53"/>
      <c r="BG20" s="53"/>
      <c r="BH20" s="53"/>
      <c r="BI20" s="53"/>
      <c r="BJ20" s="54">
        <f t="shared" si="3"/>
        <v>0</v>
      </c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4">
        <f t="shared" si="4"/>
        <v>0</v>
      </c>
      <c r="CA20" s="53"/>
      <c r="CB20" s="53"/>
      <c r="CC20" s="53"/>
      <c r="CD20" s="53"/>
      <c r="CE20" s="53"/>
      <c r="CF20" s="53"/>
      <c r="CG20" s="54">
        <f t="shared" si="5"/>
        <v>0</v>
      </c>
      <c r="CH20" s="53"/>
      <c r="CI20" s="54">
        <f t="shared" si="6"/>
        <v>0</v>
      </c>
      <c r="CJ20" s="53"/>
      <c r="CK20" s="53"/>
      <c r="CL20" s="54">
        <f t="shared" si="7"/>
        <v>0</v>
      </c>
      <c r="CM20" s="55">
        <f t="shared" si="9"/>
        <v>0</v>
      </c>
    </row>
    <row r="21" spans="1:116" ht="15" x14ac:dyDescent="0.25">
      <c r="A21" s="4" t="s">
        <v>129</v>
      </c>
      <c r="B21" s="52">
        <v>2019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4">
        <f t="shared" si="0"/>
        <v>0</v>
      </c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4">
        <f t="shared" si="1"/>
        <v>0</v>
      </c>
      <c r="AW21" s="53"/>
      <c r="AX21" s="53"/>
      <c r="AY21" s="53"/>
      <c r="AZ21" s="53"/>
      <c r="BA21" s="53"/>
      <c r="BB21" s="53"/>
      <c r="BC21" s="54">
        <f t="shared" si="2"/>
        <v>0</v>
      </c>
      <c r="BD21" s="53"/>
      <c r="BE21" s="54">
        <f t="shared" si="8"/>
        <v>0</v>
      </c>
      <c r="BF21" s="53"/>
      <c r="BG21" s="53"/>
      <c r="BH21" s="53"/>
      <c r="BI21" s="53"/>
      <c r="BJ21" s="54">
        <f t="shared" si="3"/>
        <v>0</v>
      </c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4">
        <f t="shared" si="4"/>
        <v>0</v>
      </c>
      <c r="CA21" s="53"/>
      <c r="CB21" s="53"/>
      <c r="CC21" s="53"/>
      <c r="CD21" s="53"/>
      <c r="CE21" s="53"/>
      <c r="CF21" s="53"/>
      <c r="CG21" s="54">
        <f t="shared" si="5"/>
        <v>0</v>
      </c>
      <c r="CH21" s="53"/>
      <c r="CI21" s="54">
        <f t="shared" si="6"/>
        <v>0</v>
      </c>
      <c r="CJ21" s="53"/>
      <c r="CK21" s="53"/>
      <c r="CL21" s="54">
        <f t="shared" si="7"/>
        <v>0</v>
      </c>
      <c r="CM21" s="55">
        <f t="shared" si="9"/>
        <v>0</v>
      </c>
    </row>
    <row r="22" spans="1:116" ht="15" x14ac:dyDescent="0.25">
      <c r="A22" s="4" t="s">
        <v>129</v>
      </c>
      <c r="B22" s="52">
        <v>2020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4">
        <f t="shared" si="0"/>
        <v>0</v>
      </c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4">
        <f t="shared" si="1"/>
        <v>0</v>
      </c>
      <c r="AW22" s="53"/>
      <c r="AX22" s="53"/>
      <c r="AY22" s="53"/>
      <c r="AZ22" s="53"/>
      <c r="BA22" s="53"/>
      <c r="BB22" s="53"/>
      <c r="BC22" s="54">
        <f t="shared" si="2"/>
        <v>0</v>
      </c>
      <c r="BD22" s="53"/>
      <c r="BE22" s="54">
        <f t="shared" si="8"/>
        <v>0</v>
      </c>
      <c r="BF22" s="53"/>
      <c r="BG22" s="53"/>
      <c r="BH22" s="53"/>
      <c r="BI22" s="53"/>
      <c r="BJ22" s="54">
        <f t="shared" si="3"/>
        <v>0</v>
      </c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4">
        <f t="shared" si="4"/>
        <v>0</v>
      </c>
      <c r="CA22" s="53"/>
      <c r="CB22" s="53"/>
      <c r="CC22" s="53"/>
      <c r="CD22" s="53"/>
      <c r="CE22" s="53"/>
      <c r="CF22" s="53"/>
      <c r="CG22" s="54">
        <f t="shared" si="5"/>
        <v>0</v>
      </c>
      <c r="CH22" s="53"/>
      <c r="CI22" s="54">
        <f t="shared" si="6"/>
        <v>0</v>
      </c>
      <c r="CJ22" s="53"/>
      <c r="CK22" s="53"/>
      <c r="CL22" s="54">
        <f t="shared" si="7"/>
        <v>0</v>
      </c>
      <c r="CM22" s="55">
        <f t="shared" si="9"/>
        <v>0</v>
      </c>
    </row>
    <row r="23" spans="1:116" s="60" customFormat="1" ht="15" x14ac:dyDescent="0.25">
      <c r="A23" s="4" t="s">
        <v>129</v>
      </c>
      <c r="B23" s="52">
        <v>2021</v>
      </c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7"/>
      <c r="P23" s="56"/>
      <c r="Q23" s="56"/>
      <c r="R23" s="56"/>
      <c r="S23" s="56"/>
      <c r="T23" s="56"/>
      <c r="U23" s="56"/>
      <c r="V23" s="58">
        <f>SUM(C23:U23)</f>
        <v>0</v>
      </c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8">
        <f>SUM(W23:AU23)</f>
        <v>0</v>
      </c>
      <c r="AW23" s="56"/>
      <c r="AX23" s="56"/>
      <c r="AY23" s="56"/>
      <c r="AZ23" s="56"/>
      <c r="BA23" s="56"/>
      <c r="BB23" s="56"/>
      <c r="BC23" s="58">
        <f>SUM(AW23:BB23)</f>
        <v>0</v>
      </c>
      <c r="BD23" s="56"/>
      <c r="BE23" s="58">
        <f t="shared" si="8"/>
        <v>0</v>
      </c>
      <c r="BF23" s="56"/>
      <c r="BG23" s="56"/>
      <c r="BH23" s="56"/>
      <c r="BI23" s="56"/>
      <c r="BJ23" s="58">
        <f>SUM(BF23:BI23)</f>
        <v>0</v>
      </c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8">
        <f>SUM(BK23:BY23)</f>
        <v>0</v>
      </c>
      <c r="CA23" s="56"/>
      <c r="CB23" s="56"/>
      <c r="CC23" s="56"/>
      <c r="CD23" s="56"/>
      <c r="CE23" s="56"/>
      <c r="CF23" s="56"/>
      <c r="CG23" s="58">
        <f>SUM(CA23:CF23)</f>
        <v>0</v>
      </c>
      <c r="CH23" s="56"/>
      <c r="CI23" s="58">
        <f>SUM(CH23:CH23)</f>
        <v>0</v>
      </c>
      <c r="CJ23" s="56"/>
      <c r="CK23" s="56"/>
      <c r="CL23" s="58">
        <f>SUM(CJ23:CK23)</f>
        <v>0</v>
      </c>
      <c r="CM23" s="59">
        <f t="shared" si="9"/>
        <v>0</v>
      </c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F23" s="52"/>
      <c r="DG23" s="52"/>
      <c r="DH23" s="52"/>
      <c r="DI23" s="52"/>
      <c r="DJ23" s="52"/>
      <c r="DK23" s="52"/>
      <c r="DL23" s="52"/>
    </row>
    <row r="24" spans="1:116" ht="15" x14ac:dyDescent="0.25">
      <c r="A24" s="61"/>
      <c r="B24" s="52"/>
      <c r="C24" s="61"/>
      <c r="D24" s="61"/>
      <c r="E24" s="62"/>
      <c r="F24" s="61"/>
      <c r="G24" s="61"/>
      <c r="H24" s="62"/>
      <c r="I24" s="61"/>
      <c r="J24" s="61"/>
      <c r="K24" s="61"/>
      <c r="L24" s="61"/>
      <c r="M24" s="61"/>
      <c r="N24" s="61"/>
      <c r="O24" s="63"/>
      <c r="P24" s="61"/>
      <c r="Q24" s="61"/>
      <c r="R24" s="61"/>
      <c r="S24" s="61"/>
      <c r="T24" s="61"/>
      <c r="U24" s="61"/>
      <c r="V24" s="61"/>
      <c r="W24" s="61"/>
      <c r="X24" s="61"/>
      <c r="Y24" s="62"/>
      <c r="Z24" s="61"/>
      <c r="AA24" s="61"/>
      <c r="AB24" s="61"/>
      <c r="AC24" s="61"/>
      <c r="AD24" s="61"/>
    </row>
    <row r="25" spans="1:116" ht="15" x14ac:dyDescent="0.25">
      <c r="A25" s="64" t="s">
        <v>161</v>
      </c>
      <c r="B25" s="52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</row>
    <row r="26" spans="1:116" ht="15" x14ac:dyDescent="0.25">
      <c r="A26" s="4" t="s">
        <v>129</v>
      </c>
      <c r="B26" s="52">
        <v>2001</v>
      </c>
      <c r="C26" s="61"/>
      <c r="D26" s="61"/>
      <c r="E26" s="61"/>
      <c r="F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</row>
    <row r="27" spans="1:116" ht="15" x14ac:dyDescent="0.25">
      <c r="A27" s="4" t="s">
        <v>129</v>
      </c>
      <c r="B27" s="52">
        <v>2002</v>
      </c>
      <c r="C27" s="61"/>
      <c r="D27" s="61"/>
      <c r="E27" s="61"/>
      <c r="F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</row>
    <row r="28" spans="1:116" ht="15" x14ac:dyDescent="0.25">
      <c r="A28" s="4" t="s">
        <v>129</v>
      </c>
      <c r="B28" s="52">
        <v>2003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</row>
    <row r="29" spans="1:116" ht="15" x14ac:dyDescent="0.25">
      <c r="A29" s="4" t="s">
        <v>129</v>
      </c>
      <c r="B29" s="52">
        <v>2004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</row>
    <row r="30" spans="1:116" ht="15" x14ac:dyDescent="0.25">
      <c r="A30" s="4" t="s">
        <v>129</v>
      </c>
      <c r="B30" s="52">
        <v>2005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</row>
    <row r="31" spans="1:116" ht="15" x14ac:dyDescent="0.25">
      <c r="A31" s="4" t="s">
        <v>129</v>
      </c>
      <c r="B31" s="52">
        <v>2006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</row>
    <row r="32" spans="1:116" ht="15" x14ac:dyDescent="0.25">
      <c r="A32" s="4" t="s">
        <v>129</v>
      </c>
      <c r="B32" s="52">
        <v>2007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</row>
    <row r="33" spans="1:30" ht="15" x14ac:dyDescent="0.25">
      <c r="A33" s="4" t="s">
        <v>129</v>
      </c>
      <c r="B33" s="52">
        <v>2008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</row>
    <row r="34" spans="1:30" ht="15" x14ac:dyDescent="0.25">
      <c r="A34" s="4" t="s">
        <v>129</v>
      </c>
      <c r="B34" s="52">
        <v>2009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</row>
    <row r="35" spans="1:30" ht="15" x14ac:dyDescent="0.25">
      <c r="A35" s="4" t="s">
        <v>129</v>
      </c>
      <c r="B35" s="52">
        <v>2010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</row>
    <row r="36" spans="1:30" ht="15" x14ac:dyDescent="0.25">
      <c r="A36" s="4" t="s">
        <v>129</v>
      </c>
      <c r="B36" s="52">
        <v>2011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</row>
    <row r="37" spans="1:30" ht="15" x14ac:dyDescent="0.25">
      <c r="A37" s="4" t="s">
        <v>129</v>
      </c>
      <c r="B37" s="52">
        <v>2012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</row>
    <row r="38" spans="1:30" ht="15" x14ac:dyDescent="0.25">
      <c r="A38" s="4" t="s">
        <v>129</v>
      </c>
      <c r="B38" s="52">
        <v>2013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</row>
    <row r="39" spans="1:30" ht="15" x14ac:dyDescent="0.25">
      <c r="A39" s="4" t="s">
        <v>129</v>
      </c>
      <c r="B39" s="52">
        <v>2014</v>
      </c>
      <c r="C39" s="61"/>
      <c r="D39" s="61"/>
      <c r="E39" s="61"/>
      <c r="F39" s="61"/>
      <c r="G39" s="61"/>
      <c r="H39" s="61"/>
      <c r="I39" s="61"/>
      <c r="J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</row>
    <row r="40" spans="1:30" ht="15" x14ac:dyDescent="0.25">
      <c r="A40" s="4" t="s">
        <v>129</v>
      </c>
      <c r="B40" s="52">
        <v>2015</v>
      </c>
      <c r="C40" s="61"/>
      <c r="D40" s="61"/>
      <c r="E40" s="61"/>
      <c r="F40" s="61"/>
      <c r="G40" s="61"/>
      <c r="H40" s="61"/>
      <c r="I40" s="61"/>
      <c r="J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</row>
    <row r="41" spans="1:30" ht="15" x14ac:dyDescent="0.25">
      <c r="A41" s="4" t="s">
        <v>129</v>
      </c>
      <c r="B41" s="52">
        <v>2016</v>
      </c>
      <c r="C41" s="61"/>
      <c r="D41" s="61"/>
      <c r="E41" s="61"/>
      <c r="F41" s="61"/>
      <c r="G41" s="61"/>
      <c r="H41" s="61"/>
      <c r="I41" s="61"/>
      <c r="J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</row>
    <row r="42" spans="1:30" ht="15" x14ac:dyDescent="0.25">
      <c r="A42" s="4" t="s">
        <v>129</v>
      </c>
      <c r="B42" s="52">
        <v>2017</v>
      </c>
      <c r="C42" s="61"/>
      <c r="D42" s="61"/>
      <c r="E42" s="61"/>
      <c r="F42" s="61"/>
      <c r="G42" s="61"/>
      <c r="H42" s="61"/>
      <c r="I42" s="61"/>
      <c r="J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</row>
    <row r="43" spans="1:30" ht="15" x14ac:dyDescent="0.25">
      <c r="A43" s="4" t="s">
        <v>129</v>
      </c>
      <c r="B43" s="52">
        <v>2018</v>
      </c>
      <c r="C43" s="61"/>
      <c r="D43" s="61"/>
      <c r="E43" s="61"/>
      <c r="F43" s="61"/>
      <c r="G43" s="61"/>
      <c r="H43" s="61"/>
      <c r="I43" s="61"/>
      <c r="J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</row>
    <row r="44" spans="1:30" ht="15" x14ac:dyDescent="0.25">
      <c r="A44" s="4" t="s">
        <v>129</v>
      </c>
      <c r="B44" s="52">
        <v>2019</v>
      </c>
      <c r="C44" s="61"/>
      <c r="D44" s="61"/>
      <c r="E44" s="61"/>
      <c r="F44" s="61"/>
      <c r="G44" s="61"/>
      <c r="H44" s="61"/>
      <c r="I44" s="61"/>
      <c r="J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</row>
    <row r="45" spans="1:30" ht="15" x14ac:dyDescent="0.25">
      <c r="A45" s="4" t="s">
        <v>129</v>
      </c>
      <c r="B45" s="52">
        <v>2020</v>
      </c>
      <c r="C45" s="61"/>
      <c r="D45" s="61"/>
      <c r="E45" s="61"/>
      <c r="F45" s="61"/>
      <c r="G45" s="61"/>
      <c r="H45" s="61"/>
      <c r="I45" s="61"/>
      <c r="J45" s="61"/>
      <c r="M45" s="61"/>
      <c r="N45" s="5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</row>
    <row r="46" spans="1:30" ht="15" x14ac:dyDescent="0.25">
      <c r="A46" s="4" t="s">
        <v>129</v>
      </c>
      <c r="B46" s="52">
        <v>2021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</row>
    <row r="47" spans="1:30" ht="15" x14ac:dyDescent="0.25">
      <c r="A47" s="61"/>
      <c r="B47" s="52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</row>
    <row r="48" spans="1:30" ht="15" x14ac:dyDescent="0.25">
      <c r="A48" s="61"/>
      <c r="B48" s="52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</row>
    <row r="49" spans="1:30" ht="15" x14ac:dyDescent="0.25">
      <c r="A49" s="61"/>
      <c r="B49" s="52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</row>
    <row r="50" spans="1:30" ht="15" x14ac:dyDescent="0.25">
      <c r="A50" s="61"/>
      <c r="B50" s="52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</row>
    <row r="51" spans="1:30" ht="15" x14ac:dyDescent="0.25">
      <c r="A51" s="61"/>
      <c r="B51" s="52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</row>
    <row r="52" spans="1:30" ht="15" x14ac:dyDescent="0.25">
      <c r="A52" s="61"/>
      <c r="B52" s="52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</row>
    <row r="53" spans="1:30" ht="15" x14ac:dyDescent="0.25">
      <c r="A53" s="61"/>
      <c r="B53" s="52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</row>
    <row r="54" spans="1:30" ht="15" x14ac:dyDescent="0.25">
      <c r="A54" s="61"/>
      <c r="B54" s="52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</row>
    <row r="55" spans="1:30" ht="15" x14ac:dyDescent="0.25">
      <c r="A55" s="61"/>
      <c r="B55" s="52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</row>
    <row r="56" spans="1:30" ht="15" x14ac:dyDescent="0.25">
      <c r="A56" s="61"/>
      <c r="B56" s="52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</row>
    <row r="57" spans="1:30" ht="15" x14ac:dyDescent="0.25">
      <c r="A57" s="61"/>
      <c r="B57" s="52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</row>
    <row r="58" spans="1:30" ht="15" x14ac:dyDescent="0.25">
      <c r="A58" s="61"/>
      <c r="B58" s="52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</row>
    <row r="59" spans="1:30" ht="15" x14ac:dyDescent="0.25">
      <c r="A59" s="61"/>
      <c r="B59" s="52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</row>
    <row r="60" spans="1:30" ht="15" x14ac:dyDescent="0.25">
      <c r="A60" s="61"/>
      <c r="B60" s="52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</row>
    <row r="61" spans="1:30" ht="15" x14ac:dyDescent="0.25">
      <c r="A61" s="61"/>
      <c r="B61" s="52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</row>
    <row r="62" spans="1:30" ht="15" x14ac:dyDescent="0.25">
      <c r="A62" s="61"/>
      <c r="B62" s="52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</row>
    <row r="63" spans="1:30" ht="15" x14ac:dyDescent="0.25">
      <c r="A63" s="61"/>
      <c r="B63" s="52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</row>
    <row r="64" spans="1:30" ht="15" x14ac:dyDescent="0.25">
      <c r="A64" s="61"/>
      <c r="B64" s="52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</row>
    <row r="65" spans="1:30" ht="15" x14ac:dyDescent="0.25">
      <c r="A65" s="61"/>
      <c r="B65" s="52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</row>
    <row r="66" spans="1:30" ht="15" x14ac:dyDescent="0.25">
      <c r="A66" s="61"/>
      <c r="B66" s="52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</row>
    <row r="67" spans="1:30" ht="15" x14ac:dyDescent="0.25">
      <c r="A67" s="61"/>
      <c r="B67" s="52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</row>
    <row r="68" spans="1:30" ht="15" x14ac:dyDescent="0.25">
      <c r="A68" s="61"/>
      <c r="B68" s="52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</row>
    <row r="69" spans="1:30" ht="15" x14ac:dyDescent="0.25">
      <c r="A69" s="61"/>
      <c r="B69" s="52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</row>
    <row r="70" spans="1:30" ht="15" x14ac:dyDescent="0.25">
      <c r="A70" s="61"/>
      <c r="B70" s="52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</row>
    <row r="71" spans="1:30" ht="15" x14ac:dyDescent="0.25">
      <c r="A71" s="61"/>
      <c r="B71" s="52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</row>
    <row r="72" spans="1:30" ht="15" x14ac:dyDescent="0.25">
      <c r="A72" s="61"/>
      <c r="B72" s="52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</row>
    <row r="73" spans="1:30" ht="15" x14ac:dyDescent="0.25">
      <c r="A73" s="61"/>
      <c r="B73" s="52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</row>
    <row r="74" spans="1:30" ht="15" x14ac:dyDescent="0.25">
      <c r="A74" s="61"/>
      <c r="B74" s="52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</row>
    <row r="75" spans="1:30" ht="15" x14ac:dyDescent="0.25">
      <c r="A75" s="61"/>
      <c r="B75" s="52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</row>
    <row r="76" spans="1:30" ht="15" x14ac:dyDescent="0.25">
      <c r="A76" s="61"/>
      <c r="B76" s="52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</row>
    <row r="77" spans="1:30" ht="15" x14ac:dyDescent="0.25">
      <c r="A77" s="61"/>
      <c r="B77" s="52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</row>
    <row r="78" spans="1:30" ht="15" x14ac:dyDescent="0.25">
      <c r="A78" s="61"/>
      <c r="B78" s="52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</row>
    <row r="79" spans="1:30" ht="15" x14ac:dyDescent="0.25">
      <c r="A79" s="61"/>
      <c r="B79" s="52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</row>
    <row r="80" spans="1:30" ht="15" x14ac:dyDescent="0.25">
      <c r="A80" s="61"/>
      <c r="B80" s="52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</row>
    <row r="81" spans="1:30" ht="15" x14ac:dyDescent="0.25">
      <c r="A81" s="61"/>
      <c r="B81" s="52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</row>
    <row r="82" spans="1:30" ht="15" x14ac:dyDescent="0.25">
      <c r="A82" s="61"/>
      <c r="B82" s="52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</row>
    <row r="83" spans="1:30" ht="15" x14ac:dyDescent="0.25">
      <c r="A83" s="61"/>
      <c r="B83" s="52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</row>
    <row r="84" spans="1:30" ht="15" x14ac:dyDescent="0.25">
      <c r="A84" s="61"/>
      <c r="B84" s="52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</row>
    <row r="85" spans="1:30" ht="15" x14ac:dyDescent="0.25">
      <c r="A85" s="61"/>
      <c r="B85" s="52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</row>
    <row r="86" spans="1:30" ht="15" x14ac:dyDescent="0.25">
      <c r="A86" s="61"/>
      <c r="B86" s="52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</row>
    <row r="87" spans="1:30" ht="15" x14ac:dyDescent="0.25">
      <c r="A87" s="61"/>
      <c r="B87" s="52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</row>
    <row r="88" spans="1:30" ht="15" x14ac:dyDescent="0.25">
      <c r="A88" s="61"/>
      <c r="B88" s="52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</row>
    <row r="89" spans="1:30" ht="15" x14ac:dyDescent="0.25">
      <c r="A89" s="61"/>
      <c r="B89" s="52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</row>
    <row r="90" spans="1:30" ht="15" x14ac:dyDescent="0.25">
      <c r="A90" s="61"/>
      <c r="B90" s="52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</row>
    <row r="91" spans="1:30" ht="15" x14ac:dyDescent="0.25">
      <c r="A91" s="61"/>
      <c r="B91" s="52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</row>
    <row r="92" spans="1:30" ht="15" x14ac:dyDescent="0.25">
      <c r="A92" s="61"/>
      <c r="B92" s="52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</row>
    <row r="93" spans="1:30" ht="15" x14ac:dyDescent="0.25">
      <c r="A93" s="61"/>
      <c r="B93" s="52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</row>
    <row r="94" spans="1:30" ht="15" x14ac:dyDescent="0.25">
      <c r="A94" s="61"/>
      <c r="B94" s="52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</row>
    <row r="95" spans="1:30" ht="15" x14ac:dyDescent="0.25">
      <c r="A95" s="61"/>
      <c r="B95" s="52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</row>
    <row r="96" spans="1:30" ht="15" x14ac:dyDescent="0.25">
      <c r="A96" s="61"/>
      <c r="B96" s="52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</row>
    <row r="97" spans="1:30" ht="15" x14ac:dyDescent="0.25">
      <c r="A97" s="61"/>
      <c r="B97" s="52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</row>
    <row r="98" spans="1:30" ht="15" x14ac:dyDescent="0.25">
      <c r="A98" s="6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</row>
    <row r="99" spans="1:30" ht="15" x14ac:dyDescent="0.25">
      <c r="A99" s="61"/>
      <c r="B99" s="52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</row>
    <row r="100" spans="1:30" ht="15" x14ac:dyDescent="0.25">
      <c r="A100" s="61"/>
      <c r="B100" s="52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</row>
    <row r="101" spans="1:30" ht="15" x14ac:dyDescent="0.25">
      <c r="A101" s="61"/>
      <c r="B101" s="52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</row>
    <row r="102" spans="1:30" ht="15" x14ac:dyDescent="0.25">
      <c r="A102" s="61"/>
      <c r="B102" s="52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</row>
    <row r="103" spans="1:30" ht="15" x14ac:dyDescent="0.25">
      <c r="A103" s="61"/>
      <c r="B103" s="52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</row>
    <row r="104" spans="1:30" ht="15" x14ac:dyDescent="0.25">
      <c r="A104" s="61"/>
      <c r="B104" s="52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</row>
    <row r="105" spans="1:30" ht="15" x14ac:dyDescent="0.25">
      <c r="A105" s="61"/>
      <c r="B105" s="52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</row>
    <row r="106" spans="1:30" ht="15" x14ac:dyDescent="0.25">
      <c r="A106" s="61"/>
      <c r="B106" s="52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</row>
    <row r="107" spans="1:30" ht="15" x14ac:dyDescent="0.25">
      <c r="A107" s="61"/>
      <c r="B107" s="52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</row>
    <row r="108" spans="1:30" ht="15" x14ac:dyDescent="0.25">
      <c r="A108" s="61"/>
      <c r="B108" s="52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</row>
    <row r="109" spans="1:30" ht="15" x14ac:dyDescent="0.25">
      <c r="A109" s="61"/>
      <c r="B109" s="52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</row>
    <row r="110" spans="1:30" ht="15" x14ac:dyDescent="0.25">
      <c r="A110" s="61"/>
      <c r="B110" s="52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</row>
    <row r="111" spans="1:30" ht="15" x14ac:dyDescent="0.25">
      <c r="A111" s="61"/>
      <c r="B111" s="52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</row>
    <row r="112" spans="1:30" ht="15" x14ac:dyDescent="0.25">
      <c r="A112" s="61"/>
      <c r="B112" s="52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</row>
    <row r="113" spans="1:30" ht="15" x14ac:dyDescent="0.25">
      <c r="A113" s="61"/>
      <c r="B113" s="52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</row>
    <row r="114" spans="1:30" ht="15" x14ac:dyDescent="0.25">
      <c r="A114" s="61"/>
      <c r="B114" s="52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</row>
    <row r="115" spans="1:30" ht="15" x14ac:dyDescent="0.25">
      <c r="A115" s="61"/>
      <c r="B115" s="52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</row>
    <row r="116" spans="1:30" ht="15" x14ac:dyDescent="0.25">
      <c r="A116" s="61"/>
      <c r="B116" s="52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</row>
    <row r="117" spans="1:30" ht="15" x14ac:dyDescent="0.25">
      <c r="A117" s="61"/>
      <c r="B117" s="52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</row>
    <row r="118" spans="1:30" ht="15" x14ac:dyDescent="0.25">
      <c r="A118" s="61"/>
      <c r="B118" s="52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</row>
    <row r="119" spans="1:30" ht="15" x14ac:dyDescent="0.25">
      <c r="A119" s="61"/>
      <c r="B119" s="52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</row>
    <row r="120" spans="1:30" ht="15" x14ac:dyDescent="0.25">
      <c r="A120" s="61"/>
      <c r="B120" s="52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</row>
    <row r="121" spans="1:30" ht="15" x14ac:dyDescent="0.25">
      <c r="A121" s="61"/>
      <c r="B121" s="52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</row>
    <row r="122" spans="1:30" ht="15" x14ac:dyDescent="0.25">
      <c r="A122" s="61"/>
      <c r="B122" s="52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</row>
    <row r="123" spans="1:30" ht="15" x14ac:dyDescent="0.25">
      <c r="A123" s="61"/>
      <c r="B123" s="52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</row>
    <row r="124" spans="1:30" ht="15" x14ac:dyDescent="0.25">
      <c r="A124" s="61"/>
      <c r="B124" s="52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</row>
    <row r="125" spans="1:30" ht="15" x14ac:dyDescent="0.25">
      <c r="A125" s="61"/>
      <c r="B125" s="52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</row>
    <row r="126" spans="1:30" ht="15" x14ac:dyDescent="0.25">
      <c r="A126" s="61"/>
      <c r="B126" s="52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</row>
    <row r="127" spans="1:30" ht="15" x14ac:dyDescent="0.25">
      <c r="A127" s="61"/>
      <c r="B127" s="52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</row>
    <row r="128" spans="1:30" ht="15" x14ac:dyDescent="0.25">
      <c r="A128" s="61"/>
      <c r="B128" s="52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</row>
    <row r="129" spans="1:30" ht="15" x14ac:dyDescent="0.25">
      <c r="A129" s="61"/>
      <c r="B129" s="52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</row>
    <row r="130" spans="1:30" ht="15" x14ac:dyDescent="0.25">
      <c r="A130" s="61"/>
      <c r="B130" s="52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</row>
    <row r="131" spans="1:30" ht="15" x14ac:dyDescent="0.25">
      <c r="A131" s="61"/>
      <c r="B131" s="52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</row>
    <row r="132" spans="1:30" ht="15" x14ac:dyDescent="0.25">
      <c r="A132" s="61"/>
      <c r="B132" s="52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</row>
    <row r="133" spans="1:30" ht="15" x14ac:dyDescent="0.25">
      <c r="A133" s="61"/>
      <c r="B133" s="52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</row>
    <row r="134" spans="1:30" ht="15" x14ac:dyDescent="0.25">
      <c r="A134" s="61"/>
      <c r="B134" s="52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</row>
    <row r="135" spans="1:30" ht="15" x14ac:dyDescent="0.25">
      <c r="A135" s="61"/>
      <c r="B135" s="52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</row>
    <row r="136" spans="1:30" ht="15" x14ac:dyDescent="0.25">
      <c r="A136" s="61"/>
      <c r="B136" s="52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</row>
    <row r="137" spans="1:30" ht="15" x14ac:dyDescent="0.25">
      <c r="A137" s="61"/>
      <c r="B137" s="52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</row>
    <row r="138" spans="1:30" ht="15" x14ac:dyDescent="0.25">
      <c r="A138" s="61"/>
      <c r="B138" s="52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</row>
    <row r="139" spans="1:30" ht="15" x14ac:dyDescent="0.25">
      <c r="A139" s="61"/>
      <c r="B139" s="52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</row>
    <row r="140" spans="1:30" ht="15" x14ac:dyDescent="0.25">
      <c r="A140" s="61"/>
      <c r="B140" s="52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</row>
    <row r="141" spans="1:30" ht="15" x14ac:dyDescent="0.25">
      <c r="A141" s="61"/>
      <c r="B141" s="52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</row>
    <row r="142" spans="1:30" ht="15" x14ac:dyDescent="0.25">
      <c r="A142" s="61"/>
      <c r="B142" s="52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</row>
    <row r="143" spans="1:30" ht="15" x14ac:dyDescent="0.25">
      <c r="A143" s="61"/>
      <c r="B143" s="52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</row>
    <row r="144" spans="1:30" ht="15" x14ac:dyDescent="0.25">
      <c r="A144" s="61"/>
      <c r="B144" s="52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</row>
    <row r="145" spans="1:30" ht="15" x14ac:dyDescent="0.25">
      <c r="A145" s="61"/>
      <c r="B145" s="52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</row>
    <row r="146" spans="1:30" ht="15" x14ac:dyDescent="0.25">
      <c r="A146" s="61"/>
      <c r="B146" s="52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</row>
    <row r="147" spans="1:30" ht="15" x14ac:dyDescent="0.25">
      <c r="A147" s="61"/>
      <c r="B147" s="52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</row>
    <row r="148" spans="1:30" ht="15" x14ac:dyDescent="0.25">
      <c r="A148" s="61"/>
      <c r="B148" s="52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</row>
    <row r="149" spans="1:30" ht="15" x14ac:dyDescent="0.25">
      <c r="A149" s="61"/>
      <c r="B149" s="52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</row>
    <row r="150" spans="1:30" ht="15" x14ac:dyDescent="0.25">
      <c r="A150" s="61"/>
      <c r="B150" s="52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</row>
    <row r="151" spans="1:30" ht="15" x14ac:dyDescent="0.25">
      <c r="A151" s="61"/>
      <c r="B151" s="52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</row>
    <row r="152" spans="1:30" ht="15" x14ac:dyDescent="0.25">
      <c r="A152" s="61"/>
      <c r="B152" s="52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</row>
    <row r="153" spans="1:30" ht="15" x14ac:dyDescent="0.25">
      <c r="A153" s="61"/>
      <c r="B153" s="52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</row>
    <row r="154" spans="1:30" ht="15" x14ac:dyDescent="0.25">
      <c r="A154" s="61"/>
      <c r="B154" s="52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</row>
    <row r="155" spans="1:30" ht="15" x14ac:dyDescent="0.25">
      <c r="A155" s="61"/>
      <c r="B155" s="52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</row>
    <row r="156" spans="1:30" ht="15" x14ac:dyDescent="0.25">
      <c r="A156" s="61"/>
      <c r="B156" s="52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</row>
    <row r="157" spans="1:30" ht="15" x14ac:dyDescent="0.25">
      <c r="A157" s="61"/>
      <c r="B157" s="52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</row>
    <row r="158" spans="1:30" ht="15" x14ac:dyDescent="0.25">
      <c r="A158" s="61"/>
      <c r="B158" s="52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</row>
    <row r="159" spans="1:30" ht="15" x14ac:dyDescent="0.25">
      <c r="A159" s="61"/>
      <c r="B159" s="52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</row>
    <row r="160" spans="1:30" ht="15" x14ac:dyDescent="0.25">
      <c r="A160" s="61"/>
      <c r="B160" s="52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</row>
    <row r="161" spans="1:30" ht="15" x14ac:dyDescent="0.25">
      <c r="A161" s="61"/>
      <c r="B161" s="52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</row>
    <row r="162" spans="1:30" ht="15" x14ac:dyDescent="0.25">
      <c r="A162" s="61"/>
      <c r="B162" s="52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</row>
    <row r="163" spans="1:30" ht="15" x14ac:dyDescent="0.25">
      <c r="A163" s="61"/>
      <c r="B163" s="52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</row>
    <row r="164" spans="1:30" ht="15" x14ac:dyDescent="0.25">
      <c r="A164" s="61"/>
      <c r="B164" s="52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</row>
    <row r="165" spans="1:30" ht="15" x14ac:dyDescent="0.25">
      <c r="A165" s="61"/>
      <c r="B165" s="52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</row>
    <row r="166" spans="1:30" ht="15" x14ac:dyDescent="0.25">
      <c r="A166" s="61"/>
      <c r="B166" s="52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</row>
    <row r="167" spans="1:30" ht="15" x14ac:dyDescent="0.25">
      <c r="A167" s="61"/>
      <c r="B167" s="52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</row>
    <row r="168" spans="1:30" ht="15" x14ac:dyDescent="0.25">
      <c r="A168" s="61"/>
      <c r="B168" s="52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</row>
    <row r="169" spans="1:30" ht="15" x14ac:dyDescent="0.25">
      <c r="A169" s="61"/>
      <c r="B169" s="52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</row>
    <row r="170" spans="1:30" ht="15" x14ac:dyDescent="0.25">
      <c r="A170" s="61"/>
      <c r="B170" s="52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</row>
    <row r="171" spans="1:30" ht="15" x14ac:dyDescent="0.25">
      <c r="A171" s="61"/>
      <c r="B171" s="52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</row>
    <row r="172" spans="1:30" ht="15" x14ac:dyDescent="0.25">
      <c r="A172" s="61"/>
      <c r="B172" s="52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</row>
    <row r="173" spans="1:30" ht="15" x14ac:dyDescent="0.25">
      <c r="A173" s="61"/>
      <c r="B173" s="52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</row>
    <row r="174" spans="1:30" ht="15" x14ac:dyDescent="0.25">
      <c r="A174" s="61"/>
      <c r="B174" s="52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</row>
    <row r="175" spans="1:30" ht="15" x14ac:dyDescent="0.25">
      <c r="A175" s="61"/>
      <c r="B175" s="52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</row>
    <row r="176" spans="1:30" ht="15" x14ac:dyDescent="0.25">
      <c r="A176" s="61"/>
      <c r="B176" s="52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</row>
    <row r="177" spans="1:30" ht="15" x14ac:dyDescent="0.25">
      <c r="A177" s="61"/>
      <c r="B177" s="52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</row>
    <row r="178" spans="1:30" ht="15" x14ac:dyDescent="0.25">
      <c r="A178" s="61"/>
      <c r="B178" s="52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</row>
    <row r="179" spans="1:30" ht="15" x14ac:dyDescent="0.25">
      <c r="A179" s="61"/>
      <c r="B179" s="52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</row>
    <row r="180" spans="1:30" ht="15" x14ac:dyDescent="0.25">
      <c r="A180" s="61"/>
      <c r="B180" s="52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</row>
    <row r="181" spans="1:30" ht="15" x14ac:dyDescent="0.25">
      <c r="A181" s="61"/>
      <c r="B181" s="52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</row>
    <row r="182" spans="1:30" ht="15" x14ac:dyDescent="0.25">
      <c r="A182" s="61"/>
      <c r="B182" s="52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</row>
    <row r="183" spans="1:30" ht="15" x14ac:dyDescent="0.25">
      <c r="A183" s="61"/>
      <c r="B183" s="52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</row>
    <row r="184" spans="1:30" ht="15" x14ac:dyDescent="0.25">
      <c r="A184" s="61"/>
      <c r="B184" s="52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</row>
    <row r="185" spans="1:30" ht="15" x14ac:dyDescent="0.25">
      <c r="A185" s="61"/>
      <c r="B185" s="52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</row>
    <row r="186" spans="1:30" ht="15" x14ac:dyDescent="0.25">
      <c r="A186" s="61"/>
      <c r="B186" s="52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</row>
    <row r="187" spans="1:30" ht="15" x14ac:dyDescent="0.25">
      <c r="A187" s="61"/>
      <c r="B187" s="52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</row>
    <row r="188" spans="1:30" ht="15" x14ac:dyDescent="0.25">
      <c r="A188" s="61"/>
      <c r="B188" s="52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</row>
    <row r="189" spans="1:30" ht="15" x14ac:dyDescent="0.25">
      <c r="A189" s="61"/>
      <c r="B189" s="52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</row>
    <row r="190" spans="1:30" ht="15" x14ac:dyDescent="0.25">
      <c r="A190" s="61"/>
      <c r="B190" s="52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</row>
    <row r="191" spans="1:30" ht="15" x14ac:dyDescent="0.25">
      <c r="A191" s="61"/>
      <c r="B191" s="52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</row>
    <row r="192" spans="1:30" ht="15" x14ac:dyDescent="0.25">
      <c r="A192" s="61"/>
      <c r="B192" s="52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</row>
    <row r="193" spans="1:30" ht="15" x14ac:dyDescent="0.25">
      <c r="A193" s="61"/>
      <c r="B193" s="52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</row>
    <row r="194" spans="1:30" ht="15" x14ac:dyDescent="0.25">
      <c r="A194" s="61"/>
      <c r="B194" s="52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</row>
    <row r="195" spans="1:30" ht="15" x14ac:dyDescent="0.25">
      <c r="A195" s="61"/>
      <c r="B195" s="52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</row>
    <row r="196" spans="1:30" ht="15" x14ac:dyDescent="0.25">
      <c r="A196" s="61"/>
      <c r="B196" s="52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</row>
    <row r="197" spans="1:30" ht="15" x14ac:dyDescent="0.25">
      <c r="A197" s="61"/>
      <c r="B197" s="52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</row>
    <row r="198" spans="1:30" ht="15" x14ac:dyDescent="0.25">
      <c r="A198" s="61"/>
      <c r="B198" s="52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</row>
    <row r="199" spans="1:30" ht="15" x14ac:dyDescent="0.25">
      <c r="A199" s="61"/>
      <c r="B199" s="52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</row>
    <row r="200" spans="1:30" ht="15" x14ac:dyDescent="0.25">
      <c r="A200" s="61"/>
      <c r="B200" s="52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</row>
    <row r="201" spans="1:30" ht="15" x14ac:dyDescent="0.25">
      <c r="A201" s="61"/>
      <c r="B201" s="52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</row>
    <row r="202" spans="1:30" ht="15" x14ac:dyDescent="0.25">
      <c r="A202" s="61"/>
      <c r="B202" s="52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</row>
    <row r="203" spans="1:30" ht="15" x14ac:dyDescent="0.25">
      <c r="A203" s="61"/>
      <c r="B203" s="52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</row>
    <row r="204" spans="1:30" ht="15" x14ac:dyDescent="0.25">
      <c r="A204" s="61"/>
      <c r="B204" s="52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</row>
    <row r="205" spans="1:30" ht="15" x14ac:dyDescent="0.25">
      <c r="A205" s="61"/>
      <c r="B205" s="52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</row>
    <row r="206" spans="1:30" ht="15" x14ac:dyDescent="0.25">
      <c r="A206" s="61"/>
      <c r="B206" s="52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</row>
    <row r="207" spans="1:30" ht="15" x14ac:dyDescent="0.25">
      <c r="A207" s="61"/>
      <c r="B207" s="52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</row>
    <row r="208" spans="1:30" ht="15" x14ac:dyDescent="0.25">
      <c r="A208" s="61"/>
      <c r="B208" s="52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</row>
    <row r="209" spans="1:30" ht="15" x14ac:dyDescent="0.25">
      <c r="A209" s="61"/>
      <c r="B209" s="52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</row>
    <row r="210" spans="1:30" ht="15" x14ac:dyDescent="0.25">
      <c r="A210" s="61"/>
      <c r="B210" s="52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</row>
    <row r="211" spans="1:30" ht="15" x14ac:dyDescent="0.25">
      <c r="A211" s="61"/>
      <c r="B211" s="52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</row>
    <row r="212" spans="1:30" ht="15" x14ac:dyDescent="0.25">
      <c r="A212" s="61"/>
      <c r="B212" s="52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</row>
    <row r="213" spans="1:30" ht="15" x14ac:dyDescent="0.25">
      <c r="A213" s="61"/>
      <c r="B213" s="52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</row>
    <row r="214" spans="1:30" ht="15" x14ac:dyDescent="0.25">
      <c r="A214" s="61"/>
      <c r="B214" s="52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</row>
    <row r="215" spans="1:30" ht="15" x14ac:dyDescent="0.25">
      <c r="A215" s="61"/>
      <c r="B215" s="52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</row>
    <row r="216" spans="1:30" ht="15" x14ac:dyDescent="0.25">
      <c r="A216" s="61"/>
      <c r="B216" s="52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</row>
    <row r="217" spans="1:30" ht="15" x14ac:dyDescent="0.25">
      <c r="A217" s="61"/>
      <c r="B217" s="52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</row>
    <row r="218" spans="1:30" ht="15" x14ac:dyDescent="0.25">
      <c r="A218" s="61"/>
      <c r="B218" s="52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</row>
    <row r="219" spans="1:30" ht="15" x14ac:dyDescent="0.25">
      <c r="A219" s="61"/>
      <c r="B219" s="52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</row>
    <row r="220" spans="1:30" ht="15" x14ac:dyDescent="0.25">
      <c r="A220" s="61"/>
      <c r="B220" s="52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</row>
    <row r="221" spans="1:30" ht="15" x14ac:dyDescent="0.25">
      <c r="A221" s="61"/>
      <c r="B221" s="52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</row>
    <row r="222" spans="1:30" ht="15" x14ac:dyDescent="0.25">
      <c r="A222" s="61"/>
      <c r="B222" s="52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</row>
    <row r="223" spans="1:30" ht="15" x14ac:dyDescent="0.25">
      <c r="A223" s="61"/>
      <c r="B223" s="52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</row>
    <row r="224" spans="1:30" ht="15" x14ac:dyDescent="0.25">
      <c r="A224" s="61"/>
      <c r="B224" s="52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</row>
    <row r="225" spans="1:30" ht="15" x14ac:dyDescent="0.25">
      <c r="A225" s="61"/>
      <c r="B225" s="52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</row>
    <row r="226" spans="1:30" ht="15" x14ac:dyDescent="0.25">
      <c r="A226" s="61"/>
      <c r="B226" s="52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</row>
    <row r="227" spans="1:30" ht="15" x14ac:dyDescent="0.25">
      <c r="A227" s="61"/>
      <c r="B227" s="52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</row>
    <row r="228" spans="1:30" ht="15" x14ac:dyDescent="0.25">
      <c r="A228" s="61"/>
      <c r="B228" s="52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</row>
    <row r="229" spans="1:30" ht="15" x14ac:dyDescent="0.25">
      <c r="A229" s="61"/>
      <c r="B229" s="52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</row>
    <row r="230" spans="1:30" ht="15" x14ac:dyDescent="0.25">
      <c r="A230" s="61"/>
      <c r="B230" s="52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</row>
    <row r="231" spans="1:30" ht="15" x14ac:dyDescent="0.25">
      <c r="A231" s="61"/>
      <c r="B231" s="52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</row>
    <row r="232" spans="1:30" ht="15" x14ac:dyDescent="0.25">
      <c r="A232" s="61"/>
      <c r="B232" s="52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</row>
    <row r="233" spans="1:30" ht="15" x14ac:dyDescent="0.25">
      <c r="A233" s="61"/>
      <c r="B233" s="52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</row>
    <row r="234" spans="1:30" ht="15" x14ac:dyDescent="0.25">
      <c r="A234" s="61"/>
      <c r="B234" s="52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</row>
    <row r="235" spans="1:30" ht="15" x14ac:dyDescent="0.25">
      <c r="A235" s="61"/>
      <c r="B235" s="52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</row>
    <row r="236" spans="1:30" ht="15" x14ac:dyDescent="0.25">
      <c r="A236" s="61"/>
      <c r="B236" s="52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</row>
    <row r="237" spans="1:30" ht="15" x14ac:dyDescent="0.25">
      <c r="A237" s="61"/>
      <c r="B237" s="52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</row>
    <row r="238" spans="1:30" ht="15" x14ac:dyDescent="0.25">
      <c r="A238" s="61"/>
      <c r="B238" s="52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</row>
    <row r="239" spans="1:30" ht="15" x14ac:dyDescent="0.25">
      <c r="A239" s="61"/>
      <c r="B239" s="52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</row>
    <row r="240" spans="1:30" ht="15" x14ac:dyDescent="0.25">
      <c r="A240" s="61"/>
      <c r="B240" s="52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</row>
    <row r="241" spans="1:30" ht="15" x14ac:dyDescent="0.25">
      <c r="A241" s="61"/>
      <c r="B241" s="52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</row>
    <row r="242" spans="1:30" ht="15" x14ac:dyDescent="0.25">
      <c r="A242" s="61"/>
      <c r="B242" s="52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</row>
    <row r="243" spans="1:30" ht="15" x14ac:dyDescent="0.25">
      <c r="A243" s="61"/>
      <c r="B243" s="52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</row>
    <row r="244" spans="1:30" ht="15" x14ac:dyDescent="0.25">
      <c r="A244" s="61"/>
      <c r="B244" s="52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</row>
    <row r="245" spans="1:30" ht="15" x14ac:dyDescent="0.25">
      <c r="A245" s="61"/>
      <c r="B245" s="52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</row>
    <row r="246" spans="1:30" ht="15" x14ac:dyDescent="0.25">
      <c r="A246" s="61"/>
      <c r="B246" s="52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</row>
    <row r="247" spans="1:30" ht="15" x14ac:dyDescent="0.25">
      <c r="A247" s="61"/>
      <c r="B247" s="52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</row>
    <row r="248" spans="1:30" ht="15" x14ac:dyDescent="0.25">
      <c r="A248" s="61"/>
      <c r="B248" s="52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</row>
    <row r="249" spans="1:30" ht="15" x14ac:dyDescent="0.25">
      <c r="A249" s="61"/>
      <c r="B249" s="52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</row>
    <row r="250" spans="1:30" ht="15" x14ac:dyDescent="0.25">
      <c r="A250" s="61"/>
      <c r="B250" s="52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</row>
    <row r="251" spans="1:30" ht="15" x14ac:dyDescent="0.25">
      <c r="A251" s="61"/>
      <c r="B251" s="52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</row>
    <row r="252" spans="1:30" ht="15" x14ac:dyDescent="0.25">
      <c r="A252" s="61"/>
      <c r="B252" s="52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</row>
    <row r="253" spans="1:30" ht="15" x14ac:dyDescent="0.25">
      <c r="A253" s="61"/>
      <c r="B253" s="52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</row>
    <row r="254" spans="1:30" ht="15" x14ac:dyDescent="0.25">
      <c r="A254" s="61"/>
      <c r="B254" s="52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</row>
    <row r="255" spans="1:30" ht="15" x14ac:dyDescent="0.25">
      <c r="A255" s="61"/>
      <c r="B255" s="52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</row>
    <row r="256" spans="1:30" ht="15" x14ac:dyDescent="0.25">
      <c r="A256" s="61"/>
      <c r="B256" s="52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</row>
    <row r="257" spans="1:30" ht="15" x14ac:dyDescent="0.25">
      <c r="A257" s="61"/>
      <c r="B257" s="52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</row>
    <row r="258" spans="1:30" ht="15" x14ac:dyDescent="0.25">
      <c r="A258" s="61"/>
      <c r="B258" s="52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</row>
    <row r="259" spans="1:30" ht="15" x14ac:dyDescent="0.25">
      <c r="A259" s="61"/>
      <c r="B259" s="52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</row>
    <row r="260" spans="1:30" ht="15" x14ac:dyDescent="0.25">
      <c r="A260" s="61"/>
      <c r="B260" s="52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</row>
    <row r="261" spans="1:30" ht="15" x14ac:dyDescent="0.25">
      <c r="A261" s="61"/>
      <c r="B261" s="52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</row>
    <row r="262" spans="1:30" ht="15" x14ac:dyDescent="0.25">
      <c r="A262" s="61"/>
      <c r="B262" s="52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</row>
    <row r="263" spans="1:30" ht="15" x14ac:dyDescent="0.25">
      <c r="A263" s="61"/>
      <c r="B263" s="52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</row>
    <row r="264" spans="1:30" ht="15" x14ac:dyDescent="0.25">
      <c r="A264" s="61"/>
      <c r="B264" s="52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</row>
    <row r="265" spans="1:30" ht="15" x14ac:dyDescent="0.25">
      <c r="A265" s="61"/>
      <c r="B265" s="52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</row>
    <row r="266" spans="1:30" ht="15" x14ac:dyDescent="0.25">
      <c r="A266" s="61"/>
      <c r="B266" s="52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</row>
    <row r="267" spans="1:30" ht="15" x14ac:dyDescent="0.25">
      <c r="A267" s="61"/>
      <c r="B267" s="52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</row>
    <row r="268" spans="1:30" ht="15" x14ac:dyDescent="0.25">
      <c r="A268" s="61"/>
      <c r="B268" s="52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</row>
    <row r="269" spans="1:30" ht="15" x14ac:dyDescent="0.25">
      <c r="A269" s="61"/>
      <c r="B269" s="52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</row>
    <row r="270" spans="1:30" ht="15" x14ac:dyDescent="0.25">
      <c r="A270" s="61"/>
      <c r="B270" s="52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</row>
    <row r="271" spans="1:30" ht="15" x14ac:dyDescent="0.25">
      <c r="A271" s="61"/>
      <c r="B271" s="52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</row>
    <row r="272" spans="1:30" ht="15" x14ac:dyDescent="0.25">
      <c r="A272" s="61"/>
      <c r="B272" s="52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</row>
    <row r="273" spans="1:30" ht="15" x14ac:dyDescent="0.25">
      <c r="A273" s="61"/>
      <c r="B273" s="52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</row>
    <row r="274" spans="1:30" ht="15" x14ac:dyDescent="0.25">
      <c r="A274" s="61"/>
      <c r="B274" s="52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</row>
    <row r="275" spans="1:30" ht="15" x14ac:dyDescent="0.25">
      <c r="A275" s="61"/>
      <c r="B275" s="52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</row>
    <row r="276" spans="1:30" ht="15" x14ac:dyDescent="0.25">
      <c r="A276" s="61"/>
      <c r="B276" s="52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</row>
    <row r="277" spans="1:30" ht="15" x14ac:dyDescent="0.25">
      <c r="A277" s="61"/>
      <c r="B277" s="52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</row>
    <row r="278" spans="1:30" ht="15" x14ac:dyDescent="0.25">
      <c r="A278" s="61"/>
      <c r="B278" s="52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</row>
    <row r="279" spans="1:30" ht="15" x14ac:dyDescent="0.25">
      <c r="A279" s="61"/>
      <c r="B279" s="52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</row>
    <row r="280" spans="1:30" ht="15" x14ac:dyDescent="0.25">
      <c r="A280" s="61"/>
      <c r="B280" s="52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</row>
    <row r="281" spans="1:30" ht="15" x14ac:dyDescent="0.25">
      <c r="A281" s="61"/>
      <c r="B281" s="52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</row>
    <row r="282" spans="1:30" ht="15" x14ac:dyDescent="0.25">
      <c r="A282" s="61"/>
      <c r="B282" s="52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</row>
    <row r="283" spans="1:30" ht="15" x14ac:dyDescent="0.25">
      <c r="A283" s="61"/>
      <c r="B283" s="52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</row>
    <row r="284" spans="1:30" ht="15" x14ac:dyDescent="0.25">
      <c r="A284" s="61"/>
      <c r="B284" s="52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</row>
    <row r="285" spans="1:30" ht="15" x14ac:dyDescent="0.25">
      <c r="A285" s="61"/>
      <c r="B285" s="52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</row>
    <row r="286" spans="1:30" ht="15" x14ac:dyDescent="0.25">
      <c r="A286" s="61"/>
      <c r="B286" s="52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</row>
    <row r="287" spans="1:30" ht="15" x14ac:dyDescent="0.25">
      <c r="A287" s="61"/>
      <c r="B287" s="52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</row>
    <row r="288" spans="1:30" ht="15" x14ac:dyDescent="0.25">
      <c r="A288" s="61"/>
      <c r="B288" s="52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</row>
    <row r="289" spans="1:30" ht="15" x14ac:dyDescent="0.25">
      <c r="A289" s="61"/>
      <c r="B289" s="52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</row>
    <row r="290" spans="1:30" ht="15" x14ac:dyDescent="0.25">
      <c r="A290" s="61"/>
      <c r="B290" s="52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</row>
    <row r="291" spans="1:30" ht="15" x14ac:dyDescent="0.25">
      <c r="A291" s="61"/>
      <c r="B291" s="52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</row>
    <row r="292" spans="1:30" ht="15" x14ac:dyDescent="0.25">
      <c r="A292" s="61"/>
      <c r="B292" s="52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</row>
    <row r="293" spans="1:30" ht="15" x14ac:dyDescent="0.25">
      <c r="A293" s="61"/>
      <c r="B293" s="52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</row>
    <row r="294" spans="1:30" ht="15" x14ac:dyDescent="0.25">
      <c r="A294" s="61"/>
      <c r="B294" s="52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</row>
    <row r="295" spans="1:30" ht="15" x14ac:dyDescent="0.25">
      <c r="A295" s="61"/>
      <c r="B295" s="52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</row>
    <row r="296" spans="1:30" ht="15" x14ac:dyDescent="0.25">
      <c r="A296" s="61"/>
      <c r="B296" s="52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</row>
    <row r="297" spans="1:30" ht="15" x14ac:dyDescent="0.25">
      <c r="A297" s="61"/>
      <c r="B297" s="52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</row>
    <row r="298" spans="1:30" ht="15" x14ac:dyDescent="0.25">
      <c r="A298" s="61"/>
      <c r="B298" s="52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</row>
    <row r="299" spans="1:30" ht="15" x14ac:dyDescent="0.25">
      <c r="A299" s="61"/>
      <c r="B299" s="52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</row>
    <row r="300" spans="1:30" ht="15" x14ac:dyDescent="0.25">
      <c r="A300" s="61"/>
      <c r="B300" s="52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</row>
    <row r="301" spans="1:30" ht="15" x14ac:dyDescent="0.25">
      <c r="A301" s="61"/>
      <c r="B301" s="52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</row>
    <row r="302" spans="1:30" ht="15" x14ac:dyDescent="0.25">
      <c r="A302" s="61"/>
      <c r="B302" s="52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</row>
    <row r="303" spans="1:30" ht="15" x14ac:dyDescent="0.25">
      <c r="A303" s="61"/>
      <c r="B303" s="52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</row>
    <row r="304" spans="1:30" ht="15" x14ac:dyDescent="0.25">
      <c r="A304" s="61"/>
      <c r="B304" s="52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</row>
    <row r="305" spans="1:30" ht="15" x14ac:dyDescent="0.25">
      <c r="A305" s="61"/>
      <c r="B305" s="52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</row>
    <row r="306" spans="1:30" ht="15" x14ac:dyDescent="0.25">
      <c r="A306" s="61"/>
      <c r="B306" s="52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</row>
    <row r="307" spans="1:30" ht="15" x14ac:dyDescent="0.25">
      <c r="A307" s="61"/>
      <c r="B307" s="52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</row>
    <row r="308" spans="1:30" ht="15" x14ac:dyDescent="0.25">
      <c r="A308" s="61"/>
      <c r="B308" s="52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</row>
    <row r="309" spans="1:30" ht="15" x14ac:dyDescent="0.25">
      <c r="A309" s="61"/>
      <c r="B309" s="52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</row>
    <row r="310" spans="1:30" ht="15" x14ac:dyDescent="0.25">
      <c r="A310" s="61"/>
      <c r="B310" s="52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</row>
    <row r="311" spans="1:30" ht="15" x14ac:dyDescent="0.25">
      <c r="A311" s="61"/>
      <c r="B311" s="52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</row>
    <row r="312" spans="1:30" ht="15" x14ac:dyDescent="0.25">
      <c r="A312" s="61"/>
      <c r="B312" s="52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</row>
    <row r="313" spans="1:30" ht="15" x14ac:dyDescent="0.25">
      <c r="A313" s="61"/>
      <c r="B313" s="52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</row>
    <row r="314" spans="1:30" ht="15" x14ac:dyDescent="0.25">
      <c r="A314" s="61"/>
      <c r="B314" s="52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</row>
    <row r="315" spans="1:30" ht="15" x14ac:dyDescent="0.25">
      <c r="A315" s="61"/>
      <c r="B315" s="52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</row>
    <row r="316" spans="1:30" ht="15" x14ac:dyDescent="0.25">
      <c r="A316" s="61"/>
      <c r="B316" s="52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</row>
    <row r="317" spans="1:30" ht="15" x14ac:dyDescent="0.25">
      <c r="A317" s="61"/>
      <c r="B317" s="52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</row>
    <row r="318" spans="1:30" ht="15" x14ac:dyDescent="0.25">
      <c r="A318" s="61"/>
      <c r="B318" s="52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</row>
    <row r="319" spans="1:30" ht="15" x14ac:dyDescent="0.25">
      <c r="A319" s="61"/>
      <c r="B319" s="52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</row>
    <row r="320" spans="1:30" ht="15" x14ac:dyDescent="0.25">
      <c r="A320" s="61"/>
      <c r="B320" s="52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</row>
    <row r="321" spans="1:30" ht="15" x14ac:dyDescent="0.25">
      <c r="A321" s="61"/>
      <c r="B321" s="52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</row>
    <row r="322" spans="1:30" ht="15" x14ac:dyDescent="0.25">
      <c r="A322" s="61"/>
      <c r="B322" s="52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</row>
    <row r="323" spans="1:30" ht="15" x14ac:dyDescent="0.25">
      <c r="A323" s="61"/>
      <c r="B323" s="52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</row>
    <row r="324" spans="1:30" ht="15" x14ac:dyDescent="0.25">
      <c r="A324" s="61"/>
      <c r="B324" s="52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</row>
    <row r="325" spans="1:30" ht="15" x14ac:dyDescent="0.25">
      <c r="A325" s="61"/>
      <c r="B325" s="52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</row>
    <row r="326" spans="1:30" ht="15" x14ac:dyDescent="0.25">
      <c r="A326" s="61"/>
      <c r="B326" s="52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</row>
    <row r="327" spans="1:30" ht="15" x14ac:dyDescent="0.25">
      <c r="A327" s="61"/>
      <c r="B327" s="52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</row>
    <row r="328" spans="1:30" ht="15" x14ac:dyDescent="0.25">
      <c r="A328" s="61"/>
      <c r="B328" s="52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</row>
    <row r="329" spans="1:30" ht="15" x14ac:dyDescent="0.25">
      <c r="A329" s="61"/>
      <c r="B329" s="52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</row>
    <row r="330" spans="1:30" ht="15" x14ac:dyDescent="0.25">
      <c r="A330" s="61"/>
      <c r="B330" s="52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</row>
    <row r="331" spans="1:30" ht="15" x14ac:dyDescent="0.25">
      <c r="A331" s="61"/>
      <c r="B331" s="52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</row>
    <row r="332" spans="1:30" ht="15" x14ac:dyDescent="0.25">
      <c r="A332" s="61"/>
      <c r="B332" s="52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</row>
    <row r="333" spans="1:30" ht="15" x14ac:dyDescent="0.25">
      <c r="A333" s="61"/>
      <c r="B333" s="52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</row>
    <row r="334" spans="1:30" ht="15" x14ac:dyDescent="0.25">
      <c r="A334" s="61"/>
      <c r="B334" s="52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</row>
    <row r="335" spans="1:30" ht="15" x14ac:dyDescent="0.25">
      <c r="A335" s="61"/>
      <c r="B335" s="52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</row>
    <row r="336" spans="1:30" ht="15" x14ac:dyDescent="0.25">
      <c r="A336" s="61"/>
      <c r="B336" s="52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</row>
    <row r="337" spans="1:30" ht="15" x14ac:dyDescent="0.25">
      <c r="A337" s="61"/>
      <c r="B337" s="52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</row>
    <row r="338" spans="1:30" ht="15" x14ac:dyDescent="0.25">
      <c r="A338" s="61"/>
      <c r="B338" s="52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</row>
    <row r="339" spans="1:30" ht="15" x14ac:dyDescent="0.25">
      <c r="A339" s="61"/>
      <c r="B339" s="52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</row>
    <row r="340" spans="1:30" ht="15" x14ac:dyDescent="0.25">
      <c r="A340" s="61"/>
      <c r="B340" s="52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</row>
    <row r="341" spans="1:30" ht="15" x14ac:dyDescent="0.25">
      <c r="A341" s="61"/>
      <c r="B341" s="52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</row>
    <row r="342" spans="1:30" ht="15" x14ac:dyDescent="0.25">
      <c r="A342" s="61"/>
      <c r="B342" s="52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</row>
    <row r="343" spans="1:30" ht="15" x14ac:dyDescent="0.25">
      <c r="A343" s="61"/>
      <c r="B343" s="52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</row>
    <row r="344" spans="1:30" ht="15" x14ac:dyDescent="0.25">
      <c r="A344" s="61"/>
      <c r="B344" s="52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</row>
    <row r="345" spans="1:30" ht="15" x14ac:dyDescent="0.25">
      <c r="A345" s="61"/>
      <c r="B345" s="52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</row>
    <row r="346" spans="1:30" ht="15" x14ac:dyDescent="0.25">
      <c r="A346" s="61"/>
      <c r="B346" s="52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</row>
    <row r="347" spans="1:30" ht="15" x14ac:dyDescent="0.25">
      <c r="A347" s="61"/>
      <c r="B347" s="52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</row>
    <row r="348" spans="1:30" ht="15" x14ac:dyDescent="0.25">
      <c r="A348" s="61"/>
      <c r="B348" s="52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</row>
    <row r="349" spans="1:30" ht="15" x14ac:dyDescent="0.25">
      <c r="A349" s="61"/>
      <c r="B349" s="52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</row>
    <row r="350" spans="1:30" ht="15" x14ac:dyDescent="0.25">
      <c r="A350" s="61"/>
      <c r="B350" s="52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</row>
    <row r="351" spans="1:30" ht="15" x14ac:dyDescent="0.25">
      <c r="A351" s="61"/>
      <c r="B351" s="52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</row>
    <row r="352" spans="1:30" ht="15" x14ac:dyDescent="0.25">
      <c r="A352" s="61"/>
      <c r="B352" s="52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</row>
    <row r="353" spans="1:30" ht="15" x14ac:dyDescent="0.25">
      <c r="A353" s="61"/>
      <c r="B353" s="52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</row>
    <row r="354" spans="1:30" ht="15" x14ac:dyDescent="0.25">
      <c r="A354" s="61"/>
      <c r="B354" s="52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</row>
    <row r="355" spans="1:30" ht="15" x14ac:dyDescent="0.25">
      <c r="A355" s="61"/>
      <c r="B355" s="52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</row>
    <row r="356" spans="1:30" ht="15" x14ac:dyDescent="0.25">
      <c r="A356" s="61"/>
      <c r="B356" s="52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</row>
    <row r="357" spans="1:30" ht="15" x14ac:dyDescent="0.25">
      <c r="A357" s="61"/>
      <c r="B357" s="52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</row>
    <row r="358" spans="1:30" ht="15" x14ac:dyDescent="0.25">
      <c r="A358" s="61"/>
      <c r="B358" s="52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</row>
    <row r="359" spans="1:30" ht="15" x14ac:dyDescent="0.25">
      <c r="A359" s="61"/>
      <c r="B359" s="52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</row>
    <row r="360" spans="1:30" ht="15" x14ac:dyDescent="0.25">
      <c r="A360" s="61"/>
      <c r="B360" s="52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</row>
    <row r="361" spans="1:30" ht="15" x14ac:dyDescent="0.25">
      <c r="A361" s="61"/>
      <c r="B361" s="52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</row>
    <row r="362" spans="1:30" ht="15" x14ac:dyDescent="0.25">
      <c r="A362" s="61"/>
      <c r="B362" s="52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</row>
    <row r="363" spans="1:30" ht="15" x14ac:dyDescent="0.25">
      <c r="A363" s="61"/>
      <c r="B363" s="52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</row>
    <row r="364" spans="1:30" ht="15" x14ac:dyDescent="0.25">
      <c r="A364" s="61"/>
      <c r="B364" s="52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</row>
    <row r="365" spans="1:30" ht="15" x14ac:dyDescent="0.25">
      <c r="A365" s="61"/>
      <c r="B365" s="52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</row>
    <row r="366" spans="1:30" ht="15" x14ac:dyDescent="0.25">
      <c r="A366" s="61"/>
      <c r="B366" s="52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</row>
    <row r="367" spans="1:30" ht="15" x14ac:dyDescent="0.25">
      <c r="A367" s="61"/>
      <c r="B367" s="52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</row>
    <row r="368" spans="1:30" ht="15" x14ac:dyDescent="0.25">
      <c r="A368" s="61"/>
      <c r="B368" s="52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</row>
    <row r="369" spans="1:30" ht="15" x14ac:dyDescent="0.25">
      <c r="A369" s="61"/>
      <c r="B369" s="52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</row>
    <row r="370" spans="1:30" ht="15" x14ac:dyDescent="0.25">
      <c r="A370" s="61"/>
      <c r="B370" s="52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</row>
    <row r="371" spans="1:30" ht="15" x14ac:dyDescent="0.25">
      <c r="A371" s="61"/>
      <c r="B371" s="52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</row>
    <row r="372" spans="1:30" ht="15" x14ac:dyDescent="0.25">
      <c r="A372" s="61"/>
      <c r="B372" s="52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</row>
    <row r="373" spans="1:30" ht="15" x14ac:dyDescent="0.25">
      <c r="A373" s="61"/>
      <c r="B373" s="52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</row>
    <row r="374" spans="1:30" ht="15" x14ac:dyDescent="0.25">
      <c r="A374" s="61"/>
      <c r="B374" s="52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</row>
    <row r="375" spans="1:30" ht="15" x14ac:dyDescent="0.25">
      <c r="A375" s="61"/>
      <c r="B375" s="52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</row>
    <row r="376" spans="1:30" ht="15" x14ac:dyDescent="0.25">
      <c r="A376" s="61"/>
      <c r="B376" s="52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</row>
    <row r="377" spans="1:30" ht="15" x14ac:dyDescent="0.25">
      <c r="A377" s="61"/>
      <c r="B377" s="52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</row>
    <row r="378" spans="1:30" ht="15" x14ac:dyDescent="0.25">
      <c r="A378" s="61"/>
      <c r="B378" s="52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</row>
    <row r="379" spans="1:30" ht="15" x14ac:dyDescent="0.25">
      <c r="A379" s="61"/>
      <c r="B379" s="52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</row>
    <row r="380" spans="1:30" ht="15" x14ac:dyDescent="0.25">
      <c r="A380" s="61"/>
      <c r="B380" s="52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</row>
    <row r="381" spans="1:30" ht="15" x14ac:dyDescent="0.25">
      <c r="A381" s="61"/>
      <c r="B381" s="52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</row>
    <row r="382" spans="1:30" ht="15" x14ac:dyDescent="0.25">
      <c r="A382" s="61"/>
      <c r="B382" s="52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</row>
    <row r="383" spans="1:30" ht="15" x14ac:dyDescent="0.25">
      <c r="A383" s="61"/>
      <c r="B383" s="52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</row>
    <row r="384" spans="1:30" ht="15" x14ac:dyDescent="0.25">
      <c r="A384" s="61"/>
      <c r="B384" s="52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</row>
    <row r="385" spans="1:30" ht="15" x14ac:dyDescent="0.25">
      <c r="A385" s="61"/>
      <c r="B385" s="52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</row>
    <row r="386" spans="1:30" ht="15" x14ac:dyDescent="0.25">
      <c r="A386" s="61"/>
      <c r="B386" s="52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</row>
    <row r="387" spans="1:30" ht="15" x14ac:dyDescent="0.25">
      <c r="A387" s="61"/>
      <c r="B387" s="52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</row>
    <row r="388" spans="1:30" ht="15" x14ac:dyDescent="0.25">
      <c r="A388" s="61"/>
      <c r="B388" s="52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</row>
    <row r="389" spans="1:30" ht="15" x14ac:dyDescent="0.25">
      <c r="A389" s="61"/>
      <c r="B389" s="52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</row>
    <row r="390" spans="1:30" ht="15" x14ac:dyDescent="0.25">
      <c r="A390" s="61"/>
      <c r="B390" s="52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</row>
    <row r="391" spans="1:30" ht="15" x14ac:dyDescent="0.25">
      <c r="A391" s="61"/>
      <c r="B391" s="52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</row>
    <row r="392" spans="1:30" ht="15" x14ac:dyDescent="0.25">
      <c r="A392" s="61"/>
      <c r="B392" s="52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</row>
    <row r="393" spans="1:30" ht="15" x14ac:dyDescent="0.25">
      <c r="A393" s="61"/>
      <c r="B393" s="52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</row>
    <row r="394" spans="1:30" ht="15" x14ac:dyDescent="0.25">
      <c r="A394" s="61"/>
      <c r="B394" s="52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</row>
    <row r="395" spans="1:30" ht="15" x14ac:dyDescent="0.25">
      <c r="A395" s="61"/>
      <c r="B395" s="52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</row>
    <row r="396" spans="1:30" ht="15" x14ac:dyDescent="0.25">
      <c r="A396" s="61"/>
      <c r="B396" s="52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</row>
    <row r="397" spans="1:30" ht="15" x14ac:dyDescent="0.25">
      <c r="A397" s="61"/>
      <c r="B397" s="52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</row>
    <row r="398" spans="1:30" ht="15" x14ac:dyDescent="0.25">
      <c r="A398" s="61"/>
      <c r="B398" s="52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</row>
    <row r="399" spans="1:30" ht="15" x14ac:dyDescent="0.25">
      <c r="A399" s="61"/>
      <c r="B399" s="52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</row>
    <row r="400" spans="1:30" ht="15" x14ac:dyDescent="0.25">
      <c r="A400" s="61"/>
      <c r="B400" s="52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</row>
    <row r="401" spans="1:30" ht="15" x14ac:dyDescent="0.25">
      <c r="A401" s="61"/>
      <c r="B401" s="52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</row>
    <row r="402" spans="1:30" ht="15" x14ac:dyDescent="0.25">
      <c r="A402" s="61"/>
      <c r="B402" s="52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</row>
    <row r="403" spans="1:30" ht="15" x14ac:dyDescent="0.25">
      <c r="A403" s="61"/>
      <c r="B403" s="52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</row>
    <row r="404" spans="1:30" ht="15" x14ac:dyDescent="0.25">
      <c r="A404" s="61"/>
      <c r="B404" s="52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</row>
    <row r="405" spans="1:30" ht="15" x14ac:dyDescent="0.25">
      <c r="A405" s="61"/>
      <c r="B405" s="52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</row>
    <row r="406" spans="1:30" ht="15" x14ac:dyDescent="0.25">
      <c r="A406" s="61"/>
      <c r="B406" s="52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</row>
    <row r="407" spans="1:30" ht="15" x14ac:dyDescent="0.25">
      <c r="A407" s="61"/>
      <c r="B407" s="52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</row>
    <row r="408" spans="1:30" ht="15" x14ac:dyDescent="0.25">
      <c r="A408" s="61"/>
      <c r="B408" s="52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</row>
    <row r="409" spans="1:30" ht="15" x14ac:dyDescent="0.25">
      <c r="A409" s="61"/>
      <c r="B409" s="52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</row>
    <row r="410" spans="1:30" ht="15" x14ac:dyDescent="0.25">
      <c r="A410" s="61"/>
      <c r="B410" s="52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</row>
    <row r="411" spans="1:30" ht="15" x14ac:dyDescent="0.25">
      <c r="A411" s="61"/>
      <c r="B411" s="52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</row>
    <row r="412" spans="1:30" ht="15" x14ac:dyDescent="0.25">
      <c r="A412" s="61"/>
      <c r="B412" s="52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</row>
    <row r="413" spans="1:30" ht="15" x14ac:dyDescent="0.25">
      <c r="A413" s="61"/>
      <c r="B413" s="52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</row>
    <row r="414" spans="1:30" ht="15" x14ac:dyDescent="0.25">
      <c r="A414" s="61"/>
      <c r="B414" s="52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</row>
    <row r="415" spans="1:30" ht="15" x14ac:dyDescent="0.25">
      <c r="A415" s="61"/>
      <c r="B415" s="52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</row>
    <row r="416" spans="1:30" ht="15" x14ac:dyDescent="0.25">
      <c r="A416" s="61"/>
      <c r="B416" s="52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</row>
    <row r="417" spans="1:30" ht="15" x14ac:dyDescent="0.25">
      <c r="A417" s="61"/>
      <c r="B417" s="52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</row>
    <row r="418" spans="1:30" ht="15" x14ac:dyDescent="0.25">
      <c r="A418" s="61"/>
      <c r="B418" s="52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</row>
    <row r="419" spans="1:30" ht="15" x14ac:dyDescent="0.25">
      <c r="A419" s="61"/>
      <c r="B419" s="52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</row>
    <row r="420" spans="1:30" ht="15" x14ac:dyDescent="0.25">
      <c r="A420" s="61"/>
      <c r="B420" s="52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</row>
    <row r="421" spans="1:30" ht="15" x14ac:dyDescent="0.25">
      <c r="A421" s="61"/>
      <c r="B421" s="52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</row>
    <row r="422" spans="1:30" ht="15" x14ac:dyDescent="0.25">
      <c r="A422" s="61"/>
      <c r="B422" s="52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</row>
    <row r="423" spans="1:30" ht="15" x14ac:dyDescent="0.25">
      <c r="A423" s="61"/>
      <c r="B423" s="52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</row>
    <row r="424" spans="1:30" ht="15" x14ac:dyDescent="0.25">
      <c r="A424" s="61"/>
      <c r="B424" s="52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</row>
    <row r="425" spans="1:30" ht="15" x14ac:dyDescent="0.25">
      <c r="A425" s="61"/>
      <c r="B425" s="52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</row>
    <row r="426" spans="1:30" ht="15" x14ac:dyDescent="0.25">
      <c r="A426" s="6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</row>
    <row r="427" spans="1:30" ht="15" x14ac:dyDescent="0.25">
      <c r="A427" s="61"/>
      <c r="B427" s="52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</row>
    <row r="428" spans="1:30" ht="15" x14ac:dyDescent="0.25">
      <c r="A428" s="61"/>
      <c r="B428" s="52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</row>
    <row r="429" spans="1:30" ht="15" x14ac:dyDescent="0.25">
      <c r="A429" s="61"/>
      <c r="B429" s="52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</row>
    <row r="430" spans="1:30" ht="15" x14ac:dyDescent="0.25">
      <c r="A430" s="61"/>
      <c r="B430" s="52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</row>
    <row r="431" spans="1:30" ht="15" x14ac:dyDescent="0.25">
      <c r="A431" s="61"/>
      <c r="B431" s="52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</row>
    <row r="432" spans="1:30" ht="15" x14ac:dyDescent="0.25">
      <c r="A432" s="61"/>
      <c r="B432" s="52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</row>
    <row r="433" spans="1:30" ht="15" x14ac:dyDescent="0.25">
      <c r="A433" s="61"/>
      <c r="B433" s="52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</row>
    <row r="434" spans="1:30" ht="15" x14ac:dyDescent="0.25">
      <c r="A434" s="61"/>
      <c r="B434" s="52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</row>
    <row r="435" spans="1:30" ht="15" x14ac:dyDescent="0.25">
      <c r="A435" s="61"/>
      <c r="B435" s="52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</row>
    <row r="436" spans="1:30" ht="15" x14ac:dyDescent="0.25">
      <c r="A436" s="61"/>
      <c r="B436" s="52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</row>
    <row r="437" spans="1:30" ht="15" x14ac:dyDescent="0.25">
      <c r="A437" s="61"/>
      <c r="B437" s="52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</row>
    <row r="438" spans="1:30" ht="15" x14ac:dyDescent="0.25">
      <c r="A438" s="61"/>
      <c r="B438" s="52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</row>
    <row r="439" spans="1:30" ht="15" x14ac:dyDescent="0.25">
      <c r="A439" s="61"/>
      <c r="B439" s="52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</row>
    <row r="440" spans="1:30" ht="15" x14ac:dyDescent="0.25">
      <c r="A440" s="61"/>
      <c r="B440" s="52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</row>
    <row r="441" spans="1:30" ht="15" x14ac:dyDescent="0.25">
      <c r="A441" s="61"/>
      <c r="B441" s="52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</row>
    <row r="442" spans="1:30" ht="15" x14ac:dyDescent="0.25">
      <c r="A442" s="61"/>
      <c r="B442" s="52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</row>
    <row r="443" spans="1:30" ht="15" x14ac:dyDescent="0.25">
      <c r="A443" s="61"/>
      <c r="B443" s="52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</row>
    <row r="444" spans="1:30" ht="15" x14ac:dyDescent="0.25">
      <c r="A444" s="61"/>
      <c r="B444" s="52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</row>
    <row r="445" spans="1:30" ht="15" x14ac:dyDescent="0.25">
      <c r="A445" s="61"/>
      <c r="B445" s="52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</row>
    <row r="446" spans="1:30" ht="15" x14ac:dyDescent="0.25">
      <c r="A446" s="61"/>
      <c r="B446" s="52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</row>
    <row r="447" spans="1:30" ht="15" x14ac:dyDescent="0.25">
      <c r="A447" s="61"/>
      <c r="B447" s="52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</row>
    <row r="448" spans="1:30" ht="15" x14ac:dyDescent="0.25">
      <c r="A448" s="61"/>
      <c r="B448" s="52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</row>
    <row r="449" spans="1:30" ht="15" x14ac:dyDescent="0.25">
      <c r="A449" s="61"/>
      <c r="B449" s="52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</row>
    <row r="450" spans="1:30" ht="15" x14ac:dyDescent="0.25">
      <c r="A450" s="61"/>
      <c r="B450" s="52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</row>
    <row r="451" spans="1:30" ht="15" x14ac:dyDescent="0.25">
      <c r="A451" s="61"/>
      <c r="B451" s="52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</row>
    <row r="452" spans="1:30" ht="15" x14ac:dyDescent="0.25">
      <c r="A452" s="61"/>
      <c r="B452" s="52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</row>
    <row r="453" spans="1:30" ht="15" x14ac:dyDescent="0.25">
      <c r="A453" s="61"/>
      <c r="B453" s="52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</row>
    <row r="454" spans="1:30" ht="15" x14ac:dyDescent="0.25">
      <c r="A454" s="61"/>
      <c r="B454" s="52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</row>
    <row r="455" spans="1:30" ht="15" x14ac:dyDescent="0.25">
      <c r="A455" s="61"/>
      <c r="B455" s="52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</row>
    <row r="456" spans="1:30" ht="15" x14ac:dyDescent="0.25">
      <c r="A456" s="61"/>
      <c r="B456" s="52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</row>
    <row r="457" spans="1:30" ht="15" x14ac:dyDescent="0.25">
      <c r="A457" s="61"/>
      <c r="B457" s="52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</row>
    <row r="458" spans="1:30" ht="15" x14ac:dyDescent="0.25">
      <c r="A458" s="61"/>
      <c r="B458" s="52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</row>
    <row r="459" spans="1:30" ht="15" x14ac:dyDescent="0.25">
      <c r="A459" s="61"/>
      <c r="B459" s="52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</row>
    <row r="460" spans="1:30" ht="15" x14ac:dyDescent="0.25">
      <c r="A460" s="61"/>
      <c r="B460" s="52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</row>
    <row r="461" spans="1:30" ht="15" x14ac:dyDescent="0.25">
      <c r="A461" s="61"/>
      <c r="B461" s="52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</row>
    <row r="462" spans="1:30" ht="15" x14ac:dyDescent="0.25">
      <c r="A462" s="61"/>
      <c r="B462" s="52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</row>
    <row r="463" spans="1:30" ht="15" x14ac:dyDescent="0.25">
      <c r="A463" s="61"/>
      <c r="B463" s="52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</row>
    <row r="464" spans="1:30" ht="15" x14ac:dyDescent="0.25">
      <c r="A464" s="61"/>
      <c r="B464" s="52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</row>
    <row r="465" spans="1:30" ht="15" x14ac:dyDescent="0.25">
      <c r="A465" s="61"/>
      <c r="B465" s="52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</row>
    <row r="466" spans="1:30" ht="15" x14ac:dyDescent="0.25">
      <c r="A466" s="61"/>
      <c r="B466" s="52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</row>
    <row r="467" spans="1:30" ht="15" x14ac:dyDescent="0.25">
      <c r="A467" s="61"/>
      <c r="B467" s="52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</row>
    <row r="468" spans="1:30" ht="15" x14ac:dyDescent="0.25">
      <c r="A468" s="61"/>
      <c r="B468" s="52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</row>
    <row r="469" spans="1:30" ht="15" x14ac:dyDescent="0.25">
      <c r="A469" s="61"/>
      <c r="B469" s="52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</row>
    <row r="470" spans="1:30" ht="15" x14ac:dyDescent="0.25">
      <c r="A470" s="61"/>
      <c r="B470" s="52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</row>
    <row r="471" spans="1:30" ht="15" x14ac:dyDescent="0.25">
      <c r="A471" s="61"/>
      <c r="B471" s="52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</row>
    <row r="472" spans="1:30" ht="15" x14ac:dyDescent="0.25">
      <c r="A472" s="61"/>
      <c r="B472" s="52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</row>
    <row r="473" spans="1:30" ht="15" x14ac:dyDescent="0.25">
      <c r="A473" s="61"/>
      <c r="B473" s="52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</row>
    <row r="474" spans="1:30" ht="15" x14ac:dyDescent="0.25">
      <c r="A474" s="61"/>
      <c r="B474" s="52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</row>
    <row r="475" spans="1:30" ht="15" x14ac:dyDescent="0.25">
      <c r="A475" s="61"/>
      <c r="B475" s="52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</row>
    <row r="476" spans="1:30" ht="15" x14ac:dyDescent="0.25">
      <c r="A476" s="61"/>
      <c r="B476" s="52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</row>
    <row r="477" spans="1:30" ht="15" x14ac:dyDescent="0.25">
      <c r="A477" s="61"/>
      <c r="B477" s="52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</row>
    <row r="478" spans="1:30" ht="15" x14ac:dyDescent="0.25">
      <c r="A478" s="61"/>
      <c r="B478" s="52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</row>
    <row r="479" spans="1:30" ht="15" x14ac:dyDescent="0.25">
      <c r="A479" s="61"/>
      <c r="B479" s="52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</row>
    <row r="480" spans="1:30" ht="15" x14ac:dyDescent="0.25">
      <c r="A480" s="61"/>
      <c r="B480" s="52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</row>
    <row r="481" spans="1:30" ht="15" x14ac:dyDescent="0.25">
      <c r="A481" s="61"/>
      <c r="B481" s="52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</row>
    <row r="482" spans="1:30" ht="15" x14ac:dyDescent="0.25">
      <c r="A482" s="61"/>
      <c r="B482" s="52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</row>
    <row r="483" spans="1:30" ht="15" x14ac:dyDescent="0.25">
      <c r="A483" s="61"/>
      <c r="B483" s="52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</row>
    <row r="484" spans="1:30" ht="15" x14ac:dyDescent="0.25">
      <c r="A484" s="61"/>
      <c r="B484" s="52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</row>
    <row r="485" spans="1:30" ht="15" x14ac:dyDescent="0.25">
      <c r="A485" s="61"/>
      <c r="B485" s="52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</row>
    <row r="486" spans="1:30" ht="15" x14ac:dyDescent="0.25">
      <c r="A486" s="61"/>
      <c r="B486" s="52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</row>
    <row r="487" spans="1:30" ht="15" x14ac:dyDescent="0.25">
      <c r="A487" s="61"/>
      <c r="B487" s="52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</row>
    <row r="488" spans="1:30" ht="15" x14ac:dyDescent="0.25">
      <c r="A488" s="61"/>
      <c r="B488" s="52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</row>
    <row r="489" spans="1:30" ht="15" x14ac:dyDescent="0.25">
      <c r="A489" s="61"/>
      <c r="B489" s="52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</row>
    <row r="490" spans="1:30" ht="15" x14ac:dyDescent="0.25">
      <c r="A490" s="61"/>
      <c r="B490" s="52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</row>
    <row r="491" spans="1:30" ht="15" x14ac:dyDescent="0.25">
      <c r="A491" s="61"/>
      <c r="B491" s="52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</row>
    <row r="492" spans="1:30" ht="15" x14ac:dyDescent="0.25">
      <c r="A492" s="61"/>
      <c r="B492" s="52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</row>
    <row r="493" spans="1:30" ht="15" x14ac:dyDescent="0.25">
      <c r="A493" s="61"/>
      <c r="B493" s="52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</row>
    <row r="494" spans="1:30" ht="15" x14ac:dyDescent="0.25">
      <c r="A494" s="61"/>
      <c r="B494" s="52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</row>
    <row r="495" spans="1:30" ht="15" x14ac:dyDescent="0.25">
      <c r="A495" s="61"/>
      <c r="B495" s="52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</row>
    <row r="496" spans="1:30" ht="15" x14ac:dyDescent="0.25">
      <c r="A496" s="61"/>
      <c r="B496" s="52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</row>
    <row r="497" spans="1:30" ht="15" x14ac:dyDescent="0.25">
      <c r="A497" s="61"/>
      <c r="B497" s="52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</row>
    <row r="498" spans="1:30" ht="15" x14ac:dyDescent="0.25">
      <c r="A498" s="61"/>
      <c r="B498" s="52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</row>
    <row r="499" spans="1:30" ht="15" x14ac:dyDescent="0.25">
      <c r="A499" s="61"/>
      <c r="B499" s="52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</row>
    <row r="500" spans="1:30" ht="15" x14ac:dyDescent="0.25">
      <c r="A500" s="61"/>
      <c r="B500" s="52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</row>
    <row r="501" spans="1:30" ht="15" x14ac:dyDescent="0.25">
      <c r="A501" s="61"/>
      <c r="B501" s="52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</row>
    <row r="502" spans="1:30" ht="15" x14ac:dyDescent="0.25">
      <c r="A502" s="61"/>
      <c r="B502" s="52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1:30" ht="15" x14ac:dyDescent="0.25">
      <c r="A503" s="61"/>
      <c r="B503" s="52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</row>
    <row r="504" spans="1:30" ht="15" x14ac:dyDescent="0.25">
      <c r="A504" s="61"/>
      <c r="B504" s="52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</row>
    <row r="505" spans="1:30" ht="15" x14ac:dyDescent="0.25">
      <c r="A505" s="61"/>
      <c r="B505" s="52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</row>
    <row r="506" spans="1:30" ht="15" x14ac:dyDescent="0.25">
      <c r="A506" s="61"/>
      <c r="B506" s="52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</row>
    <row r="507" spans="1:30" ht="15" x14ac:dyDescent="0.25">
      <c r="A507" s="61"/>
      <c r="B507" s="52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</row>
    <row r="508" spans="1:30" ht="15" x14ac:dyDescent="0.25">
      <c r="A508" s="61"/>
      <c r="B508" s="52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</row>
    <row r="509" spans="1:30" ht="15" x14ac:dyDescent="0.25">
      <c r="A509" s="61"/>
      <c r="B509" s="52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spans="1:30" ht="15" x14ac:dyDescent="0.25">
      <c r="A510" s="61"/>
      <c r="B510" s="52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</row>
    <row r="511" spans="1:30" ht="15" x14ac:dyDescent="0.25">
      <c r="A511" s="61"/>
      <c r="B511" s="52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</row>
    <row r="512" spans="1:30" ht="15" x14ac:dyDescent="0.25">
      <c r="A512" s="61"/>
      <c r="B512" s="52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</row>
    <row r="513" spans="1:30" ht="15" x14ac:dyDescent="0.25">
      <c r="A513" s="61"/>
      <c r="B513" s="52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</row>
    <row r="514" spans="1:30" ht="15" x14ac:dyDescent="0.25">
      <c r="A514" s="61"/>
      <c r="B514" s="52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</row>
    <row r="515" spans="1:30" ht="15" x14ac:dyDescent="0.25">
      <c r="A515" s="61"/>
      <c r="B515" s="52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</row>
    <row r="516" spans="1:30" ht="15" x14ac:dyDescent="0.25">
      <c r="A516" s="61"/>
      <c r="B516" s="52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</row>
    <row r="517" spans="1:30" ht="15" x14ac:dyDescent="0.25">
      <c r="A517" s="61"/>
      <c r="B517" s="52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</row>
    <row r="518" spans="1:30" ht="15" x14ac:dyDescent="0.25">
      <c r="A518" s="61"/>
      <c r="B518" s="52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</row>
    <row r="519" spans="1:30" ht="15" x14ac:dyDescent="0.25">
      <c r="A519" s="61"/>
      <c r="B519" s="52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</row>
    <row r="520" spans="1:30" ht="15" x14ac:dyDescent="0.25">
      <c r="A520" s="61"/>
      <c r="B520" s="52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</row>
    <row r="521" spans="1:30" ht="15" x14ac:dyDescent="0.25">
      <c r="A521" s="61"/>
      <c r="B521" s="52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</row>
    <row r="522" spans="1:30" ht="15" x14ac:dyDescent="0.25">
      <c r="A522" s="61"/>
      <c r="B522" s="52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</row>
    <row r="523" spans="1:30" ht="15" x14ac:dyDescent="0.25">
      <c r="A523" s="61"/>
      <c r="B523" s="52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</row>
    <row r="524" spans="1:30" ht="15" x14ac:dyDescent="0.25">
      <c r="A524" s="61"/>
      <c r="B524" s="52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</row>
    <row r="525" spans="1:30" ht="15" x14ac:dyDescent="0.25">
      <c r="A525" s="61"/>
      <c r="B525" s="52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</row>
    <row r="526" spans="1:30" ht="15" x14ac:dyDescent="0.25">
      <c r="A526" s="61"/>
      <c r="B526" s="52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</row>
    <row r="527" spans="1:30" ht="15" x14ac:dyDescent="0.25">
      <c r="A527" s="61"/>
      <c r="B527" s="52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</row>
    <row r="528" spans="1:30" ht="15" x14ac:dyDescent="0.25">
      <c r="A528" s="61"/>
      <c r="B528" s="52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</row>
    <row r="529" spans="1:30" ht="15" x14ac:dyDescent="0.25">
      <c r="A529" s="61"/>
      <c r="B529" s="52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</row>
    <row r="530" spans="1:30" ht="15" x14ac:dyDescent="0.25">
      <c r="A530" s="61"/>
      <c r="B530" s="52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</row>
    <row r="531" spans="1:30" ht="15" x14ac:dyDescent="0.25">
      <c r="A531" s="61"/>
      <c r="B531" s="52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</row>
    <row r="532" spans="1:30" ht="15" x14ac:dyDescent="0.25">
      <c r="A532" s="61"/>
      <c r="B532" s="52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</row>
    <row r="533" spans="1:30" ht="15" x14ac:dyDescent="0.25">
      <c r="A533" s="61"/>
      <c r="B533" s="52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</row>
    <row r="534" spans="1:30" ht="15" x14ac:dyDescent="0.25">
      <c r="A534" s="61"/>
      <c r="B534" s="52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</row>
    <row r="535" spans="1:30" ht="15" x14ac:dyDescent="0.25">
      <c r="A535" s="61"/>
      <c r="B535" s="52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</row>
    <row r="536" spans="1:30" ht="15" x14ac:dyDescent="0.25">
      <c r="A536" s="61"/>
      <c r="B536" s="52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</row>
    <row r="537" spans="1:30" ht="15" x14ac:dyDescent="0.25">
      <c r="A537" s="61"/>
      <c r="B537" s="52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</row>
    <row r="538" spans="1:30" ht="15" x14ac:dyDescent="0.25">
      <c r="A538" s="61"/>
      <c r="B538" s="52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</row>
    <row r="539" spans="1:30" ht="15" x14ac:dyDescent="0.25">
      <c r="A539" s="61"/>
      <c r="B539" s="52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</row>
    <row r="540" spans="1:30" ht="15" x14ac:dyDescent="0.25">
      <c r="A540" s="61"/>
      <c r="B540" s="52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</row>
    <row r="541" spans="1:30" ht="15" x14ac:dyDescent="0.25">
      <c r="A541" s="61"/>
      <c r="B541" s="52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</row>
    <row r="542" spans="1:30" ht="15" x14ac:dyDescent="0.25">
      <c r="A542" s="61"/>
      <c r="B542" s="52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</row>
    <row r="543" spans="1:30" ht="15" x14ac:dyDescent="0.25">
      <c r="A543" s="61"/>
      <c r="B543" s="52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</row>
    <row r="544" spans="1:30" ht="15" x14ac:dyDescent="0.25">
      <c r="A544" s="61"/>
      <c r="B544" s="52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</row>
    <row r="545" spans="1:30" ht="15" x14ac:dyDescent="0.25">
      <c r="A545" s="61"/>
      <c r="B545" s="52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</row>
    <row r="546" spans="1:30" ht="15" x14ac:dyDescent="0.25">
      <c r="A546" s="61"/>
      <c r="B546" s="52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</row>
    <row r="547" spans="1:30" ht="15" x14ac:dyDescent="0.25">
      <c r="A547" s="61"/>
      <c r="B547" s="52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</row>
    <row r="548" spans="1:30" ht="15" x14ac:dyDescent="0.25">
      <c r="A548" s="61"/>
      <c r="B548" s="52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</row>
    <row r="549" spans="1:30" ht="15" x14ac:dyDescent="0.25">
      <c r="A549" s="61"/>
      <c r="B549" s="52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</row>
    <row r="550" spans="1:30" ht="15" x14ac:dyDescent="0.25">
      <c r="A550" s="61"/>
      <c r="B550" s="52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</row>
    <row r="551" spans="1:30" ht="15" x14ac:dyDescent="0.25">
      <c r="A551" s="61"/>
      <c r="B551" s="52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</row>
    <row r="552" spans="1:30" ht="15" x14ac:dyDescent="0.25">
      <c r="A552" s="61"/>
      <c r="B552" s="52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</row>
    <row r="553" spans="1:30" ht="15" x14ac:dyDescent="0.25">
      <c r="A553" s="61"/>
      <c r="B553" s="52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</row>
    <row r="554" spans="1:30" ht="15" x14ac:dyDescent="0.25">
      <c r="A554" s="61"/>
      <c r="B554" s="52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</row>
    <row r="555" spans="1:30" ht="15" x14ac:dyDescent="0.25">
      <c r="A555" s="61"/>
      <c r="B555" s="52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</row>
    <row r="556" spans="1:30" ht="15" x14ac:dyDescent="0.25">
      <c r="A556" s="61"/>
      <c r="B556" s="52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</row>
    <row r="557" spans="1:30" ht="15" x14ac:dyDescent="0.25">
      <c r="A557" s="61"/>
      <c r="B557" s="52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</row>
    <row r="558" spans="1:30" ht="15" x14ac:dyDescent="0.25">
      <c r="A558" s="61"/>
      <c r="B558" s="52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</row>
    <row r="559" spans="1:30" ht="15" x14ac:dyDescent="0.25">
      <c r="A559" s="61"/>
      <c r="B559" s="52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</row>
    <row r="560" spans="1:30" ht="15" x14ac:dyDescent="0.25">
      <c r="A560" s="61"/>
      <c r="B560" s="52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</row>
    <row r="561" spans="1:30" ht="15" x14ac:dyDescent="0.25">
      <c r="A561" s="61"/>
      <c r="B561" s="52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1:30" ht="15" x14ac:dyDescent="0.25">
      <c r="A562" s="61"/>
      <c r="B562" s="52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1:30" ht="15" x14ac:dyDescent="0.25">
      <c r="A563" s="61"/>
      <c r="B563" s="52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1:30" ht="15" x14ac:dyDescent="0.25">
      <c r="A564" s="61"/>
      <c r="B564" s="52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1:30" ht="15" x14ac:dyDescent="0.25">
      <c r="A565" s="61"/>
      <c r="B565" s="52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1:30" ht="15" x14ac:dyDescent="0.25">
      <c r="A566" s="61"/>
      <c r="B566" s="52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1:30" ht="15" x14ac:dyDescent="0.25">
      <c r="A567" s="61"/>
      <c r="B567" s="52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1:30" ht="15" x14ac:dyDescent="0.25">
      <c r="A568" s="61"/>
      <c r="B568" s="52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1:30" ht="15" x14ac:dyDescent="0.25">
      <c r="A569" s="61"/>
      <c r="B569" s="52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1:30" ht="15" x14ac:dyDescent="0.25">
      <c r="A570" s="61"/>
      <c r="B570" s="52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1:30" ht="15" x14ac:dyDescent="0.25">
      <c r="A571" s="61"/>
      <c r="B571" s="52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2" spans="1:30" ht="15" x14ac:dyDescent="0.25">
      <c r="A572" s="61"/>
      <c r="B572" s="52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</row>
    <row r="573" spans="1:30" ht="15" x14ac:dyDescent="0.25">
      <c r="A573" s="61"/>
      <c r="B573" s="52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</row>
    <row r="574" spans="1:30" ht="15" x14ac:dyDescent="0.25">
      <c r="A574" s="61"/>
      <c r="B574" s="52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</row>
    <row r="575" spans="1:30" ht="15" x14ac:dyDescent="0.25">
      <c r="A575" s="61"/>
      <c r="B575" s="52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</row>
    <row r="576" spans="1:30" ht="15" x14ac:dyDescent="0.25">
      <c r="A576" s="61"/>
      <c r="B576" s="52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</row>
    <row r="577" spans="1:30" ht="15" x14ac:dyDescent="0.25">
      <c r="A577" s="61"/>
      <c r="B577" s="52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</row>
    <row r="578" spans="1:30" ht="15" x14ac:dyDescent="0.25">
      <c r="A578" s="61"/>
      <c r="B578" s="52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</row>
    <row r="579" spans="1:30" ht="15" x14ac:dyDescent="0.25">
      <c r="A579" s="61"/>
      <c r="B579" s="52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</row>
    <row r="580" spans="1:30" ht="15" x14ac:dyDescent="0.25">
      <c r="A580" s="61"/>
      <c r="B580" s="52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</row>
    <row r="581" spans="1:30" ht="15" x14ac:dyDescent="0.25">
      <c r="A581" s="61"/>
      <c r="B581" s="52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</row>
    <row r="582" spans="1:30" ht="15" x14ac:dyDescent="0.25">
      <c r="A582" s="61"/>
      <c r="B582" s="52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</row>
    <row r="583" spans="1:30" ht="15" x14ac:dyDescent="0.25">
      <c r="A583" s="61"/>
      <c r="B583" s="52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</row>
    <row r="584" spans="1:30" ht="15" x14ac:dyDescent="0.25">
      <c r="A584" s="61"/>
      <c r="B584" s="52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</row>
    <row r="585" spans="1:30" ht="15" x14ac:dyDescent="0.25">
      <c r="A585" s="61"/>
      <c r="B585" s="52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</row>
    <row r="586" spans="1:30" ht="15" x14ac:dyDescent="0.25">
      <c r="A586" s="61"/>
      <c r="B586" s="52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</row>
    <row r="587" spans="1:30" ht="15" x14ac:dyDescent="0.25">
      <c r="A587" s="61"/>
      <c r="B587" s="52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</row>
    <row r="588" spans="1:30" ht="15" x14ac:dyDescent="0.25">
      <c r="A588" s="61"/>
      <c r="B588" s="52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</row>
    <row r="589" spans="1:30" ht="15" x14ac:dyDescent="0.25">
      <c r="A589" s="61"/>
      <c r="B589" s="52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</row>
    <row r="590" spans="1:30" ht="15" x14ac:dyDescent="0.25">
      <c r="A590" s="61"/>
      <c r="B590" s="52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</row>
    <row r="591" spans="1:30" ht="15" x14ac:dyDescent="0.25">
      <c r="A591" s="61"/>
      <c r="B591" s="52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</row>
    <row r="592" spans="1:30" ht="15" x14ac:dyDescent="0.25">
      <c r="A592" s="61"/>
      <c r="B592" s="52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</row>
    <row r="593" spans="1:30" ht="15" x14ac:dyDescent="0.25">
      <c r="A593" s="61"/>
      <c r="B593" s="52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</row>
    <row r="594" spans="1:30" ht="15" x14ac:dyDescent="0.25">
      <c r="A594" s="61"/>
      <c r="B594" s="52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</row>
    <row r="595" spans="1:30" ht="15" x14ac:dyDescent="0.25">
      <c r="A595" s="61"/>
      <c r="B595" s="52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</row>
    <row r="596" spans="1:30" ht="15" x14ac:dyDescent="0.25">
      <c r="A596" s="61"/>
      <c r="B596" s="52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</row>
    <row r="597" spans="1:30" ht="15" x14ac:dyDescent="0.25">
      <c r="A597" s="61"/>
      <c r="B597" s="52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</row>
    <row r="598" spans="1:30" ht="15" x14ac:dyDescent="0.25">
      <c r="A598" s="61"/>
      <c r="B598" s="52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</row>
    <row r="599" spans="1:30" ht="15" x14ac:dyDescent="0.25">
      <c r="A599" s="61"/>
      <c r="B599" s="52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</row>
    <row r="600" spans="1:30" ht="15" x14ac:dyDescent="0.25">
      <c r="A600" s="61"/>
      <c r="B600" s="52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</row>
    <row r="601" spans="1:30" ht="15" x14ac:dyDescent="0.25">
      <c r="A601" s="61"/>
      <c r="B601" s="52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</row>
    <row r="602" spans="1:30" ht="15" x14ac:dyDescent="0.25">
      <c r="A602" s="61"/>
      <c r="B602" s="52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</row>
    <row r="603" spans="1:30" ht="15" x14ac:dyDescent="0.25">
      <c r="A603" s="61"/>
      <c r="B603" s="52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</row>
    <row r="604" spans="1:30" ht="15" x14ac:dyDescent="0.25">
      <c r="A604" s="61"/>
      <c r="B604" s="52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</row>
    <row r="605" spans="1:30" ht="15" x14ac:dyDescent="0.25">
      <c r="A605" s="61"/>
      <c r="B605" s="52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</row>
    <row r="606" spans="1:30" ht="15" x14ac:dyDescent="0.25">
      <c r="A606" s="61"/>
      <c r="B606" s="52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</row>
    <row r="607" spans="1:30" ht="15" x14ac:dyDescent="0.25">
      <c r="A607" s="61"/>
      <c r="B607" s="52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</row>
    <row r="608" spans="1:30" ht="15" x14ac:dyDescent="0.25">
      <c r="A608" s="61"/>
      <c r="B608" s="52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</row>
    <row r="609" spans="1:30" ht="15" x14ac:dyDescent="0.25">
      <c r="A609" s="61"/>
      <c r="B609" s="52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</row>
    <row r="610" spans="1:30" ht="15" x14ac:dyDescent="0.25">
      <c r="A610" s="61"/>
      <c r="B610" s="52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</row>
    <row r="611" spans="1:30" ht="15" x14ac:dyDescent="0.25">
      <c r="A611" s="61"/>
      <c r="B611" s="52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</row>
    <row r="612" spans="1:30" ht="15" x14ac:dyDescent="0.25">
      <c r="A612" s="61"/>
      <c r="B612" s="52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</row>
    <row r="613" spans="1:30" ht="15" x14ac:dyDescent="0.25">
      <c r="A613" s="61"/>
      <c r="B613" s="52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</row>
    <row r="614" spans="1:30" ht="15" x14ac:dyDescent="0.25">
      <c r="A614" s="61"/>
      <c r="B614" s="52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</row>
    <row r="615" spans="1:30" ht="15" x14ac:dyDescent="0.25">
      <c r="A615" s="61"/>
      <c r="B615" s="52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</row>
    <row r="616" spans="1:30" ht="15" x14ac:dyDescent="0.25">
      <c r="A616" s="61"/>
      <c r="B616" s="52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</row>
    <row r="617" spans="1:30" ht="15" x14ac:dyDescent="0.25">
      <c r="A617" s="61"/>
      <c r="B617" s="52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</row>
    <row r="618" spans="1:30" ht="15" x14ac:dyDescent="0.25">
      <c r="A618" s="61"/>
      <c r="B618" s="52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</row>
    <row r="619" spans="1:30" ht="15" x14ac:dyDescent="0.25">
      <c r="A619" s="61"/>
      <c r="B619" s="52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</row>
    <row r="620" spans="1:30" ht="15" x14ac:dyDescent="0.25">
      <c r="A620" s="61"/>
      <c r="B620" s="52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</row>
    <row r="621" spans="1:30" ht="15" x14ac:dyDescent="0.25">
      <c r="A621" s="61"/>
      <c r="B621" s="52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</row>
    <row r="622" spans="1:30" ht="15" x14ac:dyDescent="0.25">
      <c r="A622" s="61"/>
      <c r="B622" s="52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</row>
    <row r="623" spans="1:30" ht="15" x14ac:dyDescent="0.25">
      <c r="A623" s="61"/>
      <c r="B623" s="52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</row>
    <row r="624" spans="1:30" ht="15" x14ac:dyDescent="0.25">
      <c r="A624" s="61"/>
      <c r="B624" s="52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</row>
    <row r="625" spans="1:30" ht="15" x14ac:dyDescent="0.25">
      <c r="A625" s="61"/>
      <c r="B625" s="52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</row>
    <row r="626" spans="1:30" ht="15" x14ac:dyDescent="0.25">
      <c r="A626" s="61"/>
      <c r="B626" s="52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</row>
    <row r="627" spans="1:30" ht="15" x14ac:dyDescent="0.25">
      <c r="A627" s="61"/>
      <c r="B627" s="52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</row>
    <row r="628" spans="1:30" ht="15" x14ac:dyDescent="0.25">
      <c r="A628" s="61"/>
      <c r="B628" s="52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</row>
    <row r="629" spans="1:30" ht="15" x14ac:dyDescent="0.25">
      <c r="A629" s="61"/>
      <c r="B629" s="52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</row>
    <row r="630" spans="1:30" ht="15" x14ac:dyDescent="0.25">
      <c r="A630" s="61"/>
      <c r="B630" s="52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</row>
    <row r="631" spans="1:30" ht="15" x14ac:dyDescent="0.25">
      <c r="A631" s="61"/>
      <c r="B631" s="52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</row>
    <row r="632" spans="1:30" ht="15" x14ac:dyDescent="0.25">
      <c r="A632" s="61"/>
      <c r="B632" s="52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</row>
    <row r="633" spans="1:30" ht="15" x14ac:dyDescent="0.25">
      <c r="A633" s="61"/>
      <c r="B633" s="52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</row>
    <row r="634" spans="1:30" ht="15" x14ac:dyDescent="0.25">
      <c r="A634" s="61"/>
      <c r="B634" s="52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</row>
    <row r="635" spans="1:30" ht="15" x14ac:dyDescent="0.25">
      <c r="A635" s="61"/>
      <c r="B635" s="52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</row>
    <row r="636" spans="1:30" ht="15" x14ac:dyDescent="0.25">
      <c r="A636" s="61"/>
      <c r="B636" s="52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</row>
    <row r="637" spans="1:30" ht="15" x14ac:dyDescent="0.25">
      <c r="A637" s="61"/>
      <c r="B637" s="52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</row>
    <row r="638" spans="1:30" ht="15" x14ac:dyDescent="0.25">
      <c r="A638" s="61"/>
      <c r="B638" s="52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</row>
    <row r="639" spans="1:30" ht="15" x14ac:dyDescent="0.25">
      <c r="A639" s="61"/>
      <c r="B639" s="52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</row>
    <row r="640" spans="1:30" ht="15" x14ac:dyDescent="0.25">
      <c r="A640" s="61"/>
      <c r="B640" s="52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</row>
    <row r="641" spans="1:30" ht="15" x14ac:dyDescent="0.25">
      <c r="A641" s="61"/>
      <c r="B641" s="52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</row>
    <row r="642" spans="1:30" ht="15" x14ac:dyDescent="0.25">
      <c r="A642" s="61"/>
      <c r="B642" s="52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</row>
    <row r="643" spans="1:30" ht="15" x14ac:dyDescent="0.25">
      <c r="A643" s="61"/>
      <c r="B643" s="52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</row>
    <row r="644" spans="1:30" ht="15" x14ac:dyDescent="0.25">
      <c r="A644" s="61"/>
      <c r="B644" s="52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</row>
    <row r="645" spans="1:30" ht="15" x14ac:dyDescent="0.25">
      <c r="A645" s="61"/>
      <c r="B645" s="52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</row>
    <row r="646" spans="1:30" ht="15" x14ac:dyDescent="0.25">
      <c r="A646" s="61"/>
      <c r="B646" s="52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</row>
    <row r="647" spans="1:30" ht="15" x14ac:dyDescent="0.25">
      <c r="A647" s="61"/>
      <c r="B647" s="52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</row>
    <row r="648" spans="1:30" ht="15" x14ac:dyDescent="0.25">
      <c r="A648" s="61"/>
      <c r="B648" s="52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</row>
    <row r="649" spans="1:30" ht="15" x14ac:dyDescent="0.25">
      <c r="A649" s="61"/>
      <c r="B649" s="52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</row>
    <row r="650" spans="1:30" ht="15" x14ac:dyDescent="0.25">
      <c r="A650" s="61"/>
      <c r="B650" s="52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</row>
    <row r="651" spans="1:30" ht="15" x14ac:dyDescent="0.25">
      <c r="A651" s="61"/>
      <c r="B651" s="52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</row>
    <row r="652" spans="1:30" ht="15" x14ac:dyDescent="0.25">
      <c r="A652" s="61"/>
      <c r="B652" s="52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</row>
    <row r="653" spans="1:30" ht="15" x14ac:dyDescent="0.25">
      <c r="A653" s="61"/>
      <c r="B653" s="52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</row>
    <row r="654" spans="1:30" ht="15" x14ac:dyDescent="0.25">
      <c r="A654" s="61"/>
      <c r="B654" s="52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</row>
    <row r="655" spans="1:30" ht="15" x14ac:dyDescent="0.25">
      <c r="A655" s="61"/>
      <c r="B655" s="52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</row>
    <row r="656" spans="1:30" ht="15" x14ac:dyDescent="0.25">
      <c r="A656" s="61"/>
      <c r="B656" s="52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</row>
    <row r="657" spans="1:30" ht="15" x14ac:dyDescent="0.25">
      <c r="A657" s="61"/>
      <c r="B657" s="52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</row>
    <row r="658" spans="1:30" ht="15" x14ac:dyDescent="0.25">
      <c r="A658" s="61"/>
      <c r="B658" s="52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</row>
    <row r="659" spans="1:30" ht="15" x14ac:dyDescent="0.25">
      <c r="A659" s="61"/>
      <c r="B659" s="52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</row>
    <row r="660" spans="1:30" ht="15" x14ac:dyDescent="0.25">
      <c r="A660" s="61"/>
      <c r="B660" s="52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</row>
    <row r="661" spans="1:30" ht="15" x14ac:dyDescent="0.25">
      <c r="A661" s="61"/>
      <c r="B661" s="52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</row>
    <row r="662" spans="1:30" ht="15" x14ac:dyDescent="0.25">
      <c r="A662" s="61"/>
      <c r="B662" s="52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</row>
    <row r="663" spans="1:30" ht="15" x14ac:dyDescent="0.25">
      <c r="A663" s="61"/>
      <c r="B663" s="52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</row>
    <row r="664" spans="1:30" ht="15" x14ac:dyDescent="0.25">
      <c r="A664" s="61"/>
      <c r="B664" s="52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</row>
    <row r="665" spans="1:30" ht="15" x14ac:dyDescent="0.25">
      <c r="A665" s="61"/>
      <c r="B665" s="52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</row>
    <row r="666" spans="1:30" ht="15" x14ac:dyDescent="0.25">
      <c r="A666" s="61"/>
      <c r="B666" s="52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</row>
    <row r="667" spans="1:30" ht="15" x14ac:dyDescent="0.25">
      <c r="A667" s="61"/>
      <c r="B667" s="52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</row>
    <row r="668" spans="1:30" ht="15" x14ac:dyDescent="0.25">
      <c r="A668" s="61"/>
      <c r="B668" s="52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</row>
    <row r="669" spans="1:30" ht="15" x14ac:dyDescent="0.25">
      <c r="A669" s="61"/>
      <c r="B669" s="52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</row>
    <row r="670" spans="1:30" ht="15" x14ac:dyDescent="0.25">
      <c r="A670" s="61"/>
      <c r="B670" s="52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</row>
    <row r="671" spans="1:30" ht="15" x14ac:dyDescent="0.25">
      <c r="A671" s="61"/>
      <c r="B671" s="52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</row>
    <row r="672" spans="1:30" ht="15" x14ac:dyDescent="0.25">
      <c r="A672" s="61"/>
      <c r="B672" s="52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</row>
    <row r="673" spans="1:30" ht="15" x14ac:dyDescent="0.25">
      <c r="A673" s="61"/>
      <c r="B673" s="52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</row>
    <row r="674" spans="1:30" ht="15" x14ac:dyDescent="0.25">
      <c r="A674" s="61"/>
      <c r="B674" s="52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</row>
    <row r="675" spans="1:30" ht="15" x14ac:dyDescent="0.25">
      <c r="A675" s="61"/>
      <c r="B675" s="52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</row>
    <row r="676" spans="1:30" ht="15" x14ac:dyDescent="0.25">
      <c r="A676" s="61"/>
      <c r="B676" s="52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</row>
    <row r="677" spans="1:30" ht="15" x14ac:dyDescent="0.25">
      <c r="A677" s="61"/>
      <c r="B677" s="52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</row>
    <row r="678" spans="1:30" ht="15" x14ac:dyDescent="0.25">
      <c r="A678" s="61"/>
      <c r="B678" s="52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</row>
    <row r="679" spans="1:30" ht="15" x14ac:dyDescent="0.25">
      <c r="A679" s="61"/>
      <c r="B679" s="52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</row>
    <row r="680" spans="1:30" ht="15" x14ac:dyDescent="0.25">
      <c r="A680" s="61"/>
      <c r="B680" s="52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</row>
    <row r="681" spans="1:30" ht="15" x14ac:dyDescent="0.25">
      <c r="A681" s="61"/>
      <c r="B681" s="52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</row>
    <row r="682" spans="1:30" ht="15" x14ac:dyDescent="0.25">
      <c r="A682" s="61"/>
      <c r="B682" s="52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</row>
    <row r="683" spans="1:30" ht="15" x14ac:dyDescent="0.25">
      <c r="A683" s="61"/>
      <c r="B683" s="52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</row>
    <row r="684" spans="1:30" ht="15" x14ac:dyDescent="0.25">
      <c r="A684" s="61"/>
      <c r="B684" s="52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</row>
    <row r="685" spans="1:30" ht="15" x14ac:dyDescent="0.25">
      <c r="A685" s="61"/>
      <c r="B685" s="52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</row>
    <row r="686" spans="1:30" ht="15" x14ac:dyDescent="0.25">
      <c r="A686" s="61"/>
      <c r="B686" s="52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</row>
    <row r="687" spans="1:30" ht="15" x14ac:dyDescent="0.25">
      <c r="A687" s="61"/>
      <c r="B687" s="52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</row>
    <row r="688" spans="1:30" ht="15" x14ac:dyDescent="0.25">
      <c r="A688" s="61"/>
      <c r="B688" s="52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</row>
    <row r="689" spans="1:30" ht="15" x14ac:dyDescent="0.25">
      <c r="A689" s="61"/>
      <c r="B689" s="52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</row>
    <row r="690" spans="1:30" ht="15" x14ac:dyDescent="0.25">
      <c r="A690" s="61"/>
      <c r="B690" s="52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</row>
    <row r="691" spans="1:30" ht="15" x14ac:dyDescent="0.25">
      <c r="A691" s="61"/>
      <c r="B691" s="52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</row>
    <row r="692" spans="1:30" ht="15" x14ac:dyDescent="0.25">
      <c r="A692" s="61"/>
      <c r="B692" s="52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</row>
    <row r="693" spans="1:30" ht="15" x14ac:dyDescent="0.25">
      <c r="A693" s="61"/>
      <c r="B693" s="52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</row>
    <row r="694" spans="1:30" ht="15" x14ac:dyDescent="0.25">
      <c r="A694" s="61"/>
      <c r="B694" s="52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</row>
    <row r="695" spans="1:30" ht="15" x14ac:dyDescent="0.25">
      <c r="A695" s="61"/>
      <c r="B695" s="52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</row>
    <row r="696" spans="1:30" ht="15" x14ac:dyDescent="0.25">
      <c r="A696" s="61"/>
      <c r="B696" s="52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</row>
    <row r="697" spans="1:30" ht="15" x14ac:dyDescent="0.25">
      <c r="A697" s="61"/>
      <c r="B697" s="52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</row>
    <row r="698" spans="1:30" ht="15" x14ac:dyDescent="0.25">
      <c r="A698" s="61"/>
      <c r="B698" s="52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</row>
    <row r="699" spans="1:30" ht="15" x14ac:dyDescent="0.25">
      <c r="A699" s="61"/>
      <c r="B699" s="52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</row>
    <row r="700" spans="1:30" ht="15" x14ac:dyDescent="0.25">
      <c r="A700" s="61"/>
      <c r="B700" s="52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</row>
    <row r="701" spans="1:30" ht="15" x14ac:dyDescent="0.25">
      <c r="A701" s="61"/>
      <c r="B701" s="52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</row>
    <row r="702" spans="1:30" ht="15" x14ac:dyDescent="0.25">
      <c r="A702" s="61"/>
      <c r="B702" s="52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</row>
    <row r="703" spans="1:30" ht="15" x14ac:dyDescent="0.25">
      <c r="A703" s="61"/>
      <c r="B703" s="52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</row>
    <row r="704" spans="1:30" ht="15" x14ac:dyDescent="0.25">
      <c r="A704" s="61"/>
      <c r="B704" s="52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</row>
    <row r="705" spans="1:30" ht="15" x14ac:dyDescent="0.25">
      <c r="A705" s="61"/>
      <c r="B705" s="52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</row>
    <row r="706" spans="1:30" ht="15" x14ac:dyDescent="0.25">
      <c r="A706" s="61"/>
      <c r="B706" s="52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</row>
    <row r="707" spans="1:30" ht="15" x14ac:dyDescent="0.25">
      <c r="A707" s="61"/>
      <c r="B707" s="52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</row>
    <row r="708" spans="1:30" ht="15" x14ac:dyDescent="0.25">
      <c r="A708" s="61"/>
      <c r="B708" s="52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</row>
    <row r="709" spans="1:30" ht="15" x14ac:dyDescent="0.25">
      <c r="A709" s="61"/>
      <c r="B709" s="52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</row>
    <row r="710" spans="1:30" ht="15" x14ac:dyDescent="0.25">
      <c r="A710" s="61"/>
      <c r="B710" s="52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</row>
    <row r="711" spans="1:30" ht="15" x14ac:dyDescent="0.25">
      <c r="A711" s="61"/>
      <c r="B711" s="52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</row>
    <row r="712" spans="1:30" ht="15" x14ac:dyDescent="0.25">
      <c r="A712" s="61"/>
      <c r="B712" s="52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</row>
    <row r="713" spans="1:30" ht="15" x14ac:dyDescent="0.25">
      <c r="A713" s="61"/>
      <c r="B713" s="52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</row>
    <row r="714" spans="1:30" ht="15" x14ac:dyDescent="0.25">
      <c r="A714" s="61"/>
      <c r="B714" s="52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</row>
    <row r="715" spans="1:30" ht="15" x14ac:dyDescent="0.25">
      <c r="A715" s="61"/>
      <c r="B715" s="52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</row>
    <row r="716" spans="1:30" ht="15" x14ac:dyDescent="0.25">
      <c r="A716" s="61"/>
      <c r="B716" s="52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</row>
    <row r="717" spans="1:30" ht="15" x14ac:dyDescent="0.25">
      <c r="A717" s="61"/>
      <c r="B717" s="52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</row>
    <row r="718" spans="1:30" ht="15" x14ac:dyDescent="0.25">
      <c r="A718" s="61"/>
      <c r="B718" s="52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</row>
    <row r="719" spans="1:30" ht="15" x14ac:dyDescent="0.25">
      <c r="A719" s="61"/>
      <c r="B719" s="52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</row>
    <row r="720" spans="1:30" ht="15" x14ac:dyDescent="0.25">
      <c r="A720" s="61"/>
      <c r="B720" s="52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</row>
    <row r="721" spans="1:30" ht="15" x14ac:dyDescent="0.25">
      <c r="A721" s="61"/>
      <c r="B721" s="52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</row>
    <row r="722" spans="1:30" ht="15" x14ac:dyDescent="0.25">
      <c r="A722" s="61"/>
      <c r="B722" s="52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</row>
    <row r="723" spans="1:30" ht="15" x14ac:dyDescent="0.25">
      <c r="A723" s="61"/>
      <c r="B723" s="52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</row>
    <row r="724" spans="1:30" ht="15" x14ac:dyDescent="0.25">
      <c r="A724" s="61"/>
      <c r="B724" s="52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</row>
    <row r="725" spans="1:30" ht="15" x14ac:dyDescent="0.25">
      <c r="A725" s="61"/>
      <c r="B725" s="52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</row>
    <row r="726" spans="1:30" ht="15" x14ac:dyDescent="0.25">
      <c r="A726" s="61"/>
      <c r="B726" s="52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</row>
    <row r="727" spans="1:30" ht="15" x14ac:dyDescent="0.25">
      <c r="A727" s="61"/>
      <c r="B727" s="52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</row>
    <row r="728" spans="1:30" ht="15" x14ac:dyDescent="0.25">
      <c r="A728" s="61"/>
      <c r="B728" s="52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</row>
    <row r="729" spans="1:30" ht="15" x14ac:dyDescent="0.25">
      <c r="A729" s="61"/>
      <c r="B729" s="52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</row>
    <row r="730" spans="1:30" ht="15" x14ac:dyDescent="0.25">
      <c r="A730" s="61"/>
      <c r="B730" s="52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</row>
    <row r="731" spans="1:30" ht="15" x14ac:dyDescent="0.25">
      <c r="A731" s="61"/>
      <c r="B731" s="52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</row>
    <row r="732" spans="1:30" ht="15" x14ac:dyDescent="0.25">
      <c r="A732" s="61"/>
      <c r="B732" s="52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</row>
    <row r="733" spans="1:30" ht="15" x14ac:dyDescent="0.25">
      <c r="A733" s="61"/>
      <c r="B733" s="52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</row>
    <row r="734" spans="1:30" ht="15" x14ac:dyDescent="0.25">
      <c r="A734" s="61"/>
      <c r="B734" s="52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</row>
    <row r="735" spans="1:30" ht="15" x14ac:dyDescent="0.25">
      <c r="A735" s="61"/>
      <c r="B735" s="52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</row>
    <row r="736" spans="1:30" ht="15" x14ac:dyDescent="0.25">
      <c r="A736" s="61"/>
      <c r="B736" s="52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</row>
    <row r="737" spans="1:30" ht="15" x14ac:dyDescent="0.25">
      <c r="A737" s="61"/>
      <c r="B737" s="52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</row>
    <row r="738" spans="1:30" ht="15" x14ac:dyDescent="0.25">
      <c r="A738" s="61"/>
      <c r="B738" s="52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</row>
    <row r="739" spans="1:30" ht="15" x14ac:dyDescent="0.25">
      <c r="A739" s="61"/>
      <c r="B739" s="52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</row>
    <row r="740" spans="1:30" ht="15" x14ac:dyDescent="0.25">
      <c r="A740" s="61"/>
      <c r="B740" s="52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</row>
    <row r="741" spans="1:30" ht="15" x14ac:dyDescent="0.25">
      <c r="A741" s="61"/>
      <c r="B741" s="52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</row>
    <row r="742" spans="1:30" ht="15" x14ac:dyDescent="0.25">
      <c r="A742" s="61"/>
      <c r="B742" s="52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</row>
    <row r="743" spans="1:30" ht="15" x14ac:dyDescent="0.25">
      <c r="A743" s="61"/>
      <c r="B743" s="52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</row>
    <row r="744" spans="1:30" ht="15" x14ac:dyDescent="0.25">
      <c r="A744" s="61"/>
      <c r="B744" s="52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</row>
    <row r="745" spans="1:30" ht="15" x14ac:dyDescent="0.25">
      <c r="A745" s="61"/>
      <c r="B745" s="52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</row>
    <row r="746" spans="1:30" ht="15" x14ac:dyDescent="0.25">
      <c r="A746" s="61"/>
      <c r="B746" s="52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</row>
    <row r="747" spans="1:30" ht="15" x14ac:dyDescent="0.25">
      <c r="A747" s="61"/>
      <c r="B747" s="52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</row>
    <row r="748" spans="1:30" ht="15" x14ac:dyDescent="0.25">
      <c r="A748" s="61"/>
      <c r="B748" s="52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</row>
    <row r="749" spans="1:30" ht="15" x14ac:dyDescent="0.25">
      <c r="A749" s="61"/>
      <c r="B749" s="52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</row>
    <row r="750" spans="1:30" ht="15" x14ac:dyDescent="0.25">
      <c r="A750" s="61"/>
      <c r="B750" s="52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</row>
    <row r="751" spans="1:30" ht="15" x14ac:dyDescent="0.25">
      <c r="A751" s="61"/>
      <c r="B751" s="52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</row>
    <row r="752" spans="1:30" ht="15" x14ac:dyDescent="0.25">
      <c r="A752" s="61"/>
      <c r="B752" s="52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</row>
    <row r="753" spans="1:30" ht="15" x14ac:dyDescent="0.25">
      <c r="A753" s="61"/>
      <c r="B753" s="52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</row>
    <row r="754" spans="1:30" ht="15" x14ac:dyDescent="0.25">
      <c r="A754" s="61"/>
      <c r="B754" s="52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</row>
    <row r="755" spans="1:30" ht="15" x14ac:dyDescent="0.25">
      <c r="A755" s="61"/>
      <c r="B755" s="52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</row>
    <row r="756" spans="1:30" ht="15" x14ac:dyDescent="0.25">
      <c r="A756" s="61"/>
      <c r="B756" s="52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</row>
    <row r="757" spans="1:30" ht="15" x14ac:dyDescent="0.25">
      <c r="A757" s="61"/>
      <c r="B757" s="52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</row>
    <row r="758" spans="1:30" ht="15" x14ac:dyDescent="0.25">
      <c r="A758" s="61"/>
      <c r="B758" s="52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</row>
    <row r="759" spans="1:30" ht="15" x14ac:dyDescent="0.25">
      <c r="A759" s="61"/>
      <c r="B759" s="52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</row>
    <row r="760" spans="1:30" ht="15" x14ac:dyDescent="0.25">
      <c r="A760" s="61"/>
      <c r="B760" s="52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</row>
    <row r="761" spans="1:30" ht="15" x14ac:dyDescent="0.25">
      <c r="A761" s="61"/>
      <c r="B761" s="52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</row>
    <row r="762" spans="1:30" ht="15" x14ac:dyDescent="0.25">
      <c r="A762" s="61"/>
      <c r="B762" s="52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</row>
    <row r="763" spans="1:30" ht="15" x14ac:dyDescent="0.25">
      <c r="A763" s="61"/>
      <c r="B763" s="52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</row>
    <row r="764" spans="1:30" ht="15" x14ac:dyDescent="0.25">
      <c r="A764" s="61"/>
      <c r="B764" s="52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</row>
    <row r="765" spans="1:30" ht="15" x14ac:dyDescent="0.25">
      <c r="A765" s="61"/>
      <c r="B765" s="52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</row>
    <row r="766" spans="1:30" ht="15" x14ac:dyDescent="0.25">
      <c r="A766" s="61"/>
      <c r="B766" s="52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</row>
    <row r="767" spans="1:30" ht="15" x14ac:dyDescent="0.25">
      <c r="A767" s="61"/>
      <c r="B767" s="52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</row>
    <row r="768" spans="1:30" ht="15" x14ac:dyDescent="0.25">
      <c r="A768" s="61"/>
      <c r="B768" s="52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</row>
    <row r="769" spans="1:30" ht="15" x14ac:dyDescent="0.25">
      <c r="A769" s="61"/>
      <c r="B769" s="52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</row>
    <row r="770" spans="1:30" ht="15" x14ac:dyDescent="0.25">
      <c r="A770" s="61"/>
      <c r="B770" s="52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</row>
    <row r="771" spans="1:30" ht="15" x14ac:dyDescent="0.25">
      <c r="A771" s="61"/>
      <c r="B771" s="52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</row>
    <row r="772" spans="1:30" ht="15" x14ac:dyDescent="0.25">
      <c r="A772" s="61"/>
      <c r="B772" s="52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</row>
    <row r="773" spans="1:30" ht="15" x14ac:dyDescent="0.25">
      <c r="A773" s="61"/>
      <c r="B773" s="52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</row>
    <row r="774" spans="1:30" ht="15" x14ac:dyDescent="0.25">
      <c r="A774" s="61"/>
      <c r="B774" s="52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</row>
    <row r="775" spans="1:30" ht="15" x14ac:dyDescent="0.25">
      <c r="A775" s="61"/>
      <c r="B775" s="52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</row>
    <row r="776" spans="1:30" ht="15" x14ac:dyDescent="0.25">
      <c r="A776" s="61"/>
      <c r="B776" s="52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</row>
    <row r="777" spans="1:30" ht="15" x14ac:dyDescent="0.25">
      <c r="A777" s="61"/>
      <c r="B777" s="52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</row>
    <row r="778" spans="1:30" ht="15" x14ac:dyDescent="0.25">
      <c r="A778" s="61"/>
      <c r="B778" s="52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</row>
    <row r="779" spans="1:30" ht="15" x14ac:dyDescent="0.25">
      <c r="A779" s="61"/>
      <c r="B779" s="52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</row>
    <row r="780" spans="1:30" ht="15" x14ac:dyDescent="0.25">
      <c r="A780" s="61"/>
      <c r="B780" s="52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</row>
    <row r="781" spans="1:30" ht="15" x14ac:dyDescent="0.25">
      <c r="A781" s="61"/>
      <c r="B781" s="52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</row>
    <row r="782" spans="1:30" ht="15" x14ac:dyDescent="0.25">
      <c r="A782" s="61"/>
      <c r="B782" s="52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</row>
    <row r="783" spans="1:30" ht="15" x14ac:dyDescent="0.25">
      <c r="A783" s="61"/>
      <c r="B783" s="52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</row>
    <row r="784" spans="1:30" ht="15" x14ac:dyDescent="0.25">
      <c r="A784" s="61"/>
      <c r="B784" s="52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</row>
    <row r="785" spans="1:30" ht="15" x14ac:dyDescent="0.25">
      <c r="A785" s="61"/>
      <c r="B785" s="52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</row>
    <row r="786" spans="1:30" ht="15" x14ac:dyDescent="0.25">
      <c r="A786" s="61"/>
      <c r="B786" s="52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</row>
    <row r="787" spans="1:30" ht="15" x14ac:dyDescent="0.25">
      <c r="A787" s="61"/>
      <c r="B787" s="52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</row>
    <row r="788" spans="1:30" ht="15" x14ac:dyDescent="0.25">
      <c r="A788" s="61"/>
      <c r="B788" s="52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</row>
    <row r="789" spans="1:30" ht="15" x14ac:dyDescent="0.25">
      <c r="A789" s="61"/>
      <c r="B789" s="52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</row>
    <row r="790" spans="1:30" ht="15" x14ac:dyDescent="0.25">
      <c r="A790" s="61"/>
      <c r="B790" s="52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</row>
    <row r="791" spans="1:30" ht="15" x14ac:dyDescent="0.25">
      <c r="A791" s="61"/>
      <c r="B791" s="52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</row>
    <row r="792" spans="1:30" ht="15" x14ac:dyDescent="0.25">
      <c r="A792" s="61"/>
      <c r="B792" s="52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</row>
    <row r="793" spans="1:30" ht="15" x14ac:dyDescent="0.25">
      <c r="A793" s="61"/>
      <c r="B793" s="52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</row>
    <row r="794" spans="1:30" ht="15" x14ac:dyDescent="0.25">
      <c r="A794" s="61"/>
      <c r="B794" s="52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</row>
    <row r="795" spans="1:30" ht="15" x14ac:dyDescent="0.25">
      <c r="A795" s="61"/>
      <c r="B795" s="52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</row>
    <row r="796" spans="1:30" ht="15" x14ac:dyDescent="0.25">
      <c r="A796" s="61"/>
      <c r="B796" s="52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</row>
    <row r="797" spans="1:30" ht="15" x14ac:dyDescent="0.25">
      <c r="A797" s="61"/>
      <c r="B797" s="52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</row>
    <row r="798" spans="1:30" ht="15" x14ac:dyDescent="0.25">
      <c r="A798" s="61"/>
      <c r="B798" s="52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</row>
    <row r="799" spans="1:30" ht="15" x14ac:dyDescent="0.25">
      <c r="A799" s="61"/>
      <c r="B799" s="52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</row>
    <row r="800" spans="1:30" ht="15" x14ac:dyDescent="0.25">
      <c r="A800" s="61"/>
      <c r="B800" s="52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</row>
    <row r="801" spans="1:30" ht="15" x14ac:dyDescent="0.25">
      <c r="A801" s="61"/>
      <c r="B801" s="52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</row>
    <row r="802" spans="1:30" ht="15" x14ac:dyDescent="0.25">
      <c r="A802" s="61"/>
      <c r="B802" s="52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</row>
    <row r="803" spans="1:30" ht="15" x14ac:dyDescent="0.25">
      <c r="A803" s="61"/>
      <c r="B803" s="52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</row>
    <row r="804" spans="1:30" ht="15" x14ac:dyDescent="0.25">
      <c r="A804" s="61"/>
      <c r="B804" s="52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</row>
    <row r="805" spans="1:30" ht="15" x14ac:dyDescent="0.25">
      <c r="A805" s="61"/>
      <c r="B805" s="52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</row>
    <row r="806" spans="1:30" ht="15" x14ac:dyDescent="0.25">
      <c r="A806" s="61"/>
      <c r="B806" s="52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</row>
    <row r="807" spans="1:30" ht="15" x14ac:dyDescent="0.25">
      <c r="A807" s="61"/>
      <c r="B807" s="52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</row>
    <row r="808" spans="1:30" ht="15" x14ac:dyDescent="0.25">
      <c r="A808" s="61"/>
      <c r="B808" s="52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</row>
    <row r="809" spans="1:30" ht="15" x14ac:dyDescent="0.25">
      <c r="A809" s="61"/>
      <c r="B809" s="52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</row>
    <row r="810" spans="1:30" ht="15" x14ac:dyDescent="0.25">
      <c r="A810" s="61"/>
      <c r="B810" s="52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</row>
    <row r="811" spans="1:30" ht="15" x14ac:dyDescent="0.25">
      <c r="A811" s="61"/>
      <c r="B811" s="52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</row>
    <row r="812" spans="1:30" ht="15" x14ac:dyDescent="0.25">
      <c r="A812" s="61"/>
      <c r="B812" s="52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</row>
    <row r="813" spans="1:30" ht="15" x14ac:dyDescent="0.25">
      <c r="A813" s="61"/>
      <c r="B813" s="52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</row>
    <row r="814" spans="1:30" ht="15" x14ac:dyDescent="0.25">
      <c r="A814" s="61"/>
      <c r="B814" s="52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</row>
    <row r="815" spans="1:30" ht="15" x14ac:dyDescent="0.25">
      <c r="A815" s="61"/>
      <c r="B815" s="52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</row>
    <row r="816" spans="1:30" ht="15" x14ac:dyDescent="0.25">
      <c r="A816" s="61"/>
      <c r="B816" s="52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</row>
    <row r="817" spans="1:30" ht="15" x14ac:dyDescent="0.25">
      <c r="A817" s="61"/>
      <c r="B817" s="52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</row>
    <row r="818" spans="1:30" ht="15" x14ac:dyDescent="0.25">
      <c r="A818" s="61"/>
      <c r="B818" s="52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</row>
    <row r="819" spans="1:30" ht="15" x14ac:dyDescent="0.25">
      <c r="A819" s="61"/>
      <c r="B819" s="52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</row>
    <row r="820" spans="1:30" ht="15" x14ac:dyDescent="0.25">
      <c r="A820" s="61"/>
      <c r="B820" s="52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</row>
    <row r="821" spans="1:30" ht="15" x14ac:dyDescent="0.25">
      <c r="A821" s="61"/>
      <c r="B821" s="52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</row>
    <row r="822" spans="1:30" ht="15" x14ac:dyDescent="0.25">
      <c r="A822" s="61"/>
      <c r="B822" s="52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</row>
    <row r="823" spans="1:30" ht="15" x14ac:dyDescent="0.25">
      <c r="A823" s="61"/>
      <c r="B823" s="52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</row>
    <row r="824" spans="1:30" ht="15" x14ac:dyDescent="0.25">
      <c r="A824" s="61"/>
      <c r="B824" s="52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</row>
    <row r="825" spans="1:30" ht="15" x14ac:dyDescent="0.25">
      <c r="A825" s="61"/>
      <c r="B825" s="52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</row>
    <row r="826" spans="1:30" ht="15" x14ac:dyDescent="0.25">
      <c r="A826" s="61"/>
      <c r="B826" s="52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</row>
    <row r="827" spans="1:30" ht="15" x14ac:dyDescent="0.25">
      <c r="A827" s="61"/>
      <c r="B827" s="52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</row>
    <row r="828" spans="1:30" ht="15" x14ac:dyDescent="0.25">
      <c r="A828" s="61"/>
      <c r="B828" s="52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</row>
    <row r="829" spans="1:30" ht="15" x14ac:dyDescent="0.25">
      <c r="A829" s="61"/>
      <c r="B829" s="52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</row>
    <row r="830" spans="1:30" ht="15" x14ac:dyDescent="0.25">
      <c r="A830" s="61"/>
      <c r="B830" s="52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</row>
    <row r="831" spans="1:30" ht="15" x14ac:dyDescent="0.25">
      <c r="A831" s="61"/>
      <c r="B831" s="52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</row>
    <row r="832" spans="1:30" ht="15" x14ac:dyDescent="0.25">
      <c r="A832" s="61"/>
      <c r="B832" s="52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</row>
    <row r="833" spans="1:30" ht="15" x14ac:dyDescent="0.25">
      <c r="A833" s="61"/>
      <c r="B833" s="52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</row>
    <row r="834" spans="1:30" ht="15" x14ac:dyDescent="0.25">
      <c r="A834" s="61"/>
      <c r="B834" s="52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</row>
    <row r="835" spans="1:30" ht="15" x14ac:dyDescent="0.25">
      <c r="A835" s="61"/>
      <c r="B835" s="52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</row>
    <row r="836" spans="1:30" ht="15" x14ac:dyDescent="0.25">
      <c r="A836" s="61"/>
      <c r="B836" s="52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</row>
    <row r="837" spans="1:30" ht="15" x14ac:dyDescent="0.25">
      <c r="A837" s="61"/>
      <c r="B837" s="52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</row>
    <row r="838" spans="1:30" ht="15" x14ac:dyDescent="0.25">
      <c r="A838" s="61"/>
      <c r="B838" s="52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</row>
    <row r="839" spans="1:30" ht="15" x14ac:dyDescent="0.25">
      <c r="A839" s="61"/>
      <c r="B839" s="52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</row>
    <row r="840" spans="1:30" ht="15" x14ac:dyDescent="0.25">
      <c r="A840" s="61"/>
      <c r="B840" s="52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</row>
    <row r="841" spans="1:30" ht="15" x14ac:dyDescent="0.25">
      <c r="A841" s="61"/>
      <c r="B841" s="52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</row>
    <row r="842" spans="1:30" ht="15" x14ac:dyDescent="0.25">
      <c r="A842" s="61"/>
      <c r="B842" s="52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</row>
    <row r="843" spans="1:30" ht="15" x14ac:dyDescent="0.25">
      <c r="A843" s="61"/>
      <c r="B843" s="52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</row>
    <row r="844" spans="1:30" ht="15" x14ac:dyDescent="0.25">
      <c r="A844" s="61"/>
      <c r="B844" s="52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</row>
    <row r="845" spans="1:30" ht="15" x14ac:dyDescent="0.25">
      <c r="A845" s="61"/>
      <c r="B845" s="52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</row>
    <row r="846" spans="1:30" ht="15" x14ac:dyDescent="0.25">
      <c r="A846" s="61"/>
      <c r="B846" s="52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</row>
    <row r="847" spans="1:30" ht="15" x14ac:dyDescent="0.25">
      <c r="A847" s="61"/>
      <c r="B847" s="52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</row>
    <row r="848" spans="1:30" ht="15" x14ac:dyDescent="0.25">
      <c r="A848" s="61"/>
      <c r="B848" s="52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</row>
    <row r="849" spans="1:30" ht="15" x14ac:dyDescent="0.25">
      <c r="A849" s="61"/>
      <c r="B849" s="52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</row>
    <row r="850" spans="1:30" ht="15" x14ac:dyDescent="0.25">
      <c r="A850" s="61"/>
      <c r="B850" s="52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</row>
    <row r="851" spans="1:30" ht="15" x14ac:dyDescent="0.25">
      <c r="A851" s="61"/>
      <c r="B851" s="52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</row>
    <row r="852" spans="1:30" ht="15" x14ac:dyDescent="0.25">
      <c r="A852" s="61"/>
      <c r="B852" s="52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</row>
    <row r="853" spans="1:30" ht="15" x14ac:dyDescent="0.25">
      <c r="A853" s="61"/>
      <c r="B853" s="52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</row>
    <row r="854" spans="1:30" ht="15" x14ac:dyDescent="0.25">
      <c r="A854" s="61"/>
      <c r="B854" s="52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</row>
    <row r="855" spans="1:30" ht="15" x14ac:dyDescent="0.25">
      <c r="A855" s="61"/>
      <c r="B855" s="52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</row>
    <row r="856" spans="1:30" ht="15" x14ac:dyDescent="0.25">
      <c r="A856" s="61"/>
      <c r="B856" s="52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</row>
    <row r="857" spans="1:30" ht="15" x14ac:dyDescent="0.25">
      <c r="A857" s="61"/>
      <c r="B857" s="52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</row>
    <row r="858" spans="1:30" ht="15" x14ac:dyDescent="0.25">
      <c r="A858" s="61"/>
      <c r="B858" s="52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</row>
    <row r="859" spans="1:30" ht="15" x14ac:dyDescent="0.25">
      <c r="A859" s="61"/>
      <c r="B859" s="52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</row>
    <row r="860" spans="1:30" ht="15" x14ac:dyDescent="0.25">
      <c r="A860" s="61"/>
      <c r="B860" s="52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</row>
    <row r="861" spans="1:30" ht="15" x14ac:dyDescent="0.25">
      <c r="A861" s="61"/>
      <c r="B861" s="52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</row>
    <row r="862" spans="1:30" ht="15" x14ac:dyDescent="0.25">
      <c r="A862" s="61"/>
      <c r="B862" s="52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</row>
    <row r="863" spans="1:30" ht="15" x14ac:dyDescent="0.25">
      <c r="A863" s="61"/>
      <c r="B863" s="52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</row>
    <row r="864" spans="1:30" ht="15" x14ac:dyDescent="0.25">
      <c r="A864" s="61"/>
      <c r="B864" s="52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</row>
    <row r="865" spans="1:30" ht="15" x14ac:dyDescent="0.25">
      <c r="A865" s="61"/>
      <c r="B865" s="52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</row>
    <row r="866" spans="1:30" ht="15" x14ac:dyDescent="0.25">
      <c r="A866" s="61"/>
      <c r="B866" s="52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</row>
    <row r="867" spans="1:30" ht="15" x14ac:dyDescent="0.25">
      <c r="A867" s="61"/>
      <c r="B867" s="52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</row>
    <row r="868" spans="1:30" ht="15" x14ac:dyDescent="0.25">
      <c r="A868" s="61"/>
      <c r="B868" s="52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</row>
    <row r="869" spans="1:30" ht="15" x14ac:dyDescent="0.25">
      <c r="A869" s="61"/>
      <c r="B869" s="52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</row>
    <row r="870" spans="1:30" ht="15" x14ac:dyDescent="0.25">
      <c r="A870" s="61"/>
      <c r="B870" s="52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</row>
    <row r="871" spans="1:30" ht="15" x14ac:dyDescent="0.25">
      <c r="A871" s="61"/>
      <c r="B871" s="52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</row>
    <row r="872" spans="1:30" ht="15" x14ac:dyDescent="0.25">
      <c r="A872" s="61"/>
      <c r="B872" s="52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</row>
    <row r="873" spans="1:30" ht="15" x14ac:dyDescent="0.25">
      <c r="A873" s="61"/>
      <c r="B873" s="52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</row>
    <row r="874" spans="1:30" ht="15" x14ac:dyDescent="0.25">
      <c r="A874" s="61"/>
      <c r="B874" s="52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</row>
    <row r="875" spans="1:30" ht="15" x14ac:dyDescent="0.25">
      <c r="A875" s="61"/>
      <c r="B875" s="52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</row>
    <row r="876" spans="1:30" ht="15" x14ac:dyDescent="0.25">
      <c r="A876" s="61"/>
      <c r="B876" s="52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</row>
    <row r="877" spans="1:30" ht="15" x14ac:dyDescent="0.25">
      <c r="A877" s="61"/>
      <c r="B877" s="52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</row>
    <row r="878" spans="1:30" ht="15" x14ac:dyDescent="0.25">
      <c r="A878" s="61"/>
      <c r="B878" s="52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</row>
    <row r="879" spans="1:30" ht="15" x14ac:dyDescent="0.25">
      <c r="A879" s="61"/>
      <c r="B879" s="52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</row>
    <row r="880" spans="1:30" ht="15" x14ac:dyDescent="0.25">
      <c r="A880" s="61"/>
      <c r="B880" s="52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</row>
    <row r="881" spans="1:30" ht="15" x14ac:dyDescent="0.25">
      <c r="A881" s="61"/>
      <c r="B881" s="52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</row>
    <row r="882" spans="1:30" ht="15" x14ac:dyDescent="0.25">
      <c r="A882" s="61"/>
      <c r="B882" s="52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</row>
    <row r="883" spans="1:30" ht="15" x14ac:dyDescent="0.25">
      <c r="A883" s="61"/>
      <c r="B883" s="52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</row>
    <row r="884" spans="1:30" ht="15" x14ac:dyDescent="0.25">
      <c r="A884" s="61"/>
      <c r="B884" s="52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</row>
    <row r="885" spans="1:30" ht="15" x14ac:dyDescent="0.25">
      <c r="A885" s="61"/>
      <c r="B885" s="52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</row>
    <row r="886" spans="1:30" ht="15" x14ac:dyDescent="0.25">
      <c r="A886" s="61"/>
      <c r="B886" s="52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</row>
    <row r="887" spans="1:30" ht="15" x14ac:dyDescent="0.25">
      <c r="A887" s="61"/>
      <c r="B887" s="52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</row>
    <row r="888" spans="1:30" ht="15" x14ac:dyDescent="0.25">
      <c r="A888" s="61"/>
      <c r="B888" s="52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</row>
    <row r="889" spans="1:30" ht="15" x14ac:dyDescent="0.25">
      <c r="A889" s="61"/>
      <c r="B889" s="52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</row>
    <row r="890" spans="1:30" ht="15" x14ac:dyDescent="0.25">
      <c r="A890" s="61"/>
      <c r="B890" s="52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</row>
    <row r="891" spans="1:30" ht="15" x14ac:dyDescent="0.25">
      <c r="A891" s="61"/>
      <c r="B891" s="52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</row>
    <row r="892" spans="1:30" ht="15" x14ac:dyDescent="0.25">
      <c r="A892" s="61"/>
      <c r="B892" s="52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</row>
    <row r="893" spans="1:30" ht="15" x14ac:dyDescent="0.25">
      <c r="A893" s="61"/>
      <c r="B893" s="52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</row>
    <row r="894" spans="1:30" ht="15" x14ac:dyDescent="0.25">
      <c r="A894" s="61"/>
      <c r="B894" s="52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</row>
    <row r="895" spans="1:30" ht="15" x14ac:dyDescent="0.25">
      <c r="A895" s="61"/>
      <c r="B895" s="52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</row>
    <row r="896" spans="1:30" ht="15" x14ac:dyDescent="0.25">
      <c r="A896" s="61"/>
      <c r="B896" s="52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</row>
    <row r="897" spans="1:30" ht="15" x14ac:dyDescent="0.25">
      <c r="A897" s="61"/>
      <c r="B897" s="52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</row>
    <row r="898" spans="1:30" ht="15" x14ac:dyDescent="0.25">
      <c r="A898" s="61"/>
      <c r="B898" s="52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</row>
    <row r="899" spans="1:30" ht="15" x14ac:dyDescent="0.25">
      <c r="A899" s="61"/>
      <c r="B899" s="52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</row>
    <row r="900" spans="1:30" ht="15" x14ac:dyDescent="0.25">
      <c r="A900" s="61"/>
      <c r="B900" s="52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</row>
    <row r="901" spans="1:30" ht="15" x14ac:dyDescent="0.25">
      <c r="A901" s="61"/>
      <c r="B901" s="52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</row>
    <row r="902" spans="1:30" ht="15" x14ac:dyDescent="0.25">
      <c r="A902" s="61"/>
      <c r="B902" s="52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</row>
    <row r="903" spans="1:30" ht="15" x14ac:dyDescent="0.25">
      <c r="A903" s="61"/>
      <c r="B903" s="52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</row>
    <row r="904" spans="1:30" ht="15" x14ac:dyDescent="0.25">
      <c r="A904" s="61"/>
      <c r="B904" s="52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</row>
    <row r="905" spans="1:30" ht="15" x14ac:dyDescent="0.25">
      <c r="A905" s="61"/>
      <c r="B905" s="52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</row>
    <row r="906" spans="1:30" ht="15" x14ac:dyDescent="0.25">
      <c r="A906" s="61"/>
      <c r="B906" s="52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</row>
    <row r="907" spans="1:30" ht="15" x14ac:dyDescent="0.25">
      <c r="A907" s="61"/>
      <c r="B907" s="52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</row>
    <row r="908" spans="1:30" ht="15" x14ac:dyDescent="0.25">
      <c r="A908" s="61"/>
      <c r="B908" s="52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</row>
    <row r="909" spans="1:30" ht="15" x14ac:dyDescent="0.25">
      <c r="A909" s="61"/>
      <c r="B909" s="52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</row>
    <row r="910" spans="1:30" ht="15" x14ac:dyDescent="0.25">
      <c r="A910" s="61"/>
      <c r="B910" s="52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</row>
    <row r="911" spans="1:30" ht="15" x14ac:dyDescent="0.25">
      <c r="A911" s="61"/>
      <c r="B911" s="52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</row>
    <row r="912" spans="1:30" ht="15" x14ac:dyDescent="0.25">
      <c r="A912" s="61"/>
      <c r="B912" s="52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</row>
    <row r="913" spans="1:30" ht="15" x14ac:dyDescent="0.25">
      <c r="A913" s="61"/>
      <c r="B913" s="52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</row>
    <row r="914" spans="1:30" ht="15" x14ac:dyDescent="0.25">
      <c r="A914" s="61"/>
      <c r="B914" s="52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</row>
    <row r="915" spans="1:30" ht="15" x14ac:dyDescent="0.25">
      <c r="A915" s="61"/>
      <c r="B915" s="52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</row>
    <row r="916" spans="1:30" ht="15" x14ac:dyDescent="0.25">
      <c r="A916" s="61"/>
      <c r="B916" s="52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</row>
    <row r="917" spans="1:30" ht="15" x14ac:dyDescent="0.25">
      <c r="A917" s="61"/>
      <c r="B917" s="52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</row>
    <row r="918" spans="1:30" ht="15" x14ac:dyDescent="0.25">
      <c r="A918" s="61"/>
      <c r="B918" s="52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</row>
    <row r="919" spans="1:30" ht="15" x14ac:dyDescent="0.25">
      <c r="A919" s="61"/>
      <c r="B919" s="52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</row>
    <row r="920" spans="1:30" ht="15" x14ac:dyDescent="0.25">
      <c r="A920" s="61"/>
      <c r="B920" s="52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</row>
    <row r="921" spans="1:30" ht="15" x14ac:dyDescent="0.25">
      <c r="A921" s="61"/>
      <c r="B921" s="52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</row>
    <row r="922" spans="1:30" ht="15" x14ac:dyDescent="0.25">
      <c r="A922" s="61"/>
      <c r="B922" s="52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</row>
    <row r="923" spans="1:30" ht="15" x14ac:dyDescent="0.25">
      <c r="A923" s="61"/>
      <c r="B923" s="52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</row>
    <row r="924" spans="1:30" ht="15" x14ac:dyDescent="0.25">
      <c r="A924" s="61"/>
      <c r="B924" s="52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</row>
    <row r="925" spans="1:30" ht="15" x14ac:dyDescent="0.25">
      <c r="A925" s="61"/>
      <c r="B925" s="52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</row>
    <row r="926" spans="1:30" ht="15" x14ac:dyDescent="0.25">
      <c r="A926" s="61"/>
      <c r="B926" s="52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</row>
    <row r="927" spans="1:30" ht="15" x14ac:dyDescent="0.25">
      <c r="A927" s="61"/>
      <c r="B927" s="52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</row>
    <row r="928" spans="1:30" ht="15" x14ac:dyDescent="0.25">
      <c r="A928" s="61"/>
      <c r="B928" s="52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</row>
    <row r="929" spans="1:30" ht="15" x14ac:dyDescent="0.25">
      <c r="A929" s="61"/>
      <c r="B929" s="52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</row>
    <row r="930" spans="1:30" ht="15" x14ac:dyDescent="0.25">
      <c r="A930" s="61"/>
      <c r="B930" s="52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</row>
    <row r="931" spans="1:30" ht="15" x14ac:dyDescent="0.25">
      <c r="A931" s="61"/>
      <c r="B931" s="52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</row>
    <row r="932" spans="1:30" ht="15" x14ac:dyDescent="0.25">
      <c r="A932" s="61"/>
      <c r="B932" s="52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</row>
    <row r="933" spans="1:30" ht="15" x14ac:dyDescent="0.25">
      <c r="A933" s="61"/>
      <c r="B933" s="52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</row>
    <row r="934" spans="1:30" ht="15" x14ac:dyDescent="0.25">
      <c r="A934" s="61"/>
      <c r="B934" s="52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</row>
    <row r="935" spans="1:30" ht="15" x14ac:dyDescent="0.25">
      <c r="A935" s="61"/>
      <c r="B935" s="52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</row>
    <row r="936" spans="1:30" ht="15" x14ac:dyDescent="0.25">
      <c r="A936" s="61"/>
      <c r="B936" s="52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</row>
    <row r="937" spans="1:30" ht="15" x14ac:dyDescent="0.25">
      <c r="A937" s="61"/>
      <c r="B937" s="52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</row>
    <row r="938" spans="1:30" ht="15" x14ac:dyDescent="0.25">
      <c r="A938" s="61"/>
      <c r="B938" s="52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</row>
    <row r="939" spans="1:30" ht="15" x14ac:dyDescent="0.25">
      <c r="A939" s="61"/>
      <c r="B939" s="52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</row>
    <row r="940" spans="1:30" ht="15" x14ac:dyDescent="0.25">
      <c r="A940" s="61"/>
      <c r="B940" s="52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</row>
    <row r="941" spans="1:30" ht="15" x14ac:dyDescent="0.25">
      <c r="A941" s="61"/>
      <c r="B941" s="52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</row>
    <row r="942" spans="1:30" ht="15" x14ac:dyDescent="0.25">
      <c r="A942" s="61"/>
      <c r="B942" s="52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</row>
    <row r="943" spans="1:30" ht="15" x14ac:dyDescent="0.25">
      <c r="A943" s="61"/>
      <c r="B943" s="52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</row>
    <row r="944" spans="1:30" ht="15" x14ac:dyDescent="0.25">
      <c r="A944" s="61"/>
      <c r="B944" s="52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</row>
    <row r="945" spans="1:30" ht="15" x14ac:dyDescent="0.25">
      <c r="A945" s="61"/>
      <c r="B945" s="52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</row>
    <row r="946" spans="1:30" ht="15" x14ac:dyDescent="0.25">
      <c r="A946" s="61"/>
      <c r="B946" s="52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</row>
    <row r="947" spans="1:30" ht="15" x14ac:dyDescent="0.25">
      <c r="A947" s="61"/>
      <c r="B947" s="52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</row>
    <row r="948" spans="1:30" ht="15" x14ac:dyDescent="0.25">
      <c r="A948" s="61"/>
      <c r="B948" s="52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</row>
    <row r="949" spans="1:30" ht="15" x14ac:dyDescent="0.25">
      <c r="A949" s="61"/>
      <c r="B949" s="52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</row>
    <row r="950" spans="1:30" ht="15" x14ac:dyDescent="0.25">
      <c r="A950" s="61"/>
      <c r="B950" s="52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</row>
    <row r="951" spans="1:30" ht="15" x14ac:dyDescent="0.25">
      <c r="A951" s="61"/>
      <c r="B951" s="52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</row>
    <row r="952" spans="1:30" ht="15" x14ac:dyDescent="0.25">
      <c r="A952" s="61"/>
      <c r="B952" s="52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</row>
    <row r="953" spans="1:30" ht="15" x14ac:dyDescent="0.25">
      <c r="A953" s="61"/>
      <c r="B953" s="52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</row>
    <row r="954" spans="1:30" ht="15" x14ac:dyDescent="0.25">
      <c r="A954" s="61"/>
      <c r="B954" s="52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</row>
    <row r="955" spans="1:30" ht="15" x14ac:dyDescent="0.25">
      <c r="A955" s="61"/>
      <c r="B955" s="52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</row>
    <row r="956" spans="1:30" ht="15" x14ac:dyDescent="0.25">
      <c r="A956" s="61"/>
      <c r="B956" s="52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</row>
    <row r="957" spans="1:30" ht="15" x14ac:dyDescent="0.25">
      <c r="A957" s="61"/>
      <c r="B957" s="52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</row>
    <row r="958" spans="1:30" ht="15" x14ac:dyDescent="0.25">
      <c r="A958" s="61"/>
      <c r="B958" s="52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</row>
    <row r="959" spans="1:30" ht="15" x14ac:dyDescent="0.25">
      <c r="A959" s="61"/>
      <c r="B959" s="52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</row>
    <row r="960" spans="1:30" ht="15" x14ac:dyDescent="0.25">
      <c r="A960" s="61"/>
      <c r="B960" s="52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</row>
    <row r="961" spans="1:30" ht="15" x14ac:dyDescent="0.25">
      <c r="A961" s="61"/>
      <c r="B961" s="52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</row>
    <row r="962" spans="1:30" ht="15" x14ac:dyDescent="0.25">
      <c r="A962" s="61"/>
      <c r="B962" s="52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</row>
    <row r="963" spans="1:30" ht="15" x14ac:dyDescent="0.25">
      <c r="A963" s="61"/>
      <c r="B963" s="52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</row>
    <row r="964" spans="1:30" ht="15" x14ac:dyDescent="0.25">
      <c r="A964" s="61"/>
      <c r="B964" s="52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</row>
    <row r="965" spans="1:30" ht="15" x14ac:dyDescent="0.25">
      <c r="A965" s="61"/>
      <c r="B965" s="52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</row>
    <row r="966" spans="1:30" ht="15" x14ac:dyDescent="0.25">
      <c r="A966" s="61"/>
      <c r="B966" s="52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</row>
    <row r="967" spans="1:30" ht="15" x14ac:dyDescent="0.25">
      <c r="A967" s="61"/>
      <c r="B967" s="52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</row>
    <row r="968" spans="1:30" ht="15" x14ac:dyDescent="0.25">
      <c r="A968" s="61"/>
      <c r="B968" s="52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</row>
    <row r="969" spans="1:30" ht="15" x14ac:dyDescent="0.25">
      <c r="A969" s="61"/>
      <c r="B969" s="52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</row>
    <row r="970" spans="1:30" ht="15" x14ac:dyDescent="0.25">
      <c r="A970" s="61"/>
      <c r="B970" s="52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</row>
    <row r="971" spans="1:30" ht="15" x14ac:dyDescent="0.25">
      <c r="A971" s="61"/>
      <c r="B971" s="52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</row>
    <row r="972" spans="1:30" ht="15" x14ac:dyDescent="0.25">
      <c r="A972" s="61"/>
      <c r="B972" s="52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</row>
    <row r="973" spans="1:30" ht="15" x14ac:dyDescent="0.25">
      <c r="A973" s="61"/>
      <c r="B973" s="52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</row>
    <row r="974" spans="1:30" ht="15" x14ac:dyDescent="0.25">
      <c r="A974" s="61"/>
      <c r="B974" s="52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</row>
    <row r="975" spans="1:30" ht="15" x14ac:dyDescent="0.25">
      <c r="A975" s="61"/>
      <c r="B975" s="52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</row>
    <row r="976" spans="1:30" ht="15" x14ac:dyDescent="0.25">
      <c r="A976" s="61"/>
      <c r="B976" s="52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</row>
    <row r="977" spans="1:30" ht="15" x14ac:dyDescent="0.25">
      <c r="A977" s="61"/>
      <c r="B977" s="52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</row>
    <row r="978" spans="1:30" ht="15" x14ac:dyDescent="0.25">
      <c r="A978" s="61"/>
      <c r="B978" s="52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</row>
    <row r="979" spans="1:30" ht="15" x14ac:dyDescent="0.25">
      <c r="A979" s="61"/>
      <c r="B979" s="52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</row>
    <row r="980" spans="1:30" ht="15" x14ac:dyDescent="0.25">
      <c r="A980" s="61"/>
      <c r="B980" s="52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</row>
    <row r="981" spans="1:30" ht="15" x14ac:dyDescent="0.25">
      <c r="A981" s="61"/>
      <c r="B981" s="52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</row>
    <row r="982" spans="1:30" ht="15" x14ac:dyDescent="0.25">
      <c r="A982" s="61"/>
      <c r="B982" s="52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</row>
    <row r="983" spans="1:30" ht="15" x14ac:dyDescent="0.25">
      <c r="A983" s="61"/>
      <c r="B983" s="52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</row>
    <row r="984" spans="1:30" ht="15" x14ac:dyDescent="0.25">
      <c r="A984" s="61"/>
      <c r="B984" s="52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</row>
    <row r="985" spans="1:30" ht="15" x14ac:dyDescent="0.25">
      <c r="A985" s="61"/>
      <c r="B985" s="52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</row>
    <row r="986" spans="1:30" ht="15" x14ac:dyDescent="0.25">
      <c r="A986" s="61"/>
      <c r="B986" s="52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</row>
    <row r="987" spans="1:30" ht="15" x14ac:dyDescent="0.25">
      <c r="A987" s="61"/>
      <c r="B987" s="52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</row>
    <row r="988" spans="1:30" ht="15" x14ac:dyDescent="0.25">
      <c r="A988" s="61"/>
      <c r="B988" s="52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</row>
    <row r="989" spans="1:30" ht="15" x14ac:dyDescent="0.25">
      <c r="A989" s="61"/>
      <c r="B989" s="52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</row>
    <row r="990" spans="1:30" ht="15" x14ac:dyDescent="0.25">
      <c r="A990" s="61"/>
      <c r="B990" s="52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</row>
    <row r="991" spans="1:30" ht="15" x14ac:dyDescent="0.25">
      <c r="A991" s="61"/>
      <c r="B991" s="52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</row>
    <row r="992" spans="1:30" ht="15" x14ac:dyDescent="0.25">
      <c r="A992" s="61"/>
      <c r="B992" s="52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</row>
    <row r="993" spans="1:30" ht="15" x14ac:dyDescent="0.25">
      <c r="A993" s="61"/>
      <c r="B993" s="52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</row>
    <row r="994" spans="1:30" ht="15" x14ac:dyDescent="0.25">
      <c r="A994" s="61"/>
      <c r="B994" s="52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</row>
    <row r="995" spans="1:30" ht="15" x14ac:dyDescent="0.25">
      <c r="A995" s="61"/>
      <c r="B995" s="52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</row>
    <row r="996" spans="1:30" ht="15" x14ac:dyDescent="0.25">
      <c r="A996" s="61"/>
      <c r="B996" s="52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</row>
    <row r="997" spans="1:30" ht="15" x14ac:dyDescent="0.25">
      <c r="A997" s="61"/>
      <c r="B997" s="52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</row>
    <row r="998" spans="1:30" ht="15" x14ac:dyDescent="0.25">
      <c r="A998" s="61"/>
      <c r="B998" s="52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</row>
    <row r="999" spans="1:30" ht="15" x14ac:dyDescent="0.25">
      <c r="A999" s="61"/>
      <c r="B999" s="52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</row>
    <row r="1000" spans="1:30" ht="15" x14ac:dyDescent="0.25">
      <c r="A1000" s="61"/>
      <c r="B1000" s="52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25" defaultRowHeight="15" customHeight="1" x14ac:dyDescent="0.25"/>
  <cols>
    <col min="1" max="1" width="15.75" style="24" bestFit="1" customWidth="1"/>
    <col min="2" max="2" width="46.625" style="24" customWidth="1"/>
    <col min="3" max="3" width="13" style="24" bestFit="1" customWidth="1"/>
    <col min="4" max="4" width="90.5" style="24" customWidth="1"/>
    <col min="5" max="5" width="16.375" style="24" customWidth="1"/>
    <col min="6" max="6" width="7.625" style="24" customWidth="1"/>
    <col min="7" max="16384" width="12.625" style="24"/>
  </cols>
  <sheetData>
    <row r="1" spans="1:26" x14ac:dyDescent="0.25">
      <c r="A1" s="15" t="s">
        <v>1033</v>
      </c>
      <c r="B1" s="15" t="s">
        <v>1034</v>
      </c>
      <c r="C1" s="15" t="s">
        <v>1035</v>
      </c>
      <c r="D1" s="15" t="s">
        <v>1036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4" t="s">
        <v>1037</v>
      </c>
      <c r="B2" s="4" t="s">
        <v>3</v>
      </c>
      <c r="C2" s="4" t="s">
        <v>1038</v>
      </c>
      <c r="D2" s="4" t="s">
        <v>1039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4" t="s">
        <v>1037</v>
      </c>
      <c r="B3" s="4" t="s">
        <v>8</v>
      </c>
      <c r="C3" s="4" t="s">
        <v>1038</v>
      </c>
      <c r="D3" s="4" t="s">
        <v>1040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4" t="s">
        <v>1037</v>
      </c>
      <c r="B4" s="4" t="s">
        <v>10</v>
      </c>
      <c r="C4" s="4" t="s">
        <v>1041</v>
      </c>
      <c r="D4" s="4" t="s">
        <v>1042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4" t="s">
        <v>1037</v>
      </c>
      <c r="B5" s="4" t="s">
        <v>14</v>
      </c>
      <c r="C5" s="4" t="s">
        <v>1038</v>
      </c>
      <c r="D5" s="4" t="s">
        <v>1039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4" t="s">
        <v>1037</v>
      </c>
      <c r="B6" s="4" t="s">
        <v>21</v>
      </c>
      <c r="C6" s="4" t="s">
        <v>1043</v>
      </c>
      <c r="D6" s="4" t="s">
        <v>1044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4" t="s">
        <v>1045</v>
      </c>
      <c r="B8" s="4" t="s">
        <v>254</v>
      </c>
      <c r="C8" s="4" t="s">
        <v>1051</v>
      </c>
      <c r="D8" s="4" t="s">
        <v>1046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4" t="s">
        <v>1045</v>
      </c>
      <c r="B9" s="4" t="s">
        <v>289</v>
      </c>
      <c r="C9" s="74" t="s">
        <v>1047</v>
      </c>
      <c r="D9" s="74" t="s">
        <v>1048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4" t="s">
        <v>1045</v>
      </c>
      <c r="B10" s="4" t="s">
        <v>291</v>
      </c>
      <c r="C10" s="73"/>
      <c r="D10" s="7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4" t="s">
        <v>1045</v>
      </c>
      <c r="B11" s="4" t="s">
        <v>292</v>
      </c>
      <c r="C11" s="73"/>
      <c r="D11" s="7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4" t="s">
        <v>1045</v>
      </c>
      <c r="B12" s="4" t="s">
        <v>20</v>
      </c>
      <c r="C12" s="73"/>
      <c r="D12" s="7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4" t="s">
        <v>1045</v>
      </c>
      <c r="B13" s="4" t="s">
        <v>237</v>
      </c>
      <c r="C13" s="74" t="s">
        <v>1038</v>
      </c>
      <c r="D13" s="74" t="s">
        <v>1049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4" t="s">
        <v>1045</v>
      </c>
      <c r="B14" s="4" t="s">
        <v>238</v>
      </c>
      <c r="C14" s="73"/>
      <c r="D14" s="7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4" t="s">
        <v>1045</v>
      </c>
      <c r="B15" s="4" t="s">
        <v>1050</v>
      </c>
      <c r="C15" s="4" t="s">
        <v>1051</v>
      </c>
      <c r="D15" s="4" t="s">
        <v>1052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1045</v>
      </c>
      <c r="B16" s="4" t="s">
        <v>1053</v>
      </c>
      <c r="C16" s="16">
        <v>2001</v>
      </c>
      <c r="D16" s="4" t="s">
        <v>1054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4" t="s">
        <v>1045</v>
      </c>
      <c r="B17" s="4" t="s">
        <v>1055</v>
      </c>
      <c r="C17" s="4" t="s">
        <v>1056</v>
      </c>
      <c r="D17" s="4" t="s">
        <v>1057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4" t="s">
        <v>1045</v>
      </c>
      <c r="B18" s="4" t="s">
        <v>249</v>
      </c>
      <c r="C18" s="4" t="s">
        <v>1038</v>
      </c>
      <c r="D18" s="4" t="s">
        <v>1058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 t="s">
        <v>1045</v>
      </c>
      <c r="B19" s="4" t="s">
        <v>244</v>
      </c>
      <c r="C19" s="4" t="s">
        <v>1051</v>
      </c>
      <c r="D19" s="4" t="s">
        <v>1059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4" t="s">
        <v>1045</v>
      </c>
      <c r="B20" s="4" t="s">
        <v>244</v>
      </c>
      <c r="C20" s="4" t="s">
        <v>1060</v>
      </c>
      <c r="D20" s="4" t="s">
        <v>1061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4" t="s">
        <v>1045</v>
      </c>
      <c r="B21" s="4" t="s">
        <v>287</v>
      </c>
      <c r="C21" s="4" t="s">
        <v>1060</v>
      </c>
      <c r="D21" s="4" t="s">
        <v>1061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4" t="s">
        <v>1045</v>
      </c>
      <c r="B22" s="4" t="s">
        <v>1062</v>
      </c>
      <c r="C22" s="74" t="s">
        <v>1063</v>
      </c>
      <c r="D22" s="74" t="s">
        <v>1064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4" t="s">
        <v>1045</v>
      </c>
      <c r="B23" s="4" t="s">
        <v>1065</v>
      </c>
      <c r="C23" s="73"/>
      <c r="D23" s="7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4" t="s">
        <v>1045</v>
      </c>
      <c r="B24" s="4" t="s">
        <v>1066</v>
      </c>
      <c r="C24" s="73"/>
      <c r="D24" s="73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4" t="s">
        <v>1045</v>
      </c>
      <c r="B25" s="4" t="s">
        <v>1067</v>
      </c>
      <c r="C25" s="4" t="s">
        <v>1060</v>
      </c>
      <c r="D25" s="4" t="s">
        <v>1061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17" t="s">
        <v>1045</v>
      </c>
      <c r="B26" s="23" t="s">
        <v>372</v>
      </c>
      <c r="C26" s="17" t="s">
        <v>1068</v>
      </c>
      <c r="D26" s="17" t="s">
        <v>1069</v>
      </c>
      <c r="E26" s="20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C9:C12"/>
    <mergeCell ref="D9:D12"/>
    <mergeCell ref="C13:C14"/>
    <mergeCell ref="D13:D14"/>
    <mergeCell ref="C22:C24"/>
    <mergeCell ref="D22:D24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65" t="s">
        <v>1070</v>
      </c>
      <c r="B1" s="65" t="s">
        <v>1071</v>
      </c>
    </row>
    <row r="2" spans="1:2" x14ac:dyDescent="0.2">
      <c r="A2" s="66" t="s">
        <v>316</v>
      </c>
      <c r="B2" s="66">
        <v>10701</v>
      </c>
    </row>
    <row r="3" spans="1:2" x14ac:dyDescent="0.2">
      <c r="A3" s="66" t="s">
        <v>317</v>
      </c>
      <c r="B3" s="66">
        <v>10702</v>
      </c>
    </row>
    <row r="4" spans="1:2" x14ac:dyDescent="0.2">
      <c r="A4" s="67" t="s">
        <v>294</v>
      </c>
      <c r="B4" s="66">
        <v>10703</v>
      </c>
    </row>
    <row r="5" spans="1:2" x14ac:dyDescent="0.2">
      <c r="A5" s="66" t="s">
        <v>299</v>
      </c>
      <c r="B5" s="66">
        <v>10704</v>
      </c>
    </row>
    <row r="6" spans="1:2" x14ac:dyDescent="0.2">
      <c r="A6" s="66" t="s">
        <v>303</v>
      </c>
      <c r="B6" s="66">
        <v>10705</v>
      </c>
    </row>
    <row r="7" spans="1:2" x14ac:dyDescent="0.2">
      <c r="A7" s="67" t="s">
        <v>346</v>
      </c>
      <c r="B7" s="66">
        <v>10706</v>
      </c>
    </row>
    <row r="8" spans="1:2" x14ac:dyDescent="0.2">
      <c r="A8" s="67" t="s">
        <v>377</v>
      </c>
      <c r="B8" s="66">
        <v>10798</v>
      </c>
    </row>
    <row r="9" spans="1:2" x14ac:dyDescent="0.2">
      <c r="A9" s="68" t="s">
        <v>378</v>
      </c>
      <c r="B9" s="66">
        <v>10799</v>
      </c>
    </row>
    <row r="10" spans="1:2" x14ac:dyDescent="0.2">
      <c r="A10" s="68" t="s">
        <v>379</v>
      </c>
      <c r="B10" s="66">
        <v>10800</v>
      </c>
    </row>
    <row r="11" spans="1:2" x14ac:dyDescent="0.2">
      <c r="A11" s="66" t="s">
        <v>353</v>
      </c>
      <c r="B11" s="66">
        <v>10801</v>
      </c>
    </row>
    <row r="12" spans="1:2" x14ac:dyDescent="0.2">
      <c r="A12" s="66" t="s">
        <v>354</v>
      </c>
      <c r="B12" s="66">
        <v>10802</v>
      </c>
    </row>
    <row r="13" spans="1:2" x14ac:dyDescent="0.2">
      <c r="A13" s="66" t="s">
        <v>355</v>
      </c>
      <c r="B13" s="66">
        <v>10803</v>
      </c>
    </row>
    <row r="14" spans="1:2" x14ac:dyDescent="0.2">
      <c r="A14" s="66" t="s">
        <v>356</v>
      </c>
      <c r="B14" s="66">
        <v>10804</v>
      </c>
    </row>
    <row r="15" spans="1:2" x14ac:dyDescent="0.2">
      <c r="A15" s="66" t="s">
        <v>357</v>
      </c>
      <c r="B15" s="66">
        <v>10805</v>
      </c>
    </row>
    <row r="16" spans="1:2" x14ac:dyDescent="0.2">
      <c r="A16" s="66" t="s">
        <v>358</v>
      </c>
      <c r="B16" s="66">
        <v>10806</v>
      </c>
    </row>
    <row r="17" spans="1:2" x14ac:dyDescent="0.2">
      <c r="A17" s="66" t="s">
        <v>359</v>
      </c>
      <c r="B17" s="66">
        <v>10807</v>
      </c>
    </row>
    <row r="18" spans="1:2" x14ac:dyDescent="0.2">
      <c r="A18" s="66" t="s">
        <v>360</v>
      </c>
      <c r="B18" s="66">
        <v>10808</v>
      </c>
    </row>
    <row r="19" spans="1:2" x14ac:dyDescent="0.2">
      <c r="A19" s="66" t="s">
        <v>361</v>
      </c>
      <c r="B19" s="66">
        <v>10809</v>
      </c>
    </row>
    <row r="20" spans="1:2" x14ac:dyDescent="0.2">
      <c r="A20" s="66" t="s">
        <v>362</v>
      </c>
      <c r="B20" s="66">
        <v>10810</v>
      </c>
    </row>
    <row r="21" spans="1:2" x14ac:dyDescent="0.2">
      <c r="A21" s="66" t="s">
        <v>363</v>
      </c>
      <c r="B21" s="66">
        <v>10811</v>
      </c>
    </row>
    <row r="22" spans="1:2" x14ac:dyDescent="0.2">
      <c r="A22" s="66" t="s">
        <v>364</v>
      </c>
      <c r="B22" s="66">
        <v>10812</v>
      </c>
    </row>
    <row r="23" spans="1:2" x14ac:dyDescent="0.2">
      <c r="A23" s="66" t="s">
        <v>365</v>
      </c>
      <c r="B23" s="66">
        <v>10813</v>
      </c>
    </row>
    <row r="24" spans="1:2" x14ac:dyDescent="0.2">
      <c r="A24" s="66" t="s">
        <v>366</v>
      </c>
      <c r="B24" s="66">
        <v>10814</v>
      </c>
    </row>
    <row r="25" spans="1:2" x14ac:dyDescent="0.2">
      <c r="A25" s="66" t="s">
        <v>367</v>
      </c>
      <c r="B25" s="66">
        <v>10815</v>
      </c>
    </row>
    <row r="26" spans="1:2" x14ac:dyDescent="0.2">
      <c r="A26" s="66" t="s">
        <v>368</v>
      </c>
      <c r="B26" s="66">
        <v>10816</v>
      </c>
    </row>
    <row r="27" spans="1:2" x14ac:dyDescent="0.2">
      <c r="A27" s="66" t="s">
        <v>369</v>
      </c>
      <c r="B27" s="66">
        <v>10817</v>
      </c>
    </row>
    <row r="28" spans="1:2" x14ac:dyDescent="0.2">
      <c r="A28" s="66" t="s">
        <v>370</v>
      </c>
      <c r="B28" s="66">
        <v>10818</v>
      </c>
    </row>
    <row r="29" spans="1:2" x14ac:dyDescent="0.2">
      <c r="A29" s="66" t="s">
        <v>371</v>
      </c>
      <c r="B29" s="66">
        <v>10819</v>
      </c>
    </row>
    <row r="30" spans="1:2" x14ac:dyDescent="0.2">
      <c r="A30" s="66" t="s">
        <v>372</v>
      </c>
      <c r="B30" s="66">
        <v>10820</v>
      </c>
    </row>
    <row r="31" spans="1:2" x14ac:dyDescent="0.2">
      <c r="A31" s="66" t="s">
        <v>373</v>
      </c>
      <c r="B31" s="66">
        <v>10821</v>
      </c>
    </row>
    <row r="32" spans="1:2" x14ac:dyDescent="0.2">
      <c r="A32" s="66" t="s">
        <v>374</v>
      </c>
      <c r="B32" s="66">
        <v>10822</v>
      </c>
    </row>
    <row r="33" spans="1:2" x14ac:dyDescent="0.2">
      <c r="A33" s="66" t="s">
        <v>376</v>
      </c>
      <c r="B33" s="66">
        <v>10823</v>
      </c>
    </row>
    <row r="34" spans="1:2" x14ac:dyDescent="0.2">
      <c r="A34" s="66" t="s">
        <v>380</v>
      </c>
      <c r="B34" s="66">
        <v>10824</v>
      </c>
    </row>
    <row r="35" spans="1:2" x14ac:dyDescent="0.2">
      <c r="A35" s="66" t="s">
        <v>381</v>
      </c>
      <c r="B35" s="66">
        <v>10825</v>
      </c>
    </row>
    <row r="36" spans="1:2" x14ac:dyDescent="0.2">
      <c r="A36" s="66" t="s">
        <v>382</v>
      </c>
      <c r="B36" s="66">
        <v>10826</v>
      </c>
    </row>
    <row r="37" spans="1:2" x14ac:dyDescent="0.2">
      <c r="A37" s="66" t="s">
        <v>384</v>
      </c>
      <c r="B37" s="66">
        <v>10827</v>
      </c>
    </row>
    <row r="38" spans="1:2" x14ac:dyDescent="0.2">
      <c r="A38" s="67" t="s">
        <v>383</v>
      </c>
      <c r="B38" s="66">
        <v>10828</v>
      </c>
    </row>
    <row r="39" spans="1:2" x14ac:dyDescent="0.2">
      <c r="A39" s="66" t="s">
        <v>375</v>
      </c>
      <c r="B39" s="66">
        <v>10829</v>
      </c>
    </row>
    <row r="40" spans="1:2" x14ac:dyDescent="0.2">
      <c r="A40" s="66" t="s">
        <v>1072</v>
      </c>
      <c r="B40" s="66">
        <v>10830</v>
      </c>
    </row>
    <row r="41" spans="1:2" x14ac:dyDescent="0.2">
      <c r="A41" s="66" t="s">
        <v>1073</v>
      </c>
      <c r="B41" s="66">
        <v>10831</v>
      </c>
    </row>
    <row r="42" spans="1:2" x14ac:dyDescent="0.2">
      <c r="A42" s="66" t="s">
        <v>1074</v>
      </c>
      <c r="B42" s="66">
        <v>10832</v>
      </c>
    </row>
    <row r="43" spans="1:2" x14ac:dyDescent="0.2">
      <c r="A43" s="66" t="s">
        <v>1075</v>
      </c>
      <c r="B43" s="66">
        <v>10833</v>
      </c>
    </row>
    <row r="44" spans="1:2" x14ac:dyDescent="0.2">
      <c r="A44" s="66" t="s">
        <v>1076</v>
      </c>
      <c r="B44" s="66">
        <v>10834</v>
      </c>
    </row>
    <row r="45" spans="1:2" x14ac:dyDescent="0.2">
      <c r="A45" s="66" t="s">
        <v>1077</v>
      </c>
      <c r="B45" s="66">
        <v>10835</v>
      </c>
    </row>
    <row r="46" spans="1:2" x14ac:dyDescent="0.2">
      <c r="A46" s="66" t="s">
        <v>1078</v>
      </c>
      <c r="B46" s="66">
        <v>10836</v>
      </c>
    </row>
    <row r="47" spans="1:2" x14ac:dyDescent="0.2">
      <c r="A47" s="66" t="s">
        <v>1079</v>
      </c>
      <c r="B47" s="66">
        <v>10837</v>
      </c>
    </row>
    <row r="48" spans="1:2" x14ac:dyDescent="0.2">
      <c r="A48" s="66" t="s">
        <v>1080</v>
      </c>
      <c r="B48" s="66">
        <v>10838</v>
      </c>
    </row>
    <row r="49" spans="1:2" x14ac:dyDescent="0.2">
      <c r="A49" s="66" t="s">
        <v>1081</v>
      </c>
      <c r="B49" s="66">
        <v>10839</v>
      </c>
    </row>
    <row r="50" spans="1:2" x14ac:dyDescent="0.2">
      <c r="A50" s="66" t="s">
        <v>1082</v>
      </c>
      <c r="B50" s="66">
        <v>10842</v>
      </c>
    </row>
    <row r="51" spans="1:2" x14ac:dyDescent="0.2">
      <c r="A51" s="66" t="s">
        <v>1083</v>
      </c>
      <c r="B51" s="66">
        <v>10843</v>
      </c>
    </row>
    <row r="52" spans="1:2" x14ac:dyDescent="0.2">
      <c r="A52" s="66" t="s">
        <v>295</v>
      </c>
      <c r="B52" s="66">
        <v>10845</v>
      </c>
    </row>
    <row r="53" spans="1:2" x14ac:dyDescent="0.2">
      <c r="A53" s="66" t="s">
        <v>1084</v>
      </c>
      <c r="B53" s="66">
        <v>10850</v>
      </c>
    </row>
    <row r="54" spans="1:2" x14ac:dyDescent="0.2">
      <c r="A54" s="66" t="s">
        <v>1085</v>
      </c>
      <c r="B54" s="66">
        <v>10851</v>
      </c>
    </row>
    <row r="55" spans="1:2" x14ac:dyDescent="0.2">
      <c r="A55" s="66" t="s">
        <v>1086</v>
      </c>
      <c r="B55" s="66">
        <v>10852</v>
      </c>
    </row>
    <row r="56" spans="1:2" x14ac:dyDescent="0.2">
      <c r="A56" s="66" t="s">
        <v>1087</v>
      </c>
      <c r="B56" s="66">
        <v>10853</v>
      </c>
    </row>
    <row r="57" spans="1:2" x14ac:dyDescent="0.2">
      <c r="A57" s="66" t="s">
        <v>1088</v>
      </c>
      <c r="B57" s="66">
        <v>10860</v>
      </c>
    </row>
    <row r="58" spans="1:2" x14ac:dyDescent="0.2">
      <c r="A58" s="66" t="s">
        <v>1089</v>
      </c>
      <c r="B58" s="66">
        <v>10861</v>
      </c>
    </row>
    <row r="59" spans="1:2" x14ac:dyDescent="0.2">
      <c r="A59" s="66" t="s">
        <v>1090</v>
      </c>
      <c r="B59" s="66">
        <v>10862</v>
      </c>
    </row>
    <row r="60" spans="1:2" x14ac:dyDescent="0.2">
      <c r="A60" s="66" t="s">
        <v>1091</v>
      </c>
      <c r="B60" s="66">
        <v>10863</v>
      </c>
    </row>
    <row r="61" spans="1:2" x14ac:dyDescent="0.2">
      <c r="A61" s="66" t="s">
        <v>1092</v>
      </c>
      <c r="B61" s="66">
        <v>10864</v>
      </c>
    </row>
    <row r="62" spans="1:2" x14ac:dyDescent="0.2">
      <c r="A62" s="66" t="s">
        <v>1093</v>
      </c>
      <c r="B62" s="66">
        <v>10865</v>
      </c>
    </row>
    <row r="63" spans="1:2" x14ac:dyDescent="0.2">
      <c r="A63" s="66" t="s">
        <v>1094</v>
      </c>
      <c r="B63" s="66">
        <v>10866</v>
      </c>
    </row>
    <row r="64" spans="1:2" x14ac:dyDescent="0.2">
      <c r="A64" s="66" t="s">
        <v>1095</v>
      </c>
      <c r="B64" s="66">
        <v>10867</v>
      </c>
    </row>
    <row r="65" spans="1:2" x14ac:dyDescent="0.2">
      <c r="A65" s="66" t="s">
        <v>1096</v>
      </c>
      <c r="B65" s="66">
        <v>10868</v>
      </c>
    </row>
    <row r="66" spans="1:2" x14ac:dyDescent="0.2">
      <c r="A66" s="66" t="s">
        <v>1097</v>
      </c>
      <c r="B66" s="66">
        <v>10869</v>
      </c>
    </row>
    <row r="67" spans="1:2" x14ac:dyDescent="0.2">
      <c r="A67" s="66" t="s">
        <v>1098</v>
      </c>
      <c r="B67" s="66">
        <v>10870</v>
      </c>
    </row>
    <row r="68" spans="1:2" x14ac:dyDescent="0.2">
      <c r="A68" s="66" t="s">
        <v>1099</v>
      </c>
      <c r="B68" s="66">
        <v>10871</v>
      </c>
    </row>
    <row r="69" spans="1:2" x14ac:dyDescent="0.2">
      <c r="A69" s="66" t="s">
        <v>1100</v>
      </c>
      <c r="B69" s="66">
        <v>10872</v>
      </c>
    </row>
    <row r="70" spans="1:2" x14ac:dyDescent="0.2">
      <c r="A70" s="66" t="s">
        <v>1101</v>
      </c>
      <c r="B70" s="66">
        <v>10873</v>
      </c>
    </row>
    <row r="71" spans="1:2" x14ac:dyDescent="0.2">
      <c r="A71" s="66" t="s">
        <v>1102</v>
      </c>
      <c r="B71" s="66">
        <v>10874</v>
      </c>
    </row>
    <row r="72" spans="1:2" x14ac:dyDescent="0.2">
      <c r="A72" s="66" t="s">
        <v>1103</v>
      </c>
      <c r="B72" s="66">
        <v>10875</v>
      </c>
    </row>
    <row r="73" spans="1:2" x14ac:dyDescent="0.2">
      <c r="A73" s="66" t="s">
        <v>1104</v>
      </c>
      <c r="B73" s="66">
        <v>10876</v>
      </c>
    </row>
    <row r="74" spans="1:2" x14ac:dyDescent="0.2">
      <c r="A74" s="66" t="s">
        <v>1105</v>
      </c>
      <c r="B74" s="66">
        <v>10877</v>
      </c>
    </row>
    <row r="75" spans="1:2" x14ac:dyDescent="0.2">
      <c r="A75" s="66" t="s">
        <v>1106</v>
      </c>
      <c r="B75" s="66">
        <v>10878</v>
      </c>
    </row>
    <row r="76" spans="1:2" x14ac:dyDescent="0.2">
      <c r="A76" s="66" t="s">
        <v>1107</v>
      </c>
      <c r="B76" s="66">
        <v>10879</v>
      </c>
    </row>
    <row r="77" spans="1:2" x14ac:dyDescent="0.2">
      <c r="A77" s="66" t="s">
        <v>1108</v>
      </c>
      <c r="B77" s="66">
        <v>10880</v>
      </c>
    </row>
    <row r="78" spans="1:2" x14ac:dyDescent="0.2">
      <c r="A78" s="66" t="s">
        <v>1109</v>
      </c>
      <c r="B78" s="66">
        <v>10881</v>
      </c>
    </row>
    <row r="79" spans="1:2" x14ac:dyDescent="0.2">
      <c r="A79" s="66" t="s">
        <v>1110</v>
      </c>
      <c r="B79" s="66">
        <v>10882</v>
      </c>
    </row>
    <row r="80" spans="1:2" x14ac:dyDescent="0.2">
      <c r="A80" s="66" t="s">
        <v>1111</v>
      </c>
      <c r="B80" s="66">
        <v>10883</v>
      </c>
    </row>
    <row r="81" spans="1:2" x14ac:dyDescent="0.2">
      <c r="A81" s="66" t="s">
        <v>1112</v>
      </c>
      <c r="B81" s="66">
        <v>10884</v>
      </c>
    </row>
    <row r="82" spans="1:2" x14ac:dyDescent="0.2">
      <c r="A82" s="66" t="s">
        <v>1113</v>
      </c>
      <c r="B82" s="66">
        <v>10885</v>
      </c>
    </row>
    <row r="83" spans="1:2" x14ac:dyDescent="0.2">
      <c r="A83" s="66" t="s">
        <v>1114</v>
      </c>
      <c r="B83" s="66">
        <v>10886</v>
      </c>
    </row>
    <row r="84" spans="1:2" x14ac:dyDescent="0.2">
      <c r="A84" s="66" t="s">
        <v>1115</v>
      </c>
      <c r="B84" s="66">
        <v>10887</v>
      </c>
    </row>
    <row r="85" spans="1:2" x14ac:dyDescent="0.2">
      <c r="A85" s="66" t="s">
        <v>1116</v>
      </c>
      <c r="B85" s="66">
        <v>10889</v>
      </c>
    </row>
    <row r="86" spans="1:2" x14ac:dyDescent="0.2">
      <c r="A86" s="66" t="s">
        <v>1117</v>
      </c>
      <c r="B86" s="66">
        <v>10890</v>
      </c>
    </row>
    <row r="87" spans="1:2" x14ac:dyDescent="0.2">
      <c r="A87" s="66" t="s">
        <v>1118</v>
      </c>
      <c r="B87" s="66">
        <v>10891</v>
      </c>
    </row>
    <row r="88" spans="1:2" x14ac:dyDescent="0.2">
      <c r="A88" s="66" t="s">
        <v>1119</v>
      </c>
      <c r="B88" s="66">
        <v>10892</v>
      </c>
    </row>
    <row r="89" spans="1:2" x14ac:dyDescent="0.2">
      <c r="A89" s="66" t="s">
        <v>1120</v>
      </c>
      <c r="B89" s="66">
        <v>10893</v>
      </c>
    </row>
    <row r="90" spans="1:2" x14ac:dyDescent="0.2">
      <c r="A90" s="66" t="s">
        <v>1121</v>
      </c>
      <c r="B90" s="66">
        <v>10894</v>
      </c>
    </row>
    <row r="91" spans="1:2" x14ac:dyDescent="0.2">
      <c r="A91" s="66" t="s">
        <v>1122</v>
      </c>
      <c r="B91" s="66">
        <v>10895</v>
      </c>
    </row>
    <row r="92" spans="1:2" x14ac:dyDescent="0.2">
      <c r="A92" s="66" t="s">
        <v>1123</v>
      </c>
      <c r="B92" s="66">
        <v>10896</v>
      </c>
    </row>
    <row r="93" spans="1:2" x14ac:dyDescent="0.2">
      <c r="A93" s="66" t="s">
        <v>1124</v>
      </c>
      <c r="B93" s="66">
        <v>10897</v>
      </c>
    </row>
    <row r="94" spans="1:2" x14ac:dyDescent="0.2">
      <c r="A94" s="66" t="s">
        <v>1125</v>
      </c>
      <c r="B94" s="66">
        <v>10898</v>
      </c>
    </row>
    <row r="95" spans="1:2" x14ac:dyDescent="0.2">
      <c r="A95" s="66" t="s">
        <v>1126</v>
      </c>
      <c r="B95" s="66">
        <v>10899</v>
      </c>
    </row>
    <row r="96" spans="1:2" x14ac:dyDescent="0.2">
      <c r="A96" s="66" t="s">
        <v>1127</v>
      </c>
      <c r="B96" s="66">
        <v>10900</v>
      </c>
    </row>
    <row r="97" spans="1:2" x14ac:dyDescent="0.2">
      <c r="A97" s="66" t="s">
        <v>1128</v>
      </c>
      <c r="B97" s="66">
        <v>10901</v>
      </c>
    </row>
    <row r="98" spans="1:2" x14ac:dyDescent="0.2">
      <c r="A98" s="66" t="s">
        <v>1129</v>
      </c>
      <c r="B98" s="66">
        <v>10902</v>
      </c>
    </row>
    <row r="99" spans="1:2" x14ac:dyDescent="0.2">
      <c r="A99" s="66" t="s">
        <v>1130</v>
      </c>
      <c r="B99" s="66">
        <v>10903</v>
      </c>
    </row>
    <row r="100" spans="1:2" x14ac:dyDescent="0.2">
      <c r="A100" s="66" t="s">
        <v>1131</v>
      </c>
      <c r="B100" s="66">
        <v>10904</v>
      </c>
    </row>
    <row r="101" spans="1:2" x14ac:dyDescent="0.2">
      <c r="A101" s="66" t="s">
        <v>1132</v>
      </c>
      <c r="B101" s="66">
        <v>10905</v>
      </c>
    </row>
    <row r="102" spans="1:2" x14ac:dyDescent="0.2">
      <c r="A102" s="66" t="s">
        <v>1133</v>
      </c>
      <c r="B102" s="66">
        <v>10906</v>
      </c>
    </row>
    <row r="103" spans="1:2" x14ac:dyDescent="0.2">
      <c r="A103" s="66" t="s">
        <v>1134</v>
      </c>
      <c r="B103" s="66">
        <v>10907</v>
      </c>
    </row>
    <row r="104" spans="1:2" x14ac:dyDescent="0.2">
      <c r="A104" s="66" t="s">
        <v>1088</v>
      </c>
      <c r="B104" s="66">
        <v>10908</v>
      </c>
    </row>
    <row r="105" spans="1:2" x14ac:dyDescent="0.2">
      <c r="A105" s="66" t="s">
        <v>1135</v>
      </c>
      <c r="B105" s="66">
        <v>10909</v>
      </c>
    </row>
    <row r="106" spans="1:2" x14ac:dyDescent="0.2">
      <c r="A106" s="66" t="s">
        <v>1136</v>
      </c>
      <c r="B106" s="66">
        <v>10910</v>
      </c>
    </row>
    <row r="107" spans="1:2" x14ac:dyDescent="0.2">
      <c r="A107" s="66" t="s">
        <v>1137</v>
      </c>
      <c r="B107" s="66">
        <v>10911</v>
      </c>
    </row>
    <row r="108" spans="1:2" x14ac:dyDescent="0.2">
      <c r="A108" s="66" t="s">
        <v>1138</v>
      </c>
      <c r="B108" s="66">
        <v>10912</v>
      </c>
    </row>
    <row r="109" spans="1:2" x14ac:dyDescent="0.2">
      <c r="A109" s="66" t="s">
        <v>1139</v>
      </c>
      <c r="B109" s="66">
        <v>10913</v>
      </c>
    </row>
    <row r="110" spans="1:2" x14ac:dyDescent="0.2">
      <c r="A110" s="66" t="s">
        <v>1140</v>
      </c>
      <c r="B110" s="66">
        <v>10914</v>
      </c>
    </row>
    <row r="111" spans="1:2" x14ac:dyDescent="0.2">
      <c r="A111" s="66" t="s">
        <v>1141</v>
      </c>
      <c r="B111" s="66">
        <v>10915</v>
      </c>
    </row>
    <row r="112" spans="1:2" x14ac:dyDescent="0.2">
      <c r="A112" s="66" t="s">
        <v>1142</v>
      </c>
      <c r="B112" s="66">
        <v>10916</v>
      </c>
    </row>
    <row r="113" spans="1:2" x14ac:dyDescent="0.2">
      <c r="A113" s="66" t="s">
        <v>1143</v>
      </c>
      <c r="B113" s="66">
        <v>10917</v>
      </c>
    </row>
    <row r="114" spans="1:2" x14ac:dyDescent="0.2">
      <c r="A114" s="66" t="s">
        <v>1144</v>
      </c>
      <c r="B114" s="66">
        <v>10918</v>
      </c>
    </row>
    <row r="115" spans="1:2" x14ac:dyDescent="0.2">
      <c r="A115" s="66" t="s">
        <v>1145</v>
      </c>
      <c r="B115" s="66">
        <v>10919</v>
      </c>
    </row>
    <row r="116" spans="1:2" x14ac:dyDescent="0.2">
      <c r="A116" s="66" t="s">
        <v>1146</v>
      </c>
      <c r="B116" s="66">
        <v>10920</v>
      </c>
    </row>
    <row r="117" spans="1:2" x14ac:dyDescent="0.2">
      <c r="A117" s="66" t="s">
        <v>1147</v>
      </c>
      <c r="B117" s="66">
        <v>10921</v>
      </c>
    </row>
    <row r="118" spans="1:2" x14ac:dyDescent="0.2">
      <c r="A118" s="66" t="s">
        <v>1148</v>
      </c>
      <c r="B118" s="66">
        <v>10922</v>
      </c>
    </row>
    <row r="119" spans="1:2" x14ac:dyDescent="0.2">
      <c r="A119" s="66" t="s">
        <v>1149</v>
      </c>
      <c r="B119" s="66">
        <v>10923</v>
      </c>
    </row>
    <row r="120" spans="1:2" x14ac:dyDescent="0.2">
      <c r="A120" s="66" t="s">
        <v>1150</v>
      </c>
      <c r="B120" s="66">
        <v>10924</v>
      </c>
    </row>
    <row r="121" spans="1:2" x14ac:dyDescent="0.2">
      <c r="A121" s="66" t="s">
        <v>1151</v>
      </c>
      <c r="B121" s="66">
        <v>10925</v>
      </c>
    </row>
    <row r="122" spans="1:2" x14ac:dyDescent="0.2">
      <c r="A122" s="66" t="s">
        <v>1152</v>
      </c>
      <c r="B122" s="66">
        <v>10926</v>
      </c>
    </row>
    <row r="123" spans="1:2" x14ac:dyDescent="0.2">
      <c r="A123" s="66" t="s">
        <v>1153</v>
      </c>
      <c r="B123" s="66">
        <v>10927</v>
      </c>
    </row>
    <row r="124" spans="1:2" x14ac:dyDescent="0.2">
      <c r="A124" s="66" t="s">
        <v>1154</v>
      </c>
      <c r="B124" s="66">
        <v>10928</v>
      </c>
    </row>
    <row r="125" spans="1:2" x14ac:dyDescent="0.2">
      <c r="A125" s="66" t="s">
        <v>1155</v>
      </c>
      <c r="B125" s="66">
        <v>10929</v>
      </c>
    </row>
    <row r="126" spans="1:2" x14ac:dyDescent="0.2">
      <c r="A126" s="66" t="s">
        <v>1156</v>
      </c>
      <c r="B126" s="66">
        <v>10930</v>
      </c>
    </row>
    <row r="127" spans="1:2" x14ac:dyDescent="0.2">
      <c r="A127" s="66" t="s">
        <v>1157</v>
      </c>
      <c r="B127" s="66">
        <v>10931</v>
      </c>
    </row>
    <row r="128" spans="1:2" x14ac:dyDescent="0.2">
      <c r="A128" s="66" t="s">
        <v>1158</v>
      </c>
      <c r="B128" s="66">
        <v>10932</v>
      </c>
    </row>
    <row r="129" spans="1:2" x14ac:dyDescent="0.2">
      <c r="A129" s="66" t="s">
        <v>1159</v>
      </c>
      <c r="B129" s="66">
        <v>10933</v>
      </c>
    </row>
    <row r="130" spans="1:2" x14ac:dyDescent="0.2">
      <c r="A130" s="66" t="s">
        <v>1160</v>
      </c>
      <c r="B130" s="66">
        <v>10934</v>
      </c>
    </row>
    <row r="131" spans="1:2" x14ac:dyDescent="0.2">
      <c r="A131" s="66" t="s">
        <v>1161</v>
      </c>
      <c r="B131" s="66">
        <v>10935</v>
      </c>
    </row>
    <row r="132" spans="1:2" x14ac:dyDescent="0.2">
      <c r="A132" s="66" t="s">
        <v>1162</v>
      </c>
      <c r="B132" s="66">
        <v>10936</v>
      </c>
    </row>
    <row r="133" spans="1:2" x14ac:dyDescent="0.2">
      <c r="A133" s="66" t="s">
        <v>1163</v>
      </c>
      <c r="B133" s="66">
        <v>10937</v>
      </c>
    </row>
    <row r="134" spans="1:2" x14ac:dyDescent="0.2">
      <c r="A134" s="66" t="s">
        <v>1164</v>
      </c>
      <c r="B134" s="66">
        <v>10938</v>
      </c>
    </row>
    <row r="135" spans="1:2" x14ac:dyDescent="0.2">
      <c r="A135" s="66" t="s">
        <v>1165</v>
      </c>
      <c r="B135" s="66">
        <v>10939</v>
      </c>
    </row>
    <row r="136" spans="1:2" x14ac:dyDescent="0.2">
      <c r="A136" s="66" t="s">
        <v>1166</v>
      </c>
      <c r="B136" s="66">
        <v>10940</v>
      </c>
    </row>
    <row r="137" spans="1:2" x14ac:dyDescent="0.2">
      <c r="A137" s="66" t="s">
        <v>1167</v>
      </c>
      <c r="B137" s="66">
        <v>10941</v>
      </c>
    </row>
    <row r="138" spans="1:2" x14ac:dyDescent="0.2">
      <c r="A138" s="66" t="s">
        <v>1168</v>
      </c>
      <c r="B138" s="66">
        <v>10942</v>
      </c>
    </row>
    <row r="139" spans="1:2" x14ac:dyDescent="0.2">
      <c r="A139" s="66" t="s">
        <v>1169</v>
      </c>
      <c r="B139" s="66">
        <v>10943</v>
      </c>
    </row>
    <row r="140" spans="1:2" x14ac:dyDescent="0.2">
      <c r="A140" s="66" t="s">
        <v>1170</v>
      </c>
      <c r="B140" s="66">
        <v>10944</v>
      </c>
    </row>
    <row r="141" spans="1:2" x14ac:dyDescent="0.2">
      <c r="A141" s="66" t="s">
        <v>1171</v>
      </c>
      <c r="B141" s="66">
        <v>10945</v>
      </c>
    </row>
    <row r="142" spans="1:2" x14ac:dyDescent="0.2">
      <c r="A142" s="66" t="s">
        <v>1172</v>
      </c>
      <c r="B142" s="66">
        <v>10946</v>
      </c>
    </row>
    <row r="143" spans="1:2" x14ac:dyDescent="0.2">
      <c r="A143" s="66" t="s">
        <v>1173</v>
      </c>
      <c r="B143" s="66">
        <v>10947</v>
      </c>
    </row>
    <row r="144" spans="1:2" x14ac:dyDescent="0.2">
      <c r="A144" s="66" t="s">
        <v>1174</v>
      </c>
      <c r="B144" s="66">
        <v>10948</v>
      </c>
    </row>
    <row r="145" spans="1:2" x14ac:dyDescent="0.2">
      <c r="A145" s="66" t="s">
        <v>1175</v>
      </c>
      <c r="B145" s="66">
        <v>10949</v>
      </c>
    </row>
    <row r="146" spans="1:2" x14ac:dyDescent="0.2">
      <c r="A146" s="66" t="s">
        <v>1176</v>
      </c>
      <c r="B146" s="66">
        <v>10950</v>
      </c>
    </row>
    <row r="147" spans="1:2" x14ac:dyDescent="0.2">
      <c r="A147" s="66" t="s">
        <v>1177</v>
      </c>
      <c r="B147" s="66">
        <v>10951</v>
      </c>
    </row>
    <row r="148" spans="1:2" x14ac:dyDescent="0.2">
      <c r="A148" s="66" t="s">
        <v>1178</v>
      </c>
      <c r="B148" s="66">
        <v>10952</v>
      </c>
    </row>
    <row r="149" spans="1:2" x14ac:dyDescent="0.2">
      <c r="A149" s="66" t="s">
        <v>1179</v>
      </c>
      <c r="B149" s="66">
        <v>10953</v>
      </c>
    </row>
    <row r="150" spans="1:2" x14ac:dyDescent="0.2">
      <c r="A150" s="66" t="s">
        <v>1180</v>
      </c>
      <c r="B150" s="66">
        <v>10954</v>
      </c>
    </row>
    <row r="151" spans="1:2" x14ac:dyDescent="0.2">
      <c r="A151" s="66" t="s">
        <v>1181</v>
      </c>
      <c r="B151" s="66">
        <v>10955</v>
      </c>
    </row>
    <row r="152" spans="1:2" x14ac:dyDescent="0.2">
      <c r="A152" s="66" t="s">
        <v>1182</v>
      </c>
      <c r="B152" s="66">
        <v>10956</v>
      </c>
    </row>
    <row r="153" spans="1:2" x14ac:dyDescent="0.2">
      <c r="A153" s="66" t="s">
        <v>1183</v>
      </c>
      <c r="B153" s="66">
        <v>10957</v>
      </c>
    </row>
    <row r="154" spans="1:2" x14ac:dyDescent="0.2">
      <c r="A154" s="66" t="s">
        <v>1184</v>
      </c>
      <c r="B154" s="66">
        <v>10958</v>
      </c>
    </row>
    <row r="155" spans="1:2" x14ac:dyDescent="0.2">
      <c r="A155" s="66" t="s">
        <v>1185</v>
      </c>
      <c r="B155" s="66">
        <v>10959</v>
      </c>
    </row>
    <row r="156" spans="1:2" x14ac:dyDescent="0.2">
      <c r="A156" s="66" t="s">
        <v>1186</v>
      </c>
      <c r="B156" s="66">
        <v>10960</v>
      </c>
    </row>
    <row r="157" spans="1:2" x14ac:dyDescent="0.2">
      <c r="A157" s="66" t="s">
        <v>1187</v>
      </c>
      <c r="B157" s="66">
        <v>10961</v>
      </c>
    </row>
    <row r="158" spans="1:2" x14ac:dyDescent="0.2">
      <c r="A158" s="66" t="s">
        <v>1188</v>
      </c>
      <c r="B158" s="66">
        <v>10962</v>
      </c>
    </row>
    <row r="159" spans="1:2" x14ac:dyDescent="0.2">
      <c r="A159" s="66" t="s">
        <v>1189</v>
      </c>
      <c r="B159" s="66">
        <v>10963</v>
      </c>
    </row>
    <row r="160" spans="1:2" x14ac:dyDescent="0.2">
      <c r="A160" s="66" t="s">
        <v>1190</v>
      </c>
      <c r="B160" s="66">
        <v>10964</v>
      </c>
    </row>
    <row r="161" spans="1:2" x14ac:dyDescent="0.2">
      <c r="A161" s="66" t="s">
        <v>1191</v>
      </c>
      <c r="B161" s="66">
        <v>10965</v>
      </c>
    </row>
    <row r="162" spans="1:2" x14ac:dyDescent="0.2">
      <c r="A162" s="66" t="s">
        <v>1192</v>
      </c>
      <c r="B162" s="66">
        <v>10966</v>
      </c>
    </row>
    <row r="163" spans="1:2" x14ac:dyDescent="0.2">
      <c r="A163" s="66" t="s">
        <v>1193</v>
      </c>
      <c r="B163" s="66">
        <v>10967</v>
      </c>
    </row>
    <row r="164" spans="1:2" x14ac:dyDescent="0.2">
      <c r="A164" s="66" t="s">
        <v>1194</v>
      </c>
      <c r="B164" s="66">
        <v>10968</v>
      </c>
    </row>
    <row r="165" spans="1:2" x14ac:dyDescent="0.2">
      <c r="A165" s="66" t="s">
        <v>1195</v>
      </c>
      <c r="B165" s="66">
        <v>10969</v>
      </c>
    </row>
    <row r="166" spans="1:2" x14ac:dyDescent="0.2">
      <c r="A166" s="66" t="s">
        <v>1196</v>
      </c>
      <c r="B166" s="66">
        <v>10970</v>
      </c>
    </row>
    <row r="167" spans="1:2" x14ac:dyDescent="0.2">
      <c r="A167" s="66" t="s">
        <v>1197</v>
      </c>
      <c r="B167" s="66">
        <v>10971</v>
      </c>
    </row>
    <row r="168" spans="1:2" x14ac:dyDescent="0.2">
      <c r="A168" s="66" t="s">
        <v>1198</v>
      </c>
      <c r="B168" s="66">
        <v>10972</v>
      </c>
    </row>
    <row r="169" spans="1:2" x14ac:dyDescent="0.2">
      <c r="A169" s="66" t="s">
        <v>1199</v>
      </c>
      <c r="B169" s="66">
        <v>10973</v>
      </c>
    </row>
    <row r="170" spans="1:2" x14ac:dyDescent="0.2">
      <c r="A170" s="66" t="s">
        <v>1200</v>
      </c>
      <c r="B170" s="66">
        <v>10974</v>
      </c>
    </row>
    <row r="171" spans="1:2" x14ac:dyDescent="0.2">
      <c r="A171" s="66" t="s">
        <v>1201</v>
      </c>
      <c r="B171" s="66">
        <v>10975</v>
      </c>
    </row>
    <row r="172" spans="1:2" x14ac:dyDescent="0.2">
      <c r="A172" s="66" t="s">
        <v>1202</v>
      </c>
      <c r="B172" s="66">
        <v>10976</v>
      </c>
    </row>
    <row r="173" spans="1:2" x14ac:dyDescent="0.2">
      <c r="A173" s="66" t="s">
        <v>1203</v>
      </c>
      <c r="B173" s="66">
        <v>10977</v>
      </c>
    </row>
    <row r="174" spans="1:2" x14ac:dyDescent="0.2">
      <c r="A174" s="66" t="s">
        <v>1204</v>
      </c>
      <c r="B174" s="66">
        <v>10978</v>
      </c>
    </row>
    <row r="175" spans="1:2" x14ac:dyDescent="0.2">
      <c r="A175" s="66" t="s">
        <v>1205</v>
      </c>
      <c r="B175" s="66">
        <v>10979</v>
      </c>
    </row>
    <row r="176" spans="1:2" x14ac:dyDescent="0.2">
      <c r="A176" s="66" t="s">
        <v>1206</v>
      </c>
      <c r="B176" s="66">
        <v>10980</v>
      </c>
    </row>
    <row r="177" spans="1:2" x14ac:dyDescent="0.2">
      <c r="A177" s="66" t="s">
        <v>1207</v>
      </c>
      <c r="B177" s="66">
        <v>10981</v>
      </c>
    </row>
    <row r="178" spans="1:2" x14ac:dyDescent="0.2">
      <c r="A178" s="66" t="s">
        <v>1208</v>
      </c>
      <c r="B178" s="66">
        <v>10982</v>
      </c>
    </row>
    <row r="179" spans="1:2" x14ac:dyDescent="0.2">
      <c r="A179" s="66" t="s">
        <v>1209</v>
      </c>
      <c r="B179" s="66">
        <v>10983</v>
      </c>
    </row>
    <row r="180" spans="1:2" x14ac:dyDescent="0.2">
      <c r="A180" s="66" t="s">
        <v>1210</v>
      </c>
      <c r="B180" s="66">
        <v>10984</v>
      </c>
    </row>
    <row r="181" spans="1:2" x14ac:dyDescent="0.2">
      <c r="A181" s="66" t="s">
        <v>1211</v>
      </c>
      <c r="B181" s="66">
        <v>10985</v>
      </c>
    </row>
    <row r="182" spans="1:2" x14ac:dyDescent="0.2">
      <c r="A182" s="66" t="s">
        <v>1212</v>
      </c>
      <c r="B182" s="66">
        <v>10986</v>
      </c>
    </row>
    <row r="183" spans="1:2" x14ac:dyDescent="0.2">
      <c r="A183" s="66" t="s">
        <v>1213</v>
      </c>
      <c r="B183" s="66">
        <v>10987</v>
      </c>
    </row>
    <row r="184" spans="1:2" x14ac:dyDescent="0.2">
      <c r="A184" s="66" t="s">
        <v>905</v>
      </c>
      <c r="B184" s="66">
        <v>10988</v>
      </c>
    </row>
    <row r="185" spans="1:2" x14ac:dyDescent="0.2">
      <c r="A185" s="66" t="s">
        <v>1214</v>
      </c>
      <c r="B185" s="66">
        <v>10989</v>
      </c>
    </row>
    <row r="186" spans="1:2" x14ac:dyDescent="0.2">
      <c r="A186" s="66" t="s">
        <v>1215</v>
      </c>
      <c r="B186" s="66">
        <v>10990</v>
      </c>
    </row>
    <row r="187" spans="1:2" x14ac:dyDescent="0.2">
      <c r="A187" s="66" t="s">
        <v>1216</v>
      </c>
      <c r="B187" s="66">
        <v>10991</v>
      </c>
    </row>
    <row r="188" spans="1:2" x14ac:dyDescent="0.2">
      <c r="A188" s="66" t="s">
        <v>1217</v>
      </c>
      <c r="B188" s="66">
        <v>10992</v>
      </c>
    </row>
    <row r="189" spans="1:2" x14ac:dyDescent="0.2">
      <c r="A189" s="66" t="s">
        <v>1218</v>
      </c>
      <c r="B189" s="66">
        <v>10993</v>
      </c>
    </row>
    <row r="190" spans="1:2" x14ac:dyDescent="0.2">
      <c r="A190" s="66" t="s">
        <v>1219</v>
      </c>
      <c r="B190" s="66">
        <v>10994</v>
      </c>
    </row>
    <row r="191" spans="1:2" x14ac:dyDescent="0.2">
      <c r="A191" s="66" t="s">
        <v>1220</v>
      </c>
      <c r="B191" s="66">
        <v>10995</v>
      </c>
    </row>
    <row r="192" spans="1:2" x14ac:dyDescent="0.2">
      <c r="A192" s="66" t="s">
        <v>1221</v>
      </c>
      <c r="B192" s="66">
        <v>10996</v>
      </c>
    </row>
    <row r="193" spans="1:2" x14ac:dyDescent="0.2">
      <c r="A193" s="66" t="s">
        <v>1222</v>
      </c>
      <c r="B193" s="66">
        <v>10997</v>
      </c>
    </row>
    <row r="194" spans="1:2" x14ac:dyDescent="0.2">
      <c r="A194" s="66" t="s">
        <v>1223</v>
      </c>
      <c r="B194" s="66">
        <v>10998</v>
      </c>
    </row>
    <row r="195" spans="1:2" x14ac:dyDescent="0.2">
      <c r="A195" s="66" t="s">
        <v>1224</v>
      </c>
      <c r="B195" s="66">
        <v>10999</v>
      </c>
    </row>
    <row r="196" spans="1:2" x14ac:dyDescent="0.2">
      <c r="A196" s="66" t="s">
        <v>1225</v>
      </c>
      <c r="B196" s="66">
        <v>11000</v>
      </c>
    </row>
    <row r="197" spans="1:2" x14ac:dyDescent="0.2">
      <c r="A197" s="66" t="s">
        <v>1226</v>
      </c>
      <c r="B197" s="66">
        <v>11001</v>
      </c>
    </row>
    <row r="198" spans="1:2" x14ac:dyDescent="0.2">
      <c r="A198" s="66" t="s">
        <v>1227</v>
      </c>
      <c r="B198" s="66">
        <v>11002</v>
      </c>
    </row>
    <row r="199" spans="1:2" x14ac:dyDescent="0.2">
      <c r="A199" s="66" t="s">
        <v>1228</v>
      </c>
      <c r="B199" s="66">
        <v>11003</v>
      </c>
    </row>
    <row r="200" spans="1:2" x14ac:dyDescent="0.2">
      <c r="A200" s="66" t="s">
        <v>1229</v>
      </c>
      <c r="B200" s="66">
        <v>11004</v>
      </c>
    </row>
    <row r="201" spans="1:2" x14ac:dyDescent="0.2">
      <c r="A201" s="66" t="s">
        <v>904</v>
      </c>
      <c r="B201" s="66">
        <v>11005</v>
      </c>
    </row>
    <row r="202" spans="1:2" x14ac:dyDescent="0.2">
      <c r="A202" s="66" t="s">
        <v>1230</v>
      </c>
      <c r="B202" s="66">
        <v>11006</v>
      </c>
    </row>
    <row r="203" spans="1:2" x14ac:dyDescent="0.2">
      <c r="A203" s="66" t="s">
        <v>1231</v>
      </c>
      <c r="B203" s="66">
        <v>11007</v>
      </c>
    </row>
    <row r="204" spans="1:2" x14ac:dyDescent="0.2">
      <c r="A204" s="66" t="s">
        <v>1232</v>
      </c>
      <c r="B204" s="66">
        <v>11008</v>
      </c>
    </row>
    <row r="205" spans="1:2" x14ac:dyDescent="0.2">
      <c r="A205" s="66" t="s">
        <v>1233</v>
      </c>
      <c r="B205" s="66">
        <v>11013</v>
      </c>
    </row>
    <row r="206" spans="1:2" x14ac:dyDescent="0.2">
      <c r="A206" s="66" t="s">
        <v>1234</v>
      </c>
      <c r="B206" s="66">
        <v>11014</v>
      </c>
    </row>
    <row r="207" spans="1:2" x14ac:dyDescent="0.2">
      <c r="A207" s="66" t="s">
        <v>1235</v>
      </c>
      <c r="B207" s="66">
        <v>11015</v>
      </c>
    </row>
    <row r="208" spans="1:2" x14ac:dyDescent="0.2">
      <c r="A208" s="66" t="s">
        <v>1360</v>
      </c>
      <c r="B208" s="69">
        <v>9648</v>
      </c>
    </row>
    <row r="209" spans="1:2" x14ac:dyDescent="0.2">
      <c r="A209" s="66" t="s">
        <v>1386</v>
      </c>
      <c r="B209" s="69">
        <v>9651</v>
      </c>
    </row>
    <row r="210" spans="1:2" x14ac:dyDescent="0.2">
      <c r="A210" s="66" t="s">
        <v>1393</v>
      </c>
      <c r="B210" s="69">
        <v>9654</v>
      </c>
    </row>
    <row r="211" spans="1:2" x14ac:dyDescent="0.2">
      <c r="A211" s="66" t="s">
        <v>1425</v>
      </c>
      <c r="B211" s="69">
        <v>9657</v>
      </c>
    </row>
    <row r="212" spans="1:2" x14ac:dyDescent="0.2">
      <c r="A212" s="66" t="s">
        <v>1400</v>
      </c>
      <c r="B212" s="69">
        <v>9660</v>
      </c>
    </row>
    <row r="213" spans="1:2" x14ac:dyDescent="0.2">
      <c r="A213" s="66" t="s">
        <v>1416</v>
      </c>
      <c r="B213" s="69">
        <v>9663</v>
      </c>
    </row>
    <row r="214" spans="1:2" x14ac:dyDescent="0.2">
      <c r="A214" s="66" t="s">
        <v>1423</v>
      </c>
      <c r="B214" s="69">
        <v>9666</v>
      </c>
    </row>
    <row r="215" spans="1:2" x14ac:dyDescent="0.2">
      <c r="A215" s="66" t="s">
        <v>1395</v>
      </c>
      <c r="B215" s="69">
        <v>9669</v>
      </c>
    </row>
    <row r="216" spans="1:2" x14ac:dyDescent="0.2">
      <c r="A216" s="66" t="s">
        <v>1428</v>
      </c>
      <c r="B216" s="69">
        <v>9672</v>
      </c>
    </row>
    <row r="217" spans="1:2" x14ac:dyDescent="0.2">
      <c r="A217" s="66" t="s">
        <v>1401</v>
      </c>
      <c r="B217" s="69">
        <v>9701</v>
      </c>
    </row>
    <row r="218" spans="1:2" x14ac:dyDescent="0.2">
      <c r="A218" s="66" t="s">
        <v>1341</v>
      </c>
      <c r="B218" s="69">
        <v>9704</v>
      </c>
    </row>
    <row r="219" spans="1:2" x14ac:dyDescent="0.2">
      <c r="A219" s="66" t="s">
        <v>1394</v>
      </c>
      <c r="B219" s="69">
        <v>9707</v>
      </c>
    </row>
    <row r="220" spans="1:2" x14ac:dyDescent="0.2">
      <c r="A220" s="66" t="s">
        <v>1417</v>
      </c>
      <c r="B220" s="69">
        <v>9710</v>
      </c>
    </row>
    <row r="221" spans="1:2" x14ac:dyDescent="0.2">
      <c r="A221" s="66" t="s">
        <v>1361</v>
      </c>
      <c r="B221" s="69">
        <v>9713</v>
      </c>
    </row>
    <row r="222" spans="1:2" x14ac:dyDescent="0.2">
      <c r="A222" s="66" t="s">
        <v>1342</v>
      </c>
      <c r="B222" s="69">
        <v>9716</v>
      </c>
    </row>
    <row r="223" spans="1:2" x14ac:dyDescent="0.2">
      <c r="A223" s="66" t="s">
        <v>1362</v>
      </c>
      <c r="B223" s="69">
        <v>9719</v>
      </c>
    </row>
    <row r="224" spans="1:2" x14ac:dyDescent="0.2">
      <c r="A224" s="66" t="s">
        <v>1387</v>
      </c>
      <c r="B224" s="69">
        <v>9722</v>
      </c>
    </row>
    <row r="225" spans="1:2" x14ac:dyDescent="0.2">
      <c r="A225" s="66" t="s">
        <v>1363</v>
      </c>
      <c r="B225" s="69">
        <v>9725</v>
      </c>
    </row>
    <row r="226" spans="1:2" x14ac:dyDescent="0.2">
      <c r="A226" s="66" t="s">
        <v>1402</v>
      </c>
      <c r="B226" s="69">
        <v>9728</v>
      </c>
    </row>
    <row r="227" spans="1:2" x14ac:dyDescent="0.2">
      <c r="A227" s="66" t="s">
        <v>1403</v>
      </c>
      <c r="B227" s="70">
        <v>9731</v>
      </c>
    </row>
    <row r="228" spans="1:2" x14ac:dyDescent="0.2">
      <c r="A228" s="66" t="s">
        <v>1343</v>
      </c>
      <c r="B228" s="69">
        <v>9734</v>
      </c>
    </row>
    <row r="229" spans="1:2" x14ac:dyDescent="0.2">
      <c r="A229" s="66" t="s">
        <v>1404</v>
      </c>
      <c r="B229" s="69">
        <v>9737</v>
      </c>
    </row>
    <row r="230" spans="1:2" x14ac:dyDescent="0.2">
      <c r="A230" s="66" t="s">
        <v>1405</v>
      </c>
      <c r="B230" s="69">
        <v>9740</v>
      </c>
    </row>
    <row r="231" spans="1:2" x14ac:dyDescent="0.2">
      <c r="A231" s="66" t="s">
        <v>1364</v>
      </c>
      <c r="B231" s="69">
        <v>9743</v>
      </c>
    </row>
    <row r="232" spans="1:2" x14ac:dyDescent="0.2">
      <c r="A232" s="66" t="s">
        <v>1365</v>
      </c>
      <c r="B232" s="69">
        <v>9746</v>
      </c>
    </row>
    <row r="233" spans="1:2" x14ac:dyDescent="0.2">
      <c r="A233" s="66" t="s">
        <v>1344</v>
      </c>
      <c r="B233" s="69">
        <v>9749</v>
      </c>
    </row>
    <row r="234" spans="1:2" x14ac:dyDescent="0.2">
      <c r="A234" s="66" t="s">
        <v>1406</v>
      </c>
      <c r="B234" s="69">
        <v>9752</v>
      </c>
    </row>
    <row r="235" spans="1:2" x14ac:dyDescent="0.2">
      <c r="A235" s="66" t="s">
        <v>1345</v>
      </c>
      <c r="B235" s="69">
        <v>9755</v>
      </c>
    </row>
    <row r="236" spans="1:2" x14ac:dyDescent="0.2">
      <c r="A236" s="66" t="s">
        <v>1418</v>
      </c>
      <c r="B236" s="69">
        <v>9758</v>
      </c>
    </row>
    <row r="237" spans="1:2" x14ac:dyDescent="0.2">
      <c r="A237" s="66" t="s">
        <v>1366</v>
      </c>
      <c r="B237" s="69">
        <v>9761</v>
      </c>
    </row>
    <row r="238" spans="1:2" x14ac:dyDescent="0.2">
      <c r="A238" s="66" t="s">
        <v>1367</v>
      </c>
      <c r="B238" s="69">
        <v>9764</v>
      </c>
    </row>
    <row r="239" spans="1:2" x14ac:dyDescent="0.2">
      <c r="A239" s="66" t="s">
        <v>1368</v>
      </c>
      <c r="B239" s="69">
        <v>9767</v>
      </c>
    </row>
    <row r="240" spans="1:2" x14ac:dyDescent="0.2">
      <c r="A240" s="66" t="s">
        <v>1369</v>
      </c>
      <c r="B240" s="69">
        <v>9770</v>
      </c>
    </row>
    <row r="241" spans="1:2" x14ac:dyDescent="0.2">
      <c r="A241" s="66" t="s">
        <v>1370</v>
      </c>
      <c r="B241" s="69">
        <v>9773</v>
      </c>
    </row>
    <row r="242" spans="1:2" x14ac:dyDescent="0.2">
      <c r="A242" s="66" t="s">
        <v>1371</v>
      </c>
      <c r="B242" s="69">
        <v>9776</v>
      </c>
    </row>
    <row r="243" spans="1:2" x14ac:dyDescent="0.2">
      <c r="A243" s="66" t="s">
        <v>1372</v>
      </c>
      <c r="B243" s="69">
        <v>9779</v>
      </c>
    </row>
    <row r="244" spans="1:2" x14ac:dyDescent="0.2">
      <c r="A244" s="66" t="s">
        <v>1346</v>
      </c>
      <c r="B244" s="69">
        <v>9782</v>
      </c>
    </row>
    <row r="245" spans="1:2" x14ac:dyDescent="0.2">
      <c r="A245" s="66" t="s">
        <v>1373</v>
      </c>
      <c r="B245" s="69">
        <v>9785</v>
      </c>
    </row>
    <row r="246" spans="1:2" x14ac:dyDescent="0.2">
      <c r="A246" s="66" t="s">
        <v>1347</v>
      </c>
      <c r="B246" s="69">
        <v>9788</v>
      </c>
    </row>
    <row r="247" spans="1:2" x14ac:dyDescent="0.2">
      <c r="A247" s="66" t="s">
        <v>1407</v>
      </c>
      <c r="B247" s="69">
        <v>9791</v>
      </c>
    </row>
    <row r="248" spans="1:2" x14ac:dyDescent="0.2">
      <c r="A248" s="66" t="s">
        <v>1374</v>
      </c>
      <c r="B248" s="69">
        <v>9794</v>
      </c>
    </row>
    <row r="249" spans="1:2" x14ac:dyDescent="0.2">
      <c r="A249" s="66" t="s">
        <v>1375</v>
      </c>
      <c r="B249" s="69">
        <v>9797</v>
      </c>
    </row>
    <row r="250" spans="1:2" x14ac:dyDescent="0.2">
      <c r="A250" s="66" t="s">
        <v>1408</v>
      </c>
      <c r="B250" s="69">
        <v>9800</v>
      </c>
    </row>
    <row r="251" spans="1:2" x14ac:dyDescent="0.2">
      <c r="A251" s="66" t="s">
        <v>1419</v>
      </c>
      <c r="B251" s="69">
        <v>9803</v>
      </c>
    </row>
    <row r="252" spans="1:2" x14ac:dyDescent="0.2">
      <c r="A252" s="66" t="s">
        <v>1376</v>
      </c>
      <c r="B252" s="69">
        <v>9806</v>
      </c>
    </row>
    <row r="253" spans="1:2" x14ac:dyDescent="0.2">
      <c r="A253" s="66" t="s">
        <v>1377</v>
      </c>
      <c r="B253" s="70">
        <v>9809</v>
      </c>
    </row>
    <row r="254" spans="1:2" x14ac:dyDescent="0.2">
      <c r="A254" s="66" t="s">
        <v>1348</v>
      </c>
      <c r="B254" s="69">
        <v>9812</v>
      </c>
    </row>
    <row r="255" spans="1:2" x14ac:dyDescent="0.2">
      <c r="A255" s="66" t="s">
        <v>1349</v>
      </c>
      <c r="B255" s="69">
        <v>9815</v>
      </c>
    </row>
    <row r="256" spans="1:2" x14ac:dyDescent="0.2">
      <c r="A256" s="66" t="s">
        <v>1378</v>
      </c>
      <c r="B256" s="69">
        <v>9818</v>
      </c>
    </row>
    <row r="257" spans="1:2" x14ac:dyDescent="0.2">
      <c r="A257" s="66" t="s">
        <v>1350</v>
      </c>
      <c r="B257" s="69">
        <v>9821</v>
      </c>
    </row>
    <row r="258" spans="1:2" x14ac:dyDescent="0.2">
      <c r="A258" s="66" t="s">
        <v>1351</v>
      </c>
      <c r="B258" s="69">
        <v>9824</v>
      </c>
    </row>
    <row r="259" spans="1:2" x14ac:dyDescent="0.2">
      <c r="A259" s="66" t="s">
        <v>1424</v>
      </c>
      <c r="B259" s="69">
        <v>9827</v>
      </c>
    </row>
    <row r="260" spans="1:2" x14ac:dyDescent="0.2">
      <c r="A260" s="66" t="s">
        <v>1352</v>
      </c>
      <c r="B260" s="70">
        <v>9830</v>
      </c>
    </row>
    <row r="261" spans="1:2" x14ac:dyDescent="0.2">
      <c r="A261" s="66" t="s">
        <v>1353</v>
      </c>
      <c r="B261" s="69">
        <v>9833</v>
      </c>
    </row>
    <row r="262" spans="1:2" x14ac:dyDescent="0.2">
      <c r="A262" s="66" t="s">
        <v>1426</v>
      </c>
      <c r="B262" s="70">
        <v>9834</v>
      </c>
    </row>
    <row r="263" spans="1:2" x14ac:dyDescent="0.2">
      <c r="A263" s="66" t="s">
        <v>1379</v>
      </c>
      <c r="B263" s="69">
        <v>9839</v>
      </c>
    </row>
    <row r="264" spans="1:2" x14ac:dyDescent="0.2">
      <c r="A264" s="66" t="s">
        <v>1409</v>
      </c>
      <c r="B264" s="69">
        <v>9842</v>
      </c>
    </row>
    <row r="265" spans="1:2" x14ac:dyDescent="0.2">
      <c r="A265" s="66" t="s">
        <v>1354</v>
      </c>
      <c r="B265" s="69">
        <v>9845</v>
      </c>
    </row>
    <row r="266" spans="1:2" x14ac:dyDescent="0.2">
      <c r="A266" s="66" t="s">
        <v>1388</v>
      </c>
      <c r="B266" s="69">
        <v>9848</v>
      </c>
    </row>
    <row r="267" spans="1:2" x14ac:dyDescent="0.2">
      <c r="A267" s="66" t="s">
        <v>1396</v>
      </c>
      <c r="B267" s="70">
        <v>9851</v>
      </c>
    </row>
    <row r="268" spans="1:2" x14ac:dyDescent="0.2">
      <c r="A268" s="66" t="s">
        <v>1410</v>
      </c>
      <c r="B268" s="69">
        <v>9854</v>
      </c>
    </row>
    <row r="269" spans="1:2" x14ac:dyDescent="0.2">
      <c r="A269" s="66" t="s">
        <v>1420</v>
      </c>
      <c r="B269" s="69">
        <v>9857</v>
      </c>
    </row>
    <row r="270" spans="1:2" x14ac:dyDescent="0.2">
      <c r="A270" s="66" t="s">
        <v>1380</v>
      </c>
      <c r="B270" s="69">
        <v>9860</v>
      </c>
    </row>
    <row r="271" spans="1:2" x14ac:dyDescent="0.2">
      <c r="A271" s="66" t="s">
        <v>1381</v>
      </c>
      <c r="B271" s="69">
        <v>9863</v>
      </c>
    </row>
    <row r="272" spans="1:2" x14ac:dyDescent="0.2">
      <c r="A272" s="66" t="s">
        <v>1389</v>
      </c>
      <c r="B272" s="69">
        <v>9866</v>
      </c>
    </row>
    <row r="273" spans="1:2" x14ac:dyDescent="0.2">
      <c r="A273" s="66" t="s">
        <v>1411</v>
      </c>
      <c r="B273" s="69">
        <v>9869</v>
      </c>
    </row>
    <row r="274" spans="1:2" x14ac:dyDescent="0.2">
      <c r="A274" s="66" t="s">
        <v>1355</v>
      </c>
      <c r="B274" s="69">
        <v>9872</v>
      </c>
    </row>
    <row r="275" spans="1:2" x14ac:dyDescent="0.2">
      <c r="A275" s="66" t="s">
        <v>1412</v>
      </c>
      <c r="B275" s="69">
        <v>9873</v>
      </c>
    </row>
    <row r="276" spans="1:2" x14ac:dyDescent="0.2">
      <c r="A276" s="66" t="s">
        <v>1382</v>
      </c>
      <c r="B276" s="69">
        <v>9878</v>
      </c>
    </row>
    <row r="277" spans="1:2" x14ac:dyDescent="0.2">
      <c r="A277" s="66" t="s">
        <v>1413</v>
      </c>
      <c r="B277" s="69">
        <v>9881</v>
      </c>
    </row>
    <row r="278" spans="1:2" x14ac:dyDescent="0.2">
      <c r="A278" s="66" t="s">
        <v>1427</v>
      </c>
      <c r="B278" s="69">
        <v>9884</v>
      </c>
    </row>
    <row r="279" spans="1:2" x14ac:dyDescent="0.2">
      <c r="A279" s="66" t="s">
        <v>1356</v>
      </c>
      <c r="B279" s="69">
        <v>9887</v>
      </c>
    </row>
    <row r="280" spans="1:2" x14ac:dyDescent="0.2">
      <c r="A280" s="66" t="s">
        <v>1397</v>
      </c>
      <c r="B280" s="69">
        <v>9890</v>
      </c>
    </row>
    <row r="281" spans="1:2" x14ac:dyDescent="0.2">
      <c r="A281" s="66" t="s">
        <v>1398</v>
      </c>
      <c r="B281" s="69">
        <v>9893</v>
      </c>
    </row>
    <row r="282" spans="1:2" x14ac:dyDescent="0.2">
      <c r="A282" s="66" t="s">
        <v>1399</v>
      </c>
      <c r="B282" s="69">
        <v>9896</v>
      </c>
    </row>
    <row r="283" spans="1:2" x14ac:dyDescent="0.2">
      <c r="A283" s="66" t="s">
        <v>1390</v>
      </c>
      <c r="B283" s="70">
        <v>9899</v>
      </c>
    </row>
    <row r="284" spans="1:2" x14ac:dyDescent="0.2">
      <c r="A284" s="66" t="s">
        <v>1421</v>
      </c>
      <c r="B284" s="69">
        <v>9902</v>
      </c>
    </row>
    <row r="285" spans="1:2" x14ac:dyDescent="0.2">
      <c r="A285" s="66" t="s">
        <v>1391</v>
      </c>
      <c r="B285" s="69">
        <v>9905</v>
      </c>
    </row>
    <row r="286" spans="1:2" x14ac:dyDescent="0.2">
      <c r="A286" s="66" t="s">
        <v>1414</v>
      </c>
      <c r="B286" s="69">
        <v>9908</v>
      </c>
    </row>
    <row r="287" spans="1:2" x14ac:dyDescent="0.2">
      <c r="A287" s="66" t="s">
        <v>1415</v>
      </c>
      <c r="B287" s="69">
        <v>9911</v>
      </c>
    </row>
    <row r="288" spans="1:2" x14ac:dyDescent="0.2">
      <c r="A288" s="66" t="s">
        <v>1357</v>
      </c>
      <c r="B288" s="69">
        <v>9914</v>
      </c>
    </row>
    <row r="289" spans="1:2" x14ac:dyDescent="0.2">
      <c r="A289" s="66" t="s">
        <v>1358</v>
      </c>
      <c r="B289" s="69">
        <v>9917</v>
      </c>
    </row>
    <row r="290" spans="1:2" x14ac:dyDescent="0.2">
      <c r="A290" s="66" t="s">
        <v>1359</v>
      </c>
      <c r="B290" s="70">
        <v>9920</v>
      </c>
    </row>
    <row r="291" spans="1:2" x14ac:dyDescent="0.2">
      <c r="A291" s="66" t="s">
        <v>1383</v>
      </c>
      <c r="B291" s="69">
        <v>9923</v>
      </c>
    </row>
    <row r="292" spans="1:2" x14ac:dyDescent="0.2">
      <c r="A292" s="66" t="s">
        <v>1422</v>
      </c>
      <c r="B292" s="70">
        <v>9926</v>
      </c>
    </row>
    <row r="293" spans="1:2" x14ac:dyDescent="0.2">
      <c r="A293" s="66" t="s">
        <v>1392</v>
      </c>
      <c r="B293" s="69">
        <v>9929</v>
      </c>
    </row>
    <row r="294" spans="1:2" x14ac:dyDescent="0.2">
      <c r="A294" s="66" t="s">
        <v>1384</v>
      </c>
      <c r="B294" s="69">
        <v>9932</v>
      </c>
    </row>
    <row r="295" spans="1:2" x14ac:dyDescent="0.2">
      <c r="A295" s="66" t="s">
        <v>1385</v>
      </c>
      <c r="B295" s="70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66" bestFit="1" customWidth="1"/>
    <col min="2" max="6" width="9" style="66"/>
    <col min="7" max="7" width="14.125" style="66" bestFit="1" customWidth="1"/>
    <col min="8" max="8" width="13" style="66" bestFit="1" customWidth="1"/>
    <col min="9" max="16384" width="9" style="66"/>
  </cols>
  <sheetData>
    <row r="1" spans="1:8" x14ac:dyDescent="0.2">
      <c r="A1" s="66" t="s">
        <v>1236</v>
      </c>
      <c r="B1" s="69">
        <v>1952</v>
      </c>
    </row>
    <row r="3" spans="1:8" x14ac:dyDescent="0.2">
      <c r="A3" s="66" t="s">
        <v>1237</v>
      </c>
      <c r="B3" s="66" t="s">
        <v>1238</v>
      </c>
      <c r="C3" s="66" t="s">
        <v>1239</v>
      </c>
      <c r="E3" s="66" t="s">
        <v>1240</v>
      </c>
      <c r="F3" s="66" t="s">
        <v>1241</v>
      </c>
      <c r="G3" s="66" t="s">
        <v>1242</v>
      </c>
      <c r="H3" s="71" t="s">
        <v>1243</v>
      </c>
    </row>
    <row r="4" spans="1:8" x14ac:dyDescent="0.2">
      <c r="A4" s="66" t="s">
        <v>1037</v>
      </c>
      <c r="B4" s="66">
        <v>3</v>
      </c>
      <c r="C4" s="66">
        <v>3</v>
      </c>
      <c r="E4" s="66">
        <f t="shared" ref="E4" si="0">plan_id</f>
        <v>1952</v>
      </c>
      <c r="F4" s="66">
        <f ca="1">INDIRECT(CHAR(39)&amp;$A4&amp;CHAR(39)&amp;"!r"&amp;$B4&amp;"c2",0)</f>
        <v>2014</v>
      </c>
      <c r="G4" s="66">
        <f t="shared" ref="G4" ca="1" si="1">VLOOKUP(INDIRECT(CHAR(39)&amp;$A4&amp;CHAR(39)&amp;"!r2c"&amp;$C4,0),variables,2,0)</f>
        <v>10861</v>
      </c>
      <c r="H4" s="71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2">
      <c r="A5" s="66" t="s">
        <v>1037</v>
      </c>
      <c r="B5" s="66">
        <f>B4</f>
        <v>3</v>
      </c>
      <c r="C5" s="66">
        <f>C4+1</f>
        <v>4</v>
      </c>
      <c r="E5" s="66">
        <f t="shared" ref="E5" si="2">plan_id</f>
        <v>1952</v>
      </c>
      <c r="F5" s="66">
        <f t="shared" ref="F5:F69" ca="1" si="3">INDIRECT(CHAR(39)&amp;$A5&amp;CHAR(39)&amp;"!r"&amp;$B5&amp;"c2",0)</f>
        <v>2014</v>
      </c>
      <c r="G5" s="66">
        <f t="shared" ref="G5" ca="1" si="4">VLOOKUP(INDIRECT(CHAR(39)&amp;$A5&amp;CHAR(39)&amp;"!r2c"&amp;$C5,0),variables,2,0)</f>
        <v>10862</v>
      </c>
      <c r="H5" s="71"/>
    </row>
    <row r="6" spans="1:8" x14ac:dyDescent="0.2">
      <c r="A6" s="66" t="s">
        <v>1037</v>
      </c>
      <c r="B6" s="66">
        <f t="shared" ref="B6:B68" si="5">B5</f>
        <v>3</v>
      </c>
      <c r="C6" s="66">
        <f t="shared" ref="C6:C68" si="6">C5+1</f>
        <v>5</v>
      </c>
      <c r="E6" s="66">
        <f t="shared" ref="E6" si="7">plan_id</f>
        <v>1952</v>
      </c>
      <c r="F6" s="66">
        <f t="shared" ca="1" si="3"/>
        <v>2014</v>
      </c>
      <c r="G6" s="66">
        <f t="shared" ref="G6" ca="1" si="8">VLOOKUP(INDIRECT(CHAR(39)&amp;$A6&amp;CHAR(39)&amp;"!r2c"&amp;$C6,0),variables,2,0)</f>
        <v>10863</v>
      </c>
      <c r="H6" s="71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66" t="s">
        <v>1037</v>
      </c>
      <c r="B7" s="66">
        <f t="shared" si="5"/>
        <v>3</v>
      </c>
      <c r="C7" s="66">
        <f t="shared" si="6"/>
        <v>6</v>
      </c>
      <c r="E7" s="66">
        <f t="shared" ref="E7" si="9">plan_id</f>
        <v>1952</v>
      </c>
      <c r="F7" s="66">
        <f t="shared" ca="1" si="3"/>
        <v>2014</v>
      </c>
      <c r="G7" s="66">
        <f t="shared" ref="G7" ca="1" si="10">VLOOKUP(INDIRECT(CHAR(39)&amp;$A7&amp;CHAR(39)&amp;"!r2c"&amp;$C7,0),variables,2,0)</f>
        <v>10864</v>
      </c>
      <c r="H7" s="71">
        <f t="array" aca="1" ref="H7" ca="1">IF(AND(G7&gt;=10861,G7&lt;=10863),TEXT(INDIRECT(CHAR(39)&amp;$A7&amp;CHAR(39)&amp;"!r"&amp;$B7&amp;"c"&amp;$C7,0),"dd-mmm-yyyy"),(INDIRECT(CHAR(39)&amp;$A7&amp;CHAR(39)&amp;"!r"&amp;$B7&amp;"c"&amp;$C7,0)))</f>
        <v>186150</v>
      </c>
    </row>
    <row r="8" spans="1:8" x14ac:dyDescent="0.2">
      <c r="A8" s="66" t="s">
        <v>1037</v>
      </c>
      <c r="B8" s="66">
        <f t="shared" si="5"/>
        <v>3</v>
      </c>
      <c r="C8" s="66">
        <f t="shared" si="6"/>
        <v>7</v>
      </c>
      <c r="E8" s="66">
        <f t="shared" ref="E8" si="11">plan_id</f>
        <v>1952</v>
      </c>
      <c r="F8" s="66">
        <f t="shared" ca="1" si="3"/>
        <v>2014</v>
      </c>
      <c r="G8" s="66">
        <f t="shared" ref="G8" ca="1" si="12">VLOOKUP(INDIRECT(CHAR(39)&amp;$A8&amp;CHAR(39)&amp;"!r2c"&amp;$C8,0),variables,2,0)</f>
        <v>10865</v>
      </c>
      <c r="H8" s="71">
        <f t="array" aca="1" ref="H8" ca="1">IF(AND(G8&gt;=10861,G8&lt;=10863),TEXT(INDIRECT(CHAR(39)&amp;$A8&amp;CHAR(39)&amp;"!r"&amp;$B8&amp;"c"&amp;$C8,0),"dd-mmm-yyyy"),(INDIRECT(CHAR(39)&amp;$A8&amp;CHAR(39)&amp;"!r"&amp;$B8&amp;"c"&amp;$C8,0)))</f>
        <v>44855</v>
      </c>
    </row>
    <row r="9" spans="1:8" x14ac:dyDescent="0.2">
      <c r="A9" s="66" t="s">
        <v>1037</v>
      </c>
      <c r="B9" s="66">
        <f t="shared" si="5"/>
        <v>3</v>
      </c>
      <c r="C9" s="66">
        <f t="shared" si="6"/>
        <v>8</v>
      </c>
      <c r="E9" s="66">
        <f t="shared" ref="E9" si="13">plan_id</f>
        <v>1952</v>
      </c>
      <c r="F9" s="66">
        <f t="shared" ca="1" si="3"/>
        <v>2014</v>
      </c>
      <c r="G9" s="66">
        <f t="shared" ref="G9" ca="1" si="14">VLOOKUP(INDIRECT(CHAR(39)&amp;$A9&amp;CHAR(39)&amp;"!r2c"&amp;$C9,0),variables,2,0)</f>
        <v>10866</v>
      </c>
      <c r="H9" s="71">
        <f t="array" aca="1" ref="H9" ca="1">IF(AND(G9&gt;=10861,G9&lt;=10863),TEXT(INDIRECT(CHAR(39)&amp;$A9&amp;CHAR(39)&amp;"!r"&amp;$B9&amp;"c"&amp;$C9,0),"dd-mmm-yyyy"),(INDIRECT(CHAR(39)&amp;$A9&amp;CHAR(39)&amp;"!r"&amp;$B9&amp;"c"&amp;$C9,0)))</f>
        <v>85595</v>
      </c>
    </row>
    <row r="10" spans="1:8" x14ac:dyDescent="0.2">
      <c r="A10" s="66" t="s">
        <v>1037</v>
      </c>
      <c r="B10" s="66">
        <f t="shared" si="5"/>
        <v>3</v>
      </c>
      <c r="C10" s="66">
        <f t="shared" si="6"/>
        <v>9</v>
      </c>
      <c r="E10" s="66">
        <f t="shared" ref="E10" si="15">plan_id</f>
        <v>1952</v>
      </c>
      <c r="F10" s="66">
        <f t="shared" ca="1" si="3"/>
        <v>2014</v>
      </c>
      <c r="G10" s="66">
        <f t="shared" ref="G10" ca="1" si="16">VLOOKUP(INDIRECT(CHAR(39)&amp;$A10&amp;CHAR(39)&amp;"!r2c"&amp;$C10,0),variables,2,0)</f>
        <v>10867</v>
      </c>
      <c r="H10" s="71">
        <f t="array" aca="1" ref="H10" ca="1">IF(AND(G10&gt;=10861,G10&lt;=10863),TEXT(INDIRECT(CHAR(39)&amp;$A10&amp;CHAR(39)&amp;"!r"&amp;$B10&amp;"c"&amp;$C10,0),"dd-mmm-yyyy"),(INDIRECT(CHAR(39)&amp;$A10&amp;CHAR(39)&amp;"!r"&amp;$B10&amp;"c"&amp;$C10,0)))</f>
        <v>372448</v>
      </c>
    </row>
    <row r="11" spans="1:8" x14ac:dyDescent="0.2">
      <c r="A11" s="66" t="s">
        <v>1037</v>
      </c>
      <c r="B11" s="66">
        <f t="shared" si="5"/>
        <v>3</v>
      </c>
      <c r="C11" s="66">
        <f t="shared" si="6"/>
        <v>10</v>
      </c>
      <c r="E11" s="66">
        <f t="shared" ref="E11" si="17">plan_id</f>
        <v>1952</v>
      </c>
      <c r="F11" s="66">
        <f t="shared" ca="1" si="3"/>
        <v>2014</v>
      </c>
      <c r="G11" s="66">
        <f t="shared" ref="G11" ca="1" si="18">VLOOKUP(INDIRECT(CHAR(39)&amp;$A11&amp;CHAR(39)&amp;"!r2c"&amp;$C11,0),variables,2,0)</f>
        <v>10868</v>
      </c>
      <c r="H11" s="71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689048</v>
      </c>
    </row>
    <row r="12" spans="1:8" x14ac:dyDescent="0.2">
      <c r="A12" s="66" t="s">
        <v>1037</v>
      </c>
      <c r="B12" s="66">
        <f t="shared" si="5"/>
        <v>3</v>
      </c>
      <c r="C12" s="66">
        <f t="shared" si="6"/>
        <v>11</v>
      </c>
      <c r="E12" s="66">
        <f t="shared" ref="E12" si="19">plan_id</f>
        <v>1952</v>
      </c>
      <c r="F12" s="66">
        <f t="shared" ca="1" si="3"/>
        <v>2014</v>
      </c>
      <c r="G12" s="66">
        <f t="shared" ref="G12" ca="1" si="20">VLOOKUP(INDIRECT(CHAR(39)&amp;$A12&amp;CHAR(39)&amp;"!r2c"&amp;$C12,0),variables,2,0)</f>
        <v>10869</v>
      </c>
      <c r="H12" s="7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7.0000000000000007E-2</v>
      </c>
    </row>
    <row r="13" spans="1:8" x14ac:dyDescent="0.2">
      <c r="A13" s="66" t="s">
        <v>1037</v>
      </c>
      <c r="B13" s="66">
        <f t="shared" si="5"/>
        <v>3</v>
      </c>
      <c r="C13" s="66">
        <f t="shared" si="6"/>
        <v>12</v>
      </c>
      <c r="E13" s="66">
        <f t="shared" ref="E13" si="21">plan_id</f>
        <v>1952</v>
      </c>
      <c r="F13" s="66">
        <f t="shared" ca="1" si="3"/>
        <v>2014</v>
      </c>
      <c r="G13" s="66">
        <f t="shared" ref="G13" ca="1" si="22">VLOOKUP(INDIRECT(CHAR(39)&amp;$A13&amp;CHAR(39)&amp;"!r2c"&amp;$C13,0),variables,2,0)</f>
        <v>10870</v>
      </c>
      <c r="H13" s="7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66" t="s">
        <v>1037</v>
      </c>
      <c r="B14" s="66">
        <f t="shared" si="5"/>
        <v>3</v>
      </c>
      <c r="C14" s="66">
        <f t="shared" si="6"/>
        <v>13</v>
      </c>
      <c r="E14" s="66">
        <f t="shared" ref="E14" si="23">plan_id</f>
        <v>1952</v>
      </c>
      <c r="F14" s="66">
        <f t="shared" ca="1" si="3"/>
        <v>2014</v>
      </c>
      <c r="G14" s="66">
        <f t="shared" ref="G14" ca="1" si="24">VLOOKUP(INDIRECT(CHAR(39)&amp;$A14&amp;CHAR(39)&amp;"!r2c"&amp;$C14,0),variables,2,0)</f>
        <v>10871</v>
      </c>
      <c r="H14" s="7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66" t="s">
        <v>1037</v>
      </c>
      <c r="B15" s="66">
        <f t="shared" si="5"/>
        <v>3</v>
      </c>
      <c r="C15" s="66">
        <f t="shared" si="6"/>
        <v>14</v>
      </c>
      <c r="E15" s="66">
        <f t="shared" ref="E15" si="25">plan_id</f>
        <v>1952</v>
      </c>
      <c r="F15" s="66">
        <f t="shared" ca="1" si="3"/>
        <v>2014</v>
      </c>
      <c r="G15" s="66">
        <f t="shared" ref="G15" ca="1" si="26">VLOOKUP(INDIRECT(CHAR(39)&amp;$A15&amp;CHAR(39)&amp;"!r2c"&amp;$C15,0),variables,2,0)</f>
        <v>10872</v>
      </c>
      <c r="H15" s="71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66" t="s">
        <v>1037</v>
      </c>
      <c r="B16" s="66">
        <f t="shared" si="5"/>
        <v>3</v>
      </c>
      <c r="C16" s="66">
        <f t="shared" si="6"/>
        <v>15</v>
      </c>
      <c r="E16" s="66">
        <f t="shared" ref="E16" si="27">plan_id</f>
        <v>1952</v>
      </c>
      <c r="F16" s="66">
        <f t="shared" ca="1" si="3"/>
        <v>2014</v>
      </c>
      <c r="G16" s="66">
        <f t="shared" ref="G16" ca="1" si="28">VLOOKUP(INDIRECT(CHAR(39)&amp;$A16&amp;CHAR(39)&amp;"!r2c"&amp;$C16,0),variables,2,0)</f>
        <v>10873</v>
      </c>
      <c r="H16" s="7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66" t="s">
        <v>1037</v>
      </c>
      <c r="B17" s="66">
        <f t="shared" si="5"/>
        <v>3</v>
      </c>
      <c r="C17" s="66">
        <f t="shared" si="6"/>
        <v>16</v>
      </c>
      <c r="E17" s="66">
        <f t="shared" ref="E17" si="29">plan_id</f>
        <v>1952</v>
      </c>
      <c r="F17" s="66">
        <f t="shared" ca="1" si="3"/>
        <v>2014</v>
      </c>
      <c r="G17" s="66">
        <f t="shared" ref="G17" ca="1" si="30">VLOOKUP(INDIRECT(CHAR(39)&amp;$A17&amp;CHAR(39)&amp;"!r2c"&amp;$C17,0),variables,2,0)</f>
        <v>10874</v>
      </c>
      <c r="H17" s="7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7.0000000000000007E-2</v>
      </c>
    </row>
    <row r="18" spans="1:8" x14ac:dyDescent="0.2">
      <c r="A18" s="66" t="s">
        <v>1037</v>
      </c>
      <c r="B18" s="66">
        <f t="shared" si="5"/>
        <v>3</v>
      </c>
      <c r="C18" s="66">
        <f t="shared" si="6"/>
        <v>17</v>
      </c>
      <c r="E18" s="66">
        <f t="shared" ref="E18" si="31">plan_id</f>
        <v>1952</v>
      </c>
      <c r="F18" s="66">
        <f t="shared" ca="1" si="3"/>
        <v>2014</v>
      </c>
      <c r="G18" s="66">
        <f t="shared" ref="G18" ca="1" si="32">VLOOKUP(INDIRECT(CHAR(39)&amp;$A18&amp;CHAR(39)&amp;"!r2c"&amp;$C18,0),variables,2,0)</f>
        <v>10875</v>
      </c>
      <c r="H18" s="71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82397824000</v>
      </c>
    </row>
    <row r="19" spans="1:8" x14ac:dyDescent="0.2">
      <c r="A19" s="66" t="s">
        <v>1037</v>
      </c>
      <c r="B19" s="66">
        <f t="shared" si="5"/>
        <v>3</v>
      </c>
      <c r="C19" s="66">
        <f t="shared" si="6"/>
        <v>18</v>
      </c>
      <c r="E19" s="66">
        <f t="shared" ref="E19" si="33">plan_id</f>
        <v>1952</v>
      </c>
      <c r="F19" s="66">
        <f t="shared" ca="1" si="3"/>
        <v>2014</v>
      </c>
      <c r="G19" s="66">
        <f t="shared" ref="G19" ca="1" si="34">VLOOKUP(INDIRECT(CHAR(39)&amp;$A19&amp;CHAR(39)&amp;"!r2c"&amp;$C19,0),variables,2,0)</f>
        <v>10876</v>
      </c>
      <c r="H19" s="71">
        <f t="array" aca="1" ref="H19" ca="1">IF(AND(G19&gt;=10861,G19&lt;=10863),TEXT(INDIRECT(CHAR(39)&amp;$A19&amp;CHAR(39)&amp;"!r"&amp;$B19&amp;"c"&amp;$C19,0),"dd-mmm-yyyy"),(INDIRECT(CHAR(39)&amp;$A19&amp;CHAR(39)&amp;"!r"&amp;$B19&amp;"c"&amp;$C19,0)))</f>
        <v>62207257000</v>
      </c>
    </row>
    <row r="20" spans="1:8" x14ac:dyDescent="0.2">
      <c r="A20" s="66" t="s">
        <v>1037</v>
      </c>
      <c r="B20" s="66">
        <f t="shared" si="5"/>
        <v>3</v>
      </c>
      <c r="C20" s="66">
        <f t="shared" si="6"/>
        <v>19</v>
      </c>
      <c r="E20" s="66">
        <f t="shared" ref="E20" si="35">plan_id</f>
        <v>1952</v>
      </c>
      <c r="F20" s="66">
        <f t="shared" ca="1" si="3"/>
        <v>2014</v>
      </c>
      <c r="G20" s="66">
        <f t="shared" ref="G20" ca="1" si="36">VLOOKUP(INDIRECT(CHAR(39)&amp;$A20&amp;CHAR(39)&amp;"!r2c"&amp;$C20,0),variables,2,0)</f>
        <v>10877</v>
      </c>
      <c r="H20" s="71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20190567000</v>
      </c>
    </row>
    <row r="21" spans="1:8" x14ac:dyDescent="0.2">
      <c r="A21" s="66" t="s">
        <v>1037</v>
      </c>
      <c r="B21" s="66">
        <f t="shared" si="5"/>
        <v>3</v>
      </c>
      <c r="C21" s="66">
        <f t="shared" si="6"/>
        <v>20</v>
      </c>
      <c r="E21" s="66">
        <f t="shared" ref="E21" si="37">plan_id</f>
        <v>1952</v>
      </c>
      <c r="F21" s="66">
        <f t="shared" ca="1" si="3"/>
        <v>2014</v>
      </c>
      <c r="G21" s="66">
        <f t="shared" ref="G21" ca="1" si="38">VLOOKUP(INDIRECT(CHAR(39)&amp;$A21&amp;CHAR(39)&amp;"!r2c"&amp;$C21,0),variables,2,0)</f>
        <v>10878</v>
      </c>
      <c r="H21" s="71" t="str">
        <f t="array" aca="1" ref="H21" ca="1">IF(AND(G21&gt;=10861,G21&lt;=10863),TEXT(INDIRECT(CHAR(39)&amp;$A21&amp;CHAR(39)&amp;"!r"&amp;$B21&amp;"c"&amp;$C21,0),"dd-mmm-yyyy"),(INDIRECT(CHAR(39)&amp;$A21&amp;CHAR(39)&amp;"!r"&amp;$B21&amp;"c"&amp;$C21,0)))</f>
        <v>State: 74.28%; Teacher: 70.88%; Political Subdivision: 86.9%</v>
      </c>
    </row>
    <row r="22" spans="1:8" x14ac:dyDescent="0.2">
      <c r="A22" s="66" t="s">
        <v>1037</v>
      </c>
      <c r="B22" s="66">
        <f t="shared" si="5"/>
        <v>3</v>
      </c>
      <c r="C22" s="66">
        <f t="shared" si="6"/>
        <v>21</v>
      </c>
      <c r="E22" s="66">
        <f t="shared" ref="E22" si="39">plan_id</f>
        <v>1952</v>
      </c>
      <c r="F22" s="66">
        <f t="shared" ca="1" si="3"/>
        <v>2014</v>
      </c>
      <c r="G22" s="66">
        <f t="shared" ref="G22" ca="1" si="40">VLOOKUP(INDIRECT(CHAR(39)&amp;$A22&amp;CHAR(39)&amp;"!r2c"&amp;$C22,0),variables,2,0)</f>
        <v>10879</v>
      </c>
      <c r="H22" s="71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15609501000</v>
      </c>
    </row>
    <row r="23" spans="1:8" x14ac:dyDescent="0.2">
      <c r="A23" s="66" t="s">
        <v>1037</v>
      </c>
      <c r="B23" s="66">
        <f t="shared" si="5"/>
        <v>3</v>
      </c>
      <c r="C23" s="66">
        <f t="shared" si="6"/>
        <v>22</v>
      </c>
      <c r="E23" s="66">
        <f t="shared" ref="E23" si="41">plan_id</f>
        <v>1952</v>
      </c>
      <c r="F23" s="66">
        <f t="shared" ca="1" si="3"/>
        <v>2014</v>
      </c>
      <c r="G23" s="66">
        <f t="shared" ref="G23" ca="1" si="42">VLOOKUP(INDIRECT(CHAR(39)&amp;$A23&amp;CHAR(39)&amp;"!r2c"&amp;$C23,0),variables,2,0)</f>
        <v>10880</v>
      </c>
      <c r="H23" s="71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2">
      <c r="A24" s="66" t="s">
        <v>1037</v>
      </c>
      <c r="B24" s="66">
        <f t="shared" si="5"/>
        <v>3</v>
      </c>
      <c r="C24" s="66">
        <f t="shared" si="6"/>
        <v>23</v>
      </c>
      <c r="E24" s="66">
        <f t="shared" ref="E24" si="43">plan_id</f>
        <v>1952</v>
      </c>
      <c r="F24" s="66">
        <f t="shared" ca="1" si="3"/>
        <v>2014</v>
      </c>
      <c r="G24" s="66">
        <f t="shared" ref="G24" ca="1" si="44">VLOOKUP(INDIRECT(CHAR(39)&amp;$A24&amp;CHAR(39)&amp;"!r2c"&amp;$C24,0),variables,2,0)</f>
        <v>10881</v>
      </c>
      <c r="H24" s="71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66" t="s">
        <v>1037</v>
      </c>
      <c r="B25" s="66">
        <f t="shared" si="5"/>
        <v>3</v>
      </c>
      <c r="C25" s="66">
        <f t="shared" si="6"/>
        <v>24</v>
      </c>
      <c r="E25" s="66">
        <f t="shared" ref="E25" si="45">plan_id</f>
        <v>1952</v>
      </c>
      <c r="F25" s="66">
        <f t="shared" ca="1" si="3"/>
        <v>2014</v>
      </c>
      <c r="G25" s="66">
        <f t="shared" ref="G25" ca="1" si="46">VLOOKUP(INDIRECT(CHAR(39)&amp;$A25&amp;CHAR(39)&amp;"!r2c"&amp;$C25,0),variables,2,0)</f>
        <v>10882</v>
      </c>
      <c r="H25" s="71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2">
      <c r="A26" s="66" t="s">
        <v>1037</v>
      </c>
      <c r="B26" s="66">
        <f t="shared" si="5"/>
        <v>3</v>
      </c>
      <c r="C26" s="66">
        <f t="shared" si="6"/>
        <v>25</v>
      </c>
      <c r="E26" s="66">
        <f t="shared" ref="E26" si="47">plan_id</f>
        <v>1952</v>
      </c>
      <c r="F26" s="66">
        <f t="shared" ca="1" si="3"/>
        <v>2014</v>
      </c>
      <c r="G26" s="66">
        <f t="shared" ref="G26" ca="1" si="48">VLOOKUP(INDIRECT(CHAR(39)&amp;$A26&amp;CHAR(39)&amp;"!r2c"&amp;$C26,0),variables,2,0)</f>
        <v>10883</v>
      </c>
      <c r="H26" s="71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0.14625336197486391</v>
      </c>
    </row>
    <row r="27" spans="1:8" x14ac:dyDescent="0.2">
      <c r="A27" s="66" t="s">
        <v>1037</v>
      </c>
      <c r="B27" s="66">
        <f t="shared" si="5"/>
        <v>3</v>
      </c>
      <c r="C27" s="66">
        <f t="shared" si="6"/>
        <v>26</v>
      </c>
      <c r="E27" s="66">
        <f t="shared" ref="E27" si="49">plan_id</f>
        <v>1952</v>
      </c>
      <c r="F27" s="66">
        <f t="shared" ca="1" si="3"/>
        <v>2014</v>
      </c>
      <c r="G27" s="66">
        <f t="shared" ref="G27" ca="1" si="50">VLOOKUP(INDIRECT(CHAR(39)&amp;$A27&amp;CHAR(39)&amp;"!r2c"&amp;$C27,0),variables,2,0)</f>
        <v>10884</v>
      </c>
      <c r="H27" s="71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0.11083736757504292</v>
      </c>
    </row>
    <row r="28" spans="1:8" x14ac:dyDescent="0.2">
      <c r="A28" s="66" t="s">
        <v>1037</v>
      </c>
      <c r="B28" s="66">
        <f t="shared" si="5"/>
        <v>3</v>
      </c>
      <c r="C28" s="66">
        <f t="shared" si="6"/>
        <v>27</v>
      </c>
      <c r="E28" s="66">
        <f t="shared" ref="E28" si="51">plan_id</f>
        <v>1952</v>
      </c>
      <c r="F28" s="66">
        <f t="shared" ca="1" si="3"/>
        <v>2014</v>
      </c>
      <c r="G28" s="66">
        <f t="shared" ref="G28" ca="1" si="52">VLOOKUP(INDIRECT(CHAR(39)&amp;$A28&amp;CHAR(39)&amp;"!r2c"&amp;$C28,0),variables,2,0)</f>
        <v>10885</v>
      </c>
      <c r="H28" s="71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2282942000</v>
      </c>
    </row>
    <row r="29" spans="1:8" x14ac:dyDescent="0.2">
      <c r="A29" s="66" t="s">
        <v>1037</v>
      </c>
      <c r="B29" s="66">
        <f t="shared" si="5"/>
        <v>3</v>
      </c>
      <c r="C29" s="66">
        <f t="shared" si="6"/>
        <v>28</v>
      </c>
      <c r="E29" s="66">
        <f t="shared" ref="E29" si="53">plan_id</f>
        <v>1952</v>
      </c>
      <c r="F29" s="66">
        <f t="shared" ca="1" si="3"/>
        <v>2014</v>
      </c>
      <c r="G29" s="66">
        <f t="shared" ref="G29" ca="1" si="54">VLOOKUP(INDIRECT(CHAR(39)&amp;$A29&amp;CHAR(39)&amp;"!r2c"&amp;$C29,0),variables,2,0)</f>
        <v>10886</v>
      </c>
      <c r="H29" s="71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1730116000</v>
      </c>
    </row>
    <row r="30" spans="1:8" x14ac:dyDescent="0.2">
      <c r="A30" s="66" t="s">
        <v>1037</v>
      </c>
      <c r="B30" s="66">
        <f t="shared" si="5"/>
        <v>3</v>
      </c>
      <c r="C30" s="66">
        <f t="shared" si="6"/>
        <v>29</v>
      </c>
      <c r="E30" s="66">
        <f t="shared" ref="E30" si="55">plan_id</f>
        <v>1952</v>
      </c>
      <c r="F30" s="66">
        <f t="shared" ca="1" si="3"/>
        <v>2014</v>
      </c>
      <c r="G30" s="66">
        <f t="shared" ref="G30" ca="1" si="56">VLOOKUP(INDIRECT(CHAR(39)&amp;$A30&amp;CHAR(39)&amp;"!r2c"&amp;$C30,0),variables,2,0)</f>
        <v>10887</v>
      </c>
      <c r="H30" s="71">
        <f t="array" aca="1" ref="H30" ca="1">IF(AND(G30&gt;=10861,G30&lt;=10863),TEXT(INDIRECT(CHAR(39)&amp;$A30&amp;CHAR(39)&amp;"!r"&amp;$B30&amp;"c"&amp;$C30,0),"dd-mmm-yyyy"),(INDIRECT(CHAR(39)&amp;$A30&amp;CHAR(39)&amp;"!r"&amp;$B30&amp;"c"&amp;$C30,0)))</f>
        <v>552826000</v>
      </c>
    </row>
    <row r="31" spans="1:8" x14ac:dyDescent="0.2">
      <c r="A31" s="66" t="s">
        <v>1037</v>
      </c>
      <c r="B31" s="66">
        <f t="shared" si="5"/>
        <v>3</v>
      </c>
      <c r="C31" s="66">
        <f t="shared" si="6"/>
        <v>30</v>
      </c>
      <c r="E31" s="66">
        <f t="shared" ref="E31" si="57">plan_id</f>
        <v>1952</v>
      </c>
      <c r="F31" s="66">
        <f t="shared" ca="1" si="3"/>
        <v>2014</v>
      </c>
      <c r="G31" s="66">
        <f t="shared" ref="G31" ca="1" si="58">VLOOKUP(INDIRECT(CHAR(39)&amp;$A31&amp;CHAR(39)&amp;"!r2c"&amp;$C31,0),variables,2,0)</f>
        <v>10883</v>
      </c>
      <c r="H31" s="7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0.75784492115875046</v>
      </c>
    </row>
    <row r="32" spans="1:8" x14ac:dyDescent="0.2">
      <c r="A32" s="66" t="s">
        <v>1037</v>
      </c>
      <c r="B32" s="66">
        <f t="shared" si="5"/>
        <v>3</v>
      </c>
      <c r="C32" s="66">
        <f t="shared" si="6"/>
        <v>31</v>
      </c>
      <c r="E32" s="66">
        <f t="shared" ref="E32" si="59">plan_id</f>
        <v>1952</v>
      </c>
      <c r="F32" s="66">
        <f t="shared" ca="1" si="3"/>
        <v>2014</v>
      </c>
      <c r="G32" s="66">
        <f t="shared" ref="G32" ca="1" si="60">VLOOKUP(INDIRECT(CHAR(39)&amp;$A32&amp;CHAR(39)&amp;"!r2c"&amp;$C32,0),variables,2,0)</f>
        <v>10889</v>
      </c>
      <c r="H32" s="71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1725379000</v>
      </c>
    </row>
    <row r="33" spans="1:8" x14ac:dyDescent="0.2">
      <c r="A33" s="66" t="s">
        <v>1037</v>
      </c>
      <c r="B33" s="66">
        <f t="shared" si="5"/>
        <v>3</v>
      </c>
      <c r="C33" s="66">
        <f t="shared" si="6"/>
        <v>32</v>
      </c>
      <c r="E33" s="66">
        <f t="shared" ref="E33" si="61">plan_id</f>
        <v>1952</v>
      </c>
      <c r="F33" s="66">
        <f t="shared" ca="1" si="3"/>
        <v>2014</v>
      </c>
      <c r="G33" s="66">
        <f t="shared" ref="G33" ca="1" si="62">VLOOKUP(INDIRECT(CHAR(39)&amp;$A33&amp;CHAR(39)&amp;"!r2c"&amp;$C33,0),variables,2,0)</f>
        <v>10890</v>
      </c>
      <c r="H33" s="71">
        <f t="array" aca="1" ref="H33" ca="1">IF(AND(G33&gt;=10861,G33&lt;=10863),TEXT(INDIRECT(CHAR(39)&amp;$A33&amp;CHAR(39)&amp;"!r"&amp;$B33&amp;"c"&amp;$C33,0),"dd-mmm-yyyy"),(INDIRECT(CHAR(39)&amp;$A33&amp;CHAR(39)&amp;"!r"&amp;$B33&amp;"c"&amp;$C33,0)))</f>
        <v>5402237000</v>
      </c>
    </row>
    <row r="34" spans="1:8" x14ac:dyDescent="0.2">
      <c r="A34" s="66" t="s">
        <v>1037</v>
      </c>
      <c r="B34" s="66">
        <f t="shared" si="5"/>
        <v>3</v>
      </c>
      <c r="C34" s="66">
        <f t="shared" si="6"/>
        <v>33</v>
      </c>
      <c r="E34" s="66">
        <f t="shared" ref="E34" si="63">plan_id</f>
        <v>1952</v>
      </c>
      <c r="F34" s="66">
        <f t="shared" ca="1" si="3"/>
        <v>2014</v>
      </c>
      <c r="G34" s="66">
        <f t="shared" ref="G34" ca="1" si="64">VLOOKUP(INDIRECT(CHAR(39)&amp;$A34&amp;CHAR(39)&amp;"!r2c"&amp;$C34,0),variables,2,0)</f>
        <v>10891</v>
      </c>
      <c r="H34" s="71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66" t="s">
        <v>1037</v>
      </c>
      <c r="B35" s="66">
        <f t="shared" si="5"/>
        <v>3</v>
      </c>
      <c r="C35" s="66">
        <f t="shared" si="6"/>
        <v>34</v>
      </c>
      <c r="E35" s="66">
        <f t="shared" ref="E35" si="65">plan_id</f>
        <v>1952</v>
      </c>
      <c r="F35" s="66">
        <f t="shared" ca="1" si="3"/>
        <v>2014</v>
      </c>
      <c r="G35" s="66">
        <f t="shared" ref="G35" ca="1" si="66">VLOOKUP(INDIRECT(CHAR(39)&amp;$A35&amp;CHAR(39)&amp;"!r2c"&amp;$C35,0),variables,2,0)</f>
        <v>10892</v>
      </c>
      <c r="H35" s="71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66" t="s">
        <v>1037</v>
      </c>
      <c r="B36" s="66">
        <f t="shared" si="5"/>
        <v>3</v>
      </c>
      <c r="C36" s="66">
        <f t="shared" si="6"/>
        <v>35</v>
      </c>
      <c r="E36" s="66">
        <f t="shared" ref="E36" si="67">plan_id</f>
        <v>1952</v>
      </c>
      <c r="F36" s="66">
        <f t="shared" ca="1" si="3"/>
        <v>2014</v>
      </c>
      <c r="G36" s="66">
        <f t="shared" ref="G36" ca="1" si="68">VLOOKUP(INDIRECT(CHAR(39)&amp;$A36&amp;CHAR(39)&amp;"!r2c"&amp;$C36,0),variables,2,0)</f>
        <v>10893</v>
      </c>
      <c r="H36" s="71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66" t="s">
        <v>1037</v>
      </c>
      <c r="B37" s="66">
        <f t="shared" si="5"/>
        <v>3</v>
      </c>
      <c r="C37" s="66">
        <f t="shared" si="6"/>
        <v>36</v>
      </c>
      <c r="E37" s="66">
        <f t="shared" ref="E37" si="69">plan_id</f>
        <v>1952</v>
      </c>
      <c r="F37" s="66">
        <f t="shared" ca="1" si="3"/>
        <v>2014</v>
      </c>
      <c r="G37" s="66">
        <f t="shared" ref="G37" ca="1" si="70">VLOOKUP(INDIRECT(CHAR(39)&amp;$A37&amp;CHAR(39)&amp;"!r2c"&amp;$C37,0),variables,2,0)</f>
        <v>10894</v>
      </c>
      <c r="H37" s="71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-794831000</v>
      </c>
    </row>
    <row r="38" spans="1:8" x14ac:dyDescent="0.2">
      <c r="A38" s="66" t="s">
        <v>1037</v>
      </c>
      <c r="B38" s="66">
        <f t="shared" si="5"/>
        <v>3</v>
      </c>
      <c r="C38" s="66">
        <f t="shared" si="6"/>
        <v>37</v>
      </c>
      <c r="E38" s="66">
        <f t="shared" ref="E38" si="71">plan_id</f>
        <v>1952</v>
      </c>
      <c r="F38" s="66">
        <f t="shared" ca="1" si="3"/>
        <v>2014</v>
      </c>
      <c r="G38" s="66">
        <f t="shared" ref="G38" ca="1" si="72">VLOOKUP(INDIRECT(CHAR(39)&amp;$A38&amp;CHAR(39)&amp;"!r2c"&amp;$C38,0),variables,2,0)</f>
        <v>10895</v>
      </c>
      <c r="H38" s="71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66" t="s">
        <v>1037</v>
      </c>
      <c r="B39" s="66">
        <f t="shared" si="5"/>
        <v>3</v>
      </c>
      <c r="C39" s="66">
        <f t="shared" si="6"/>
        <v>38</v>
      </c>
      <c r="E39" s="66">
        <f t="shared" ref="E39" si="73">plan_id</f>
        <v>1952</v>
      </c>
      <c r="F39" s="66">
        <f t="shared" ca="1" si="3"/>
        <v>2014</v>
      </c>
      <c r="G39" s="66">
        <f t="shared" ref="G39" ca="1" si="74">VLOOKUP(INDIRECT(CHAR(39)&amp;$A39&amp;CHAR(39)&amp;"!r2c"&amp;$C39,0),variables,2,0)</f>
        <v>10896</v>
      </c>
      <c r="H39" s="71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66" t="s">
        <v>1037</v>
      </c>
      <c r="B40" s="66">
        <f t="shared" si="5"/>
        <v>3</v>
      </c>
      <c r="C40" s="66">
        <f t="shared" si="6"/>
        <v>39</v>
      </c>
      <c r="E40" s="66">
        <f t="shared" ref="E40" si="75">plan_id</f>
        <v>1952</v>
      </c>
      <c r="F40" s="66">
        <f t="shared" ca="1" si="3"/>
        <v>2014</v>
      </c>
      <c r="G40" s="66">
        <f t="shared" ref="G40" ca="1" si="76">VLOOKUP(INDIRECT(CHAR(39)&amp;$A40&amp;CHAR(39)&amp;"!r2c"&amp;$C40,0),variables,2,0)</f>
        <v>10897</v>
      </c>
      <c r="H40" s="71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46530000</v>
      </c>
    </row>
    <row r="41" spans="1:8" x14ac:dyDescent="0.2">
      <c r="A41" s="66" t="s">
        <v>1037</v>
      </c>
      <c r="B41" s="66">
        <f t="shared" si="5"/>
        <v>3</v>
      </c>
      <c r="C41" s="66">
        <f t="shared" si="6"/>
        <v>40</v>
      </c>
      <c r="E41" s="66">
        <f t="shared" ref="E41" si="77">plan_id</f>
        <v>1952</v>
      </c>
      <c r="F41" s="66">
        <f t="shared" ca="1" si="3"/>
        <v>2014</v>
      </c>
      <c r="G41" s="66">
        <f t="shared" ref="G41" ca="1" si="78">VLOOKUP(INDIRECT(CHAR(39)&amp;$A41&amp;CHAR(39)&amp;"!r2c"&amp;$C41,0),variables,2,0)</f>
        <v>10898</v>
      </c>
      <c r="H41" s="71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66" t="s">
        <v>1037</v>
      </c>
      <c r="B42" s="66">
        <f t="shared" si="5"/>
        <v>3</v>
      </c>
      <c r="C42" s="66">
        <f t="shared" si="6"/>
        <v>41</v>
      </c>
      <c r="E42" s="66">
        <f t="shared" ref="E42" si="79">plan_id</f>
        <v>1952</v>
      </c>
      <c r="F42" s="66">
        <f t="shared" ca="1" si="3"/>
        <v>2014</v>
      </c>
      <c r="G42" s="66">
        <f t="shared" ref="G42" ca="1" si="80">VLOOKUP(INDIRECT(CHAR(39)&amp;$A42&amp;CHAR(39)&amp;"!r2c"&amp;$C42,0),variables,2,0)</f>
        <v>10899</v>
      </c>
      <c r="H42" s="71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66" t="s">
        <v>1037</v>
      </c>
      <c r="B43" s="66">
        <f t="shared" si="5"/>
        <v>3</v>
      </c>
      <c r="C43" s="66">
        <f t="shared" si="6"/>
        <v>42</v>
      </c>
      <c r="E43" s="66">
        <f t="shared" ref="E43" si="81">plan_id</f>
        <v>1952</v>
      </c>
      <c r="F43" s="66">
        <f t="shared" ca="1" si="3"/>
        <v>2014</v>
      </c>
      <c r="G43" s="66">
        <f t="shared" ref="G43" ca="1" si="82">VLOOKUP(INDIRECT(CHAR(39)&amp;$A43&amp;CHAR(39)&amp;"!r2c"&amp;$C43,0),variables,2,0)</f>
        <v>11006</v>
      </c>
      <c r="H43" s="71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66" t="s">
        <v>1037</v>
      </c>
      <c r="B44" s="66">
        <f t="shared" si="5"/>
        <v>3</v>
      </c>
      <c r="C44" s="66">
        <f t="shared" si="6"/>
        <v>43</v>
      </c>
      <c r="E44" s="66">
        <f t="shared" ref="E44" si="83">plan_id</f>
        <v>1952</v>
      </c>
      <c r="F44" s="66">
        <f t="shared" ca="1" si="3"/>
        <v>2014</v>
      </c>
      <c r="G44" s="66">
        <f t="shared" ref="G44" ca="1" si="84">VLOOKUP(INDIRECT(CHAR(39)&amp;$A44&amp;CHAR(39)&amp;"!r2c"&amp;$C44,0),variables,2,0)</f>
        <v>10900</v>
      </c>
      <c r="H44" s="71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66" t="s">
        <v>1037</v>
      </c>
      <c r="B45" s="66">
        <f t="shared" si="5"/>
        <v>3</v>
      </c>
      <c r="C45" s="66">
        <f t="shared" si="6"/>
        <v>44</v>
      </c>
      <c r="E45" s="66">
        <f t="shared" ref="E45" si="85">plan_id</f>
        <v>1952</v>
      </c>
      <c r="F45" s="66">
        <f t="shared" ca="1" si="3"/>
        <v>2014</v>
      </c>
      <c r="G45" s="66">
        <f t="shared" ref="G45" ca="1" si="86">VLOOKUP(INDIRECT(CHAR(39)&amp;$A45&amp;CHAR(39)&amp;"!r2c"&amp;$C45,0),variables,2,0)</f>
        <v>10901</v>
      </c>
      <c r="H45" s="7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0.06</v>
      </c>
    </row>
    <row r="46" spans="1:8" x14ac:dyDescent="0.2">
      <c r="A46" s="66" t="s">
        <v>1037</v>
      </c>
      <c r="B46" s="66">
        <f t="shared" si="5"/>
        <v>3</v>
      </c>
      <c r="C46" s="66">
        <f t="shared" si="6"/>
        <v>45</v>
      </c>
      <c r="E46" s="66">
        <f t="shared" ref="E46" si="87">plan_id</f>
        <v>1952</v>
      </c>
      <c r="F46" s="66">
        <f t="shared" ca="1" si="3"/>
        <v>2014</v>
      </c>
      <c r="G46" s="66">
        <f t="shared" ref="G46" ca="1" si="88">VLOOKUP(INDIRECT(CHAR(39)&amp;$A46&amp;CHAR(39)&amp;"!r2c"&amp;$C46,0),variables,2,0)</f>
        <v>10902</v>
      </c>
      <c r="H46" s="7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7.0000000000000007E-2</v>
      </c>
    </row>
    <row r="47" spans="1:8" x14ac:dyDescent="0.2">
      <c r="A47" s="66" t="s">
        <v>1037</v>
      </c>
      <c r="B47" s="66">
        <f t="shared" si="5"/>
        <v>3</v>
      </c>
      <c r="C47" s="66">
        <f t="shared" si="6"/>
        <v>46</v>
      </c>
      <c r="E47" s="66">
        <f t="shared" ref="E47" si="89">plan_id</f>
        <v>1952</v>
      </c>
      <c r="F47" s="66">
        <f t="shared" ca="1" si="3"/>
        <v>2014</v>
      </c>
      <c r="G47" s="66">
        <f t="shared" ref="G47" ca="1" si="90">VLOOKUP(INDIRECT(CHAR(39)&amp;$A47&amp;CHAR(39)&amp;"!r2c"&amp;$C47,0),variables,2,0)</f>
        <v>10903</v>
      </c>
      <c r="H47" s="7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0.08</v>
      </c>
    </row>
    <row r="48" spans="1:8" x14ac:dyDescent="0.2">
      <c r="A48" s="66" t="s">
        <v>1037</v>
      </c>
      <c r="B48" s="66">
        <f t="shared" si="5"/>
        <v>3</v>
      </c>
      <c r="C48" s="66">
        <f t="shared" si="6"/>
        <v>47</v>
      </c>
      <c r="E48" s="66">
        <f t="shared" ref="E48" si="91">plan_id</f>
        <v>1952</v>
      </c>
      <c r="F48" s="66">
        <f t="shared" ca="1" si="3"/>
        <v>2014</v>
      </c>
      <c r="G48" s="66">
        <f t="shared" ref="G48" ca="1" si="92">VLOOKUP(INDIRECT(CHAR(39)&amp;$A48&amp;CHAR(39)&amp;"!r2c"&amp;$C48,0),variables,2,0)</f>
        <v>10904</v>
      </c>
      <c r="H48" s="71">
        <f t="array" aca="1" ref="H48" ca="1">IF(AND(G48&gt;=10861,G48&lt;=10863),TEXT(INDIRECT(CHAR(39)&amp;$A48&amp;CHAR(39)&amp;"!r"&amp;$B48&amp;"c"&amp;$C48,0),"dd-mmm-yyyy"),(INDIRECT(CHAR(39)&amp;$A48&amp;CHAR(39)&amp;"!r"&amp;$B48&amp;"c"&amp;$C48,0)))</f>
        <v>30998966000</v>
      </c>
    </row>
    <row r="49" spans="1:8" x14ac:dyDescent="0.2">
      <c r="A49" s="66" t="s">
        <v>1037</v>
      </c>
      <c r="B49" s="66">
        <f t="shared" si="5"/>
        <v>3</v>
      </c>
      <c r="C49" s="66">
        <f t="shared" si="6"/>
        <v>48</v>
      </c>
      <c r="E49" s="66">
        <f t="shared" ref="E49" si="93">plan_id</f>
        <v>1952</v>
      </c>
      <c r="F49" s="66">
        <f t="shared" ca="1" si="3"/>
        <v>2014</v>
      </c>
      <c r="G49" s="66">
        <f t="shared" ref="G49" ca="1" si="94">VLOOKUP(INDIRECT(CHAR(39)&amp;$A49&amp;CHAR(39)&amp;"!r2c"&amp;$C49,0),variables,2,0)</f>
        <v>10905</v>
      </c>
      <c r="H49" s="71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20190567000</v>
      </c>
    </row>
    <row r="50" spans="1:8" x14ac:dyDescent="0.2">
      <c r="A50" s="66" t="s">
        <v>1037</v>
      </c>
      <c r="B50" s="66">
        <f t="shared" si="5"/>
        <v>3</v>
      </c>
      <c r="C50" s="66">
        <f t="shared" si="6"/>
        <v>49</v>
      </c>
      <c r="E50" s="66">
        <f t="shared" ref="E50" si="95">plan_id</f>
        <v>1952</v>
      </c>
      <c r="F50" s="66">
        <f t="shared" ca="1" si="3"/>
        <v>2014</v>
      </c>
      <c r="G50" s="66">
        <f t="shared" ref="G50" ca="1" si="96">VLOOKUP(INDIRECT(CHAR(39)&amp;$A50&amp;CHAR(39)&amp;"!r2c"&amp;$C50,0),variables,2,0)</f>
        <v>10906</v>
      </c>
      <c r="H50" s="71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11234800000</v>
      </c>
    </row>
    <row r="51" spans="1:8" x14ac:dyDescent="0.2">
      <c r="A51" s="66" t="s">
        <v>1037</v>
      </c>
      <c r="B51" s="66">
        <f t="shared" si="5"/>
        <v>3</v>
      </c>
      <c r="C51" s="66">
        <f t="shared" si="6"/>
        <v>50</v>
      </c>
      <c r="E51" s="66">
        <f t="shared" ref="E51" si="97">plan_id</f>
        <v>1952</v>
      </c>
      <c r="F51" s="66">
        <f t="shared" ca="1" si="3"/>
        <v>2014</v>
      </c>
      <c r="G51" s="66">
        <f t="shared" ref="G51" ca="1" si="98">VLOOKUP(INDIRECT(CHAR(39)&amp;$A51&amp;CHAR(39)&amp;"!r2c"&amp;$C51,0),variables,2,0)</f>
        <v>10907</v>
      </c>
      <c r="H51" s="71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2">
      <c r="A52" s="66" t="s">
        <v>1037</v>
      </c>
      <c r="B52" s="66">
        <f t="shared" si="5"/>
        <v>3</v>
      </c>
      <c r="C52" s="66">
        <f t="shared" si="6"/>
        <v>51</v>
      </c>
      <c r="E52" s="66">
        <f t="shared" ref="E52" si="99">plan_id</f>
        <v>1952</v>
      </c>
      <c r="F52" s="66">
        <f t="shared" ca="1" si="3"/>
        <v>2014</v>
      </c>
      <c r="G52" s="66">
        <f t="shared" ref="G52" ca="1" si="100">VLOOKUP(INDIRECT(CHAR(39)&amp;$A52&amp;CHAR(39)&amp;"!r2c"&amp;$C52,0),variables,2,0)</f>
        <v>10860</v>
      </c>
      <c r="H52" s="71">
        <f t="array" aca="1" ref="H52" ca="1">IF(AND(G52&gt;=10861,G52&lt;=10863),TEXT(INDIRECT(CHAR(39)&amp;$A52&amp;CHAR(39)&amp;"!r"&amp;$B52&amp;"c"&amp;$C52,0),"dd-mmm-yyyy"),(INDIRECT(CHAR(39)&amp;$A52&amp;CHAR(39)&amp;"!r"&amp;$B52&amp;"c"&amp;$C52,0)))</f>
        <v>79079431000</v>
      </c>
    </row>
    <row r="53" spans="1:8" x14ac:dyDescent="0.2">
      <c r="A53" s="66" t="s">
        <v>1037</v>
      </c>
      <c r="B53" s="66">
        <f t="shared" si="5"/>
        <v>3</v>
      </c>
      <c r="C53" s="66">
        <f t="shared" si="6"/>
        <v>52</v>
      </c>
      <c r="E53" s="66">
        <f t="shared" ref="E53" si="101">plan_id</f>
        <v>1952</v>
      </c>
      <c r="F53" s="66">
        <f t="shared" ca="1" si="3"/>
        <v>2014</v>
      </c>
      <c r="G53" s="66">
        <f t="shared" ref="G53" ca="1" si="102">VLOOKUP(INDIRECT(CHAR(39)&amp;$A53&amp;CHAR(39)&amp;"!r2c"&amp;$C53,0),variables,2,0)</f>
        <v>10909</v>
      </c>
      <c r="H53" s="71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1725379000</v>
      </c>
    </row>
    <row r="54" spans="1:8" x14ac:dyDescent="0.2">
      <c r="A54" s="66" t="s">
        <v>1037</v>
      </c>
      <c r="B54" s="66">
        <f t="shared" si="5"/>
        <v>3</v>
      </c>
      <c r="C54" s="66">
        <f t="shared" si="6"/>
        <v>53</v>
      </c>
      <c r="E54" s="66">
        <f t="shared" ref="E54" si="103">plan_id</f>
        <v>1952</v>
      </c>
      <c r="F54" s="66">
        <f t="shared" ca="1" si="3"/>
        <v>2014</v>
      </c>
      <c r="G54" s="66">
        <f t="shared" ref="G54" ca="1" si="104">VLOOKUP(INDIRECT(CHAR(39)&amp;$A54&amp;CHAR(39)&amp;"!r2c"&amp;$C54,0),variables,2,0)</f>
        <v>10910</v>
      </c>
      <c r="H54" s="71">
        <f t="array" aca="1" ref="H54" ca="1">IF(AND(G54&gt;=10861,G54&lt;=10863),TEXT(INDIRECT(CHAR(39)&amp;$A54&amp;CHAR(39)&amp;"!r"&amp;$B54&amp;"c"&amp;$C54,0),"dd-mmm-yyyy"),(INDIRECT(CHAR(39)&amp;$A54&amp;CHAR(39)&amp;"!r"&amp;$B54&amp;"c"&amp;$C54,0)))</f>
        <v>5402237000</v>
      </c>
    </row>
    <row r="55" spans="1:8" x14ac:dyDescent="0.2">
      <c r="A55" s="66" t="s">
        <v>1037</v>
      </c>
      <c r="B55" s="66">
        <f t="shared" si="5"/>
        <v>3</v>
      </c>
      <c r="C55" s="66">
        <f t="shared" si="6"/>
        <v>54</v>
      </c>
      <c r="E55" s="66">
        <f t="shared" ref="E55" si="105">plan_id</f>
        <v>1952</v>
      </c>
      <c r="F55" s="66">
        <f t="shared" ca="1" si="3"/>
        <v>2014</v>
      </c>
      <c r="G55" s="66">
        <f t="shared" ref="G55" ca="1" si="106">VLOOKUP(INDIRECT(CHAR(39)&amp;$A55&amp;CHAR(39)&amp;"!r2c"&amp;$C55,0),variables,2,0)</f>
        <v>10911</v>
      </c>
      <c r="H55" s="71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66" t="s">
        <v>1037</v>
      </c>
      <c r="B56" s="66">
        <f t="shared" si="5"/>
        <v>3</v>
      </c>
      <c r="C56" s="66">
        <f t="shared" si="6"/>
        <v>55</v>
      </c>
      <c r="E56" s="66">
        <f t="shared" ref="E56" si="107">plan_id</f>
        <v>1952</v>
      </c>
      <c r="F56" s="66">
        <f t="shared" ca="1" si="3"/>
        <v>2014</v>
      </c>
      <c r="G56" s="66">
        <f t="shared" ref="G56" ca="1" si="108">VLOOKUP(INDIRECT(CHAR(39)&amp;$A56&amp;CHAR(39)&amp;"!r2c"&amp;$C56,0),variables,2,0)</f>
        <v>10912</v>
      </c>
      <c r="H56" s="71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2">
      <c r="A57" s="66" t="s">
        <v>1037</v>
      </c>
      <c r="B57" s="66">
        <f t="shared" si="5"/>
        <v>3</v>
      </c>
      <c r="C57" s="66">
        <f t="shared" si="6"/>
        <v>56</v>
      </c>
      <c r="E57" s="66">
        <f t="shared" ref="E57" si="109">plan_id</f>
        <v>1952</v>
      </c>
      <c r="F57" s="66">
        <f t="shared" ca="1" si="3"/>
        <v>2014</v>
      </c>
      <c r="G57" s="66">
        <f t="shared" ref="G57" ca="1" si="110">VLOOKUP(INDIRECT(CHAR(39)&amp;$A57&amp;CHAR(39)&amp;"!r2c"&amp;$C57,0),variables,2,0)</f>
        <v>10913</v>
      </c>
      <c r="H57" s="71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66" t="s">
        <v>1037</v>
      </c>
      <c r="B58" s="66">
        <f t="shared" si="5"/>
        <v>3</v>
      </c>
      <c r="C58" s="66">
        <f t="shared" si="6"/>
        <v>57</v>
      </c>
      <c r="E58" s="66">
        <f t="shared" ref="E58" si="111">plan_id</f>
        <v>1952</v>
      </c>
      <c r="F58" s="66">
        <f t="shared" ca="1" si="3"/>
        <v>2014</v>
      </c>
      <c r="G58" s="66">
        <f t="shared" ref="G58" ca="1" si="112">VLOOKUP(INDIRECT(CHAR(39)&amp;$A58&amp;CHAR(39)&amp;"!r2c"&amp;$C58,0),variables,2,0)</f>
        <v>10914</v>
      </c>
      <c r="H58" s="71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1736259000</v>
      </c>
    </row>
    <row r="59" spans="1:8" x14ac:dyDescent="0.2">
      <c r="A59" s="66" t="s">
        <v>1037</v>
      </c>
      <c r="B59" s="66">
        <f t="shared" si="5"/>
        <v>3</v>
      </c>
      <c r="C59" s="66">
        <f t="shared" si="6"/>
        <v>58</v>
      </c>
      <c r="E59" s="66">
        <f t="shared" ref="E59" si="113">plan_id</f>
        <v>1952</v>
      </c>
      <c r="F59" s="66">
        <f t="shared" ca="1" si="3"/>
        <v>2014</v>
      </c>
      <c r="G59" s="66">
        <f t="shared" ref="G59" ca="1" si="114">VLOOKUP(INDIRECT(CHAR(39)&amp;$A59&amp;CHAR(39)&amp;"!r2c"&amp;$C59,0),variables,2,0)</f>
        <v>10915</v>
      </c>
      <c r="H59" s="71">
        <f t="array" aca="1" ref="H59" ca="1">IF(AND(G59&gt;=10861,G59&lt;=10863),TEXT(INDIRECT(CHAR(39)&amp;$A59&amp;CHAR(39)&amp;"!r"&amp;$B59&amp;"c"&amp;$C59,0),"dd-mmm-yyyy"),(INDIRECT(CHAR(39)&amp;$A59&amp;CHAR(39)&amp;"!r"&amp;$B59&amp;"c"&amp;$C59,0)))</f>
        <v>794831000</v>
      </c>
    </row>
    <row r="60" spans="1:8" x14ac:dyDescent="0.2">
      <c r="A60" s="66" t="s">
        <v>1037</v>
      </c>
      <c r="B60" s="66">
        <f t="shared" si="5"/>
        <v>3</v>
      </c>
      <c r="C60" s="66">
        <f t="shared" si="6"/>
        <v>59</v>
      </c>
      <c r="E60" s="66">
        <f t="shared" ref="E60" si="115">plan_id</f>
        <v>1952</v>
      </c>
      <c r="F60" s="66">
        <f t="shared" ca="1" si="3"/>
        <v>2014</v>
      </c>
      <c r="G60" s="66">
        <f t="shared" ref="G60" ca="1" si="116">VLOOKUP(INDIRECT(CHAR(39)&amp;$A60&amp;CHAR(39)&amp;"!r2c"&amp;$C60,0),variables,2,0)</f>
        <v>10916</v>
      </c>
      <c r="H60" s="71">
        <f t="array" aca="1" ref="H60" ca="1">IF(AND(G60&gt;=10861,G60&lt;=10863),TEXT(INDIRECT(CHAR(39)&amp;$A60&amp;CHAR(39)&amp;"!r"&amp;$B60&amp;"c"&amp;$C60,0),"dd-mmm-yyyy"),(INDIRECT(CHAR(39)&amp;$A60&amp;CHAR(39)&amp;"!r"&amp;$B60&amp;"c"&amp;$C60,0)))</f>
        <v>8558724000</v>
      </c>
    </row>
    <row r="61" spans="1:8" x14ac:dyDescent="0.2">
      <c r="A61" s="66" t="s">
        <v>1037</v>
      </c>
      <c r="B61" s="66">
        <f t="shared" si="5"/>
        <v>3</v>
      </c>
      <c r="C61" s="66">
        <f t="shared" si="6"/>
        <v>60</v>
      </c>
      <c r="E61" s="66">
        <f t="shared" ref="E61" si="117">plan_id</f>
        <v>1952</v>
      </c>
      <c r="F61" s="66">
        <f t="shared" ca="1" si="3"/>
        <v>2014</v>
      </c>
      <c r="G61" s="66">
        <f t="shared" ref="G61" ca="1" si="118">VLOOKUP(INDIRECT(CHAR(39)&amp;$A61&amp;CHAR(39)&amp;"!r2c"&amp;$C61,0),variables,2,0)</f>
        <v>10917</v>
      </c>
      <c r="H61" s="71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-3711208000</v>
      </c>
    </row>
    <row r="62" spans="1:8" x14ac:dyDescent="0.2">
      <c r="A62" s="66" t="s">
        <v>1037</v>
      </c>
      <c r="B62" s="66">
        <f t="shared" si="5"/>
        <v>3</v>
      </c>
      <c r="C62" s="66">
        <f t="shared" si="6"/>
        <v>61</v>
      </c>
      <c r="E62" s="66">
        <f t="shared" ref="E62" si="119">plan_id</f>
        <v>1952</v>
      </c>
      <c r="F62" s="66">
        <f t="shared" ca="1" si="3"/>
        <v>2014</v>
      </c>
      <c r="G62" s="66">
        <f t="shared" ref="G62" ca="1" si="120">VLOOKUP(INDIRECT(CHAR(39)&amp;$A62&amp;CHAR(39)&amp;"!r2c"&amp;$C62,0),variables,2,0)</f>
        <v>10918</v>
      </c>
      <c r="H62" s="71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-98015000</v>
      </c>
    </row>
    <row r="63" spans="1:8" x14ac:dyDescent="0.2">
      <c r="A63" s="66" t="s">
        <v>1037</v>
      </c>
      <c r="B63" s="66">
        <f t="shared" si="5"/>
        <v>3</v>
      </c>
      <c r="C63" s="66">
        <f t="shared" si="6"/>
        <v>62</v>
      </c>
      <c r="E63" s="66">
        <f t="shared" ref="E63" si="121">plan_id</f>
        <v>1952</v>
      </c>
      <c r="F63" s="66">
        <f t="shared" ca="1" si="3"/>
        <v>2014</v>
      </c>
      <c r="G63" s="66">
        <f t="shared" ref="G63" ca="1" si="122">VLOOKUP(INDIRECT(CHAR(39)&amp;$A63&amp;CHAR(39)&amp;"!r2c"&amp;$C63,0),variables,2,0)</f>
        <v>10919</v>
      </c>
      <c r="H63" s="71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-3809223000</v>
      </c>
    </row>
    <row r="64" spans="1:8" x14ac:dyDescent="0.2">
      <c r="A64" s="66" t="s">
        <v>1037</v>
      </c>
      <c r="B64" s="66">
        <f t="shared" si="5"/>
        <v>3</v>
      </c>
      <c r="C64" s="66">
        <f t="shared" si="6"/>
        <v>63</v>
      </c>
      <c r="E64" s="66">
        <f t="shared" ref="E64" si="123">plan_id</f>
        <v>1952</v>
      </c>
      <c r="F64" s="66">
        <f t="shared" ca="1" si="3"/>
        <v>2014</v>
      </c>
      <c r="G64" s="66">
        <f t="shared" ref="G64" ca="1" si="124">VLOOKUP(INDIRECT(CHAR(39)&amp;$A64&amp;CHAR(39)&amp;"!r2c"&amp;$C64,0),variables,2,0)</f>
        <v>10920</v>
      </c>
      <c r="H64" s="71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-46530000</v>
      </c>
    </row>
    <row r="65" spans="1:8" x14ac:dyDescent="0.2">
      <c r="A65" s="66" t="s">
        <v>1037</v>
      </c>
      <c r="B65" s="66">
        <f t="shared" si="5"/>
        <v>3</v>
      </c>
      <c r="C65" s="66">
        <f t="shared" si="6"/>
        <v>64</v>
      </c>
      <c r="E65" s="66">
        <f t="shared" ref="E65" si="125">plan_id</f>
        <v>1952</v>
      </c>
      <c r="F65" s="66">
        <f t="shared" ca="1" si="3"/>
        <v>2014</v>
      </c>
      <c r="G65" s="66">
        <f t="shared" ref="G65" ca="1" si="126">VLOOKUP(INDIRECT(CHAR(39)&amp;$A65&amp;CHAR(39)&amp;"!r2c"&amp;$C65,0),variables,2,0)</f>
        <v>10921</v>
      </c>
      <c r="H65" s="71">
        <f t="array" aca="1" ref="H65" ca="1">IF(AND(G65&gt;=10861,G65&lt;=10863),TEXT(INDIRECT(CHAR(39)&amp;$A65&amp;CHAR(39)&amp;"!r"&amp;$B65&amp;"c"&amp;$C65,0),"dd-mmm-yyyy"),(INDIRECT(CHAR(39)&amp;$A65&amp;CHAR(39)&amp;"!r"&amp;$B65&amp;"c"&amp;$C65,0)))</f>
        <v>460000</v>
      </c>
    </row>
    <row r="66" spans="1:8" x14ac:dyDescent="0.2">
      <c r="A66" s="66" t="s">
        <v>1037</v>
      </c>
      <c r="B66" s="66">
        <f t="shared" si="5"/>
        <v>3</v>
      </c>
      <c r="C66" s="66">
        <f t="shared" si="6"/>
        <v>65</v>
      </c>
      <c r="E66" s="66">
        <f t="shared" ref="E66" si="127">plan_id</f>
        <v>1952</v>
      </c>
      <c r="F66" s="66">
        <f t="shared" ca="1" si="3"/>
        <v>2014</v>
      </c>
      <c r="G66" s="66">
        <f t="shared" ref="G66" ca="1" si="128">VLOOKUP(INDIRECT(CHAR(39)&amp;$A66&amp;CHAR(39)&amp;"!r2c"&amp;$C66,0),variables,2,0)</f>
        <v>10922</v>
      </c>
      <c r="H66" s="71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66" t="s">
        <v>1037</v>
      </c>
      <c r="B67" s="66">
        <f t="shared" si="5"/>
        <v>3</v>
      </c>
      <c r="C67" s="66">
        <f t="shared" si="6"/>
        <v>66</v>
      </c>
      <c r="E67" s="66">
        <f t="shared" ref="E67" si="129">plan_id</f>
        <v>1952</v>
      </c>
      <c r="F67" s="66">
        <f t="shared" ca="1" si="3"/>
        <v>2014</v>
      </c>
      <c r="G67" s="66">
        <f t="shared" ref="G67" ca="1" si="130">VLOOKUP(INDIRECT(CHAR(39)&amp;$A67&amp;CHAR(39)&amp;"!r2c"&amp;$C67,0),variables,2,0)</f>
        <v>10860</v>
      </c>
      <c r="H67" s="71">
        <f t="array" aca="1" ref="H67" ca="1">IF(AND(G67&gt;=10861,G67&lt;=10863),TEXT(INDIRECT(CHAR(39)&amp;$A67&amp;CHAR(39)&amp;"!r"&amp;$B67&amp;"c"&amp;$C67,0),"dd-mmm-yyyy"),(INDIRECT(CHAR(39)&amp;$A67&amp;CHAR(39)&amp;"!r"&amp;$B67&amp;"c"&amp;$C67,0)))</f>
        <v>54972736000</v>
      </c>
    </row>
    <row r="68" spans="1:8" x14ac:dyDescent="0.2">
      <c r="A68" s="66" t="s">
        <v>1037</v>
      </c>
      <c r="B68" s="66">
        <f t="shared" si="5"/>
        <v>3</v>
      </c>
      <c r="C68" s="66">
        <f t="shared" si="6"/>
        <v>67</v>
      </c>
      <c r="E68" s="66">
        <f t="shared" ref="E68" si="131">plan_id</f>
        <v>1952</v>
      </c>
      <c r="F68" s="66">
        <f t="shared" ca="1" si="3"/>
        <v>2014</v>
      </c>
      <c r="G68" s="66">
        <f t="shared" ref="G68" ca="1" si="132">VLOOKUP(INDIRECT(CHAR(39)&amp;$A68&amp;CHAR(39)&amp;"!r2c"&amp;$C68,0),variables,2,0)</f>
        <v>10923</v>
      </c>
      <c r="H68" s="71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20190567000</v>
      </c>
    </row>
    <row r="69" spans="1:8" x14ac:dyDescent="0.2">
      <c r="A69" s="66" t="s">
        <v>1037</v>
      </c>
      <c r="B69" s="66">
        <v>4</v>
      </c>
      <c r="C69" s="66">
        <v>3</v>
      </c>
      <c r="E69" s="66">
        <f t="shared" ref="E69" si="133">plan_id</f>
        <v>1952</v>
      </c>
      <c r="F69" s="66">
        <f t="shared" ca="1" si="3"/>
        <v>2015</v>
      </c>
      <c r="G69" s="66">
        <f t="shared" ref="G69" ca="1" si="134">VLOOKUP(INDIRECT(CHAR(39)&amp;$A69&amp;CHAR(39)&amp;"!r2c"&amp;$C69,0),variables,2,0)</f>
        <v>10861</v>
      </c>
      <c r="H69" s="71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2">
      <c r="A70" s="66" t="s">
        <v>1037</v>
      </c>
      <c r="B70" s="66">
        <f t="shared" ref="B70:B133" si="135">B69</f>
        <v>4</v>
      </c>
      <c r="C70" s="66">
        <f t="shared" ref="C70:C133" si="136">C69+1</f>
        <v>4</v>
      </c>
      <c r="E70" s="66">
        <f t="shared" ref="E70" si="137">plan_id</f>
        <v>1952</v>
      </c>
      <c r="F70" s="66">
        <f t="shared" ref="F70:F133" ca="1" si="138">INDIRECT(CHAR(39)&amp;$A70&amp;CHAR(39)&amp;"!r"&amp;$B70&amp;"c2",0)</f>
        <v>2015</v>
      </c>
      <c r="G70" s="66">
        <f t="shared" ref="G70" ca="1" si="139">VLOOKUP(INDIRECT(CHAR(39)&amp;$A70&amp;CHAR(39)&amp;"!r2c"&amp;$C70,0),variables,2,0)</f>
        <v>10862</v>
      </c>
      <c r="H70" s="71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66" t="s">
        <v>1037</v>
      </c>
      <c r="B71" s="66">
        <f t="shared" si="135"/>
        <v>4</v>
      </c>
      <c r="C71" s="66">
        <f t="shared" si="136"/>
        <v>5</v>
      </c>
      <c r="E71" s="66">
        <f t="shared" ref="E71" si="140">plan_id</f>
        <v>1952</v>
      </c>
      <c r="F71" s="66">
        <f t="shared" ca="1" si="138"/>
        <v>2015</v>
      </c>
      <c r="G71" s="66">
        <f t="shared" ref="G71" ca="1" si="141">VLOOKUP(INDIRECT(CHAR(39)&amp;$A71&amp;CHAR(39)&amp;"!r2c"&amp;$C71,0),variables,2,0)</f>
        <v>10863</v>
      </c>
      <c r="H71" s="71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66" t="s">
        <v>1037</v>
      </c>
      <c r="B72" s="66">
        <f t="shared" si="135"/>
        <v>4</v>
      </c>
      <c r="C72" s="66">
        <f t="shared" si="136"/>
        <v>6</v>
      </c>
      <c r="E72" s="66">
        <f t="shared" ref="E72" si="142">plan_id</f>
        <v>1952</v>
      </c>
      <c r="F72" s="66">
        <f t="shared" ca="1" si="138"/>
        <v>2015</v>
      </c>
      <c r="G72" s="66">
        <f t="shared" ref="G72" ca="1" si="143">VLOOKUP(INDIRECT(CHAR(39)&amp;$A72&amp;CHAR(39)&amp;"!r2c"&amp;$C72,0),variables,2,0)</f>
        <v>10864</v>
      </c>
      <c r="H72" s="71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194833</v>
      </c>
    </row>
    <row r="73" spans="1:8" x14ac:dyDescent="0.2">
      <c r="A73" s="66" t="s">
        <v>1037</v>
      </c>
      <c r="B73" s="66">
        <f t="shared" si="135"/>
        <v>4</v>
      </c>
      <c r="C73" s="66">
        <f t="shared" si="136"/>
        <v>7</v>
      </c>
      <c r="E73" s="66">
        <f t="shared" ref="E73" si="144">plan_id</f>
        <v>1952</v>
      </c>
      <c r="F73" s="66">
        <f t="shared" ca="1" si="138"/>
        <v>2015</v>
      </c>
      <c r="G73" s="66">
        <f t="shared" ref="G73" ca="1" si="145">VLOOKUP(INDIRECT(CHAR(39)&amp;$A73&amp;CHAR(39)&amp;"!r2c"&amp;$C73,0),variables,2,0)</f>
        <v>10865</v>
      </c>
      <c r="H73" s="71">
        <f t="array" aca="1" ref="H73" ca="1">IF(AND(G73&gt;=10861,G73&lt;=10863),TEXT(INDIRECT(CHAR(39)&amp;$A73&amp;CHAR(39)&amp;"!r"&amp;$B73&amp;"c"&amp;$C73,0),"dd-mmm-yyyy"),(INDIRECT(CHAR(39)&amp;$A73&amp;CHAR(39)&amp;"!r"&amp;$B73&amp;"c"&amp;$C73,0)))</f>
        <v>45793</v>
      </c>
    </row>
    <row r="74" spans="1:8" x14ac:dyDescent="0.2">
      <c r="A74" s="66" t="s">
        <v>1037</v>
      </c>
      <c r="B74" s="66">
        <f t="shared" si="135"/>
        <v>4</v>
      </c>
      <c r="C74" s="66">
        <f t="shared" si="136"/>
        <v>8</v>
      </c>
      <c r="E74" s="66">
        <f t="shared" ref="E74" si="146">plan_id</f>
        <v>1952</v>
      </c>
      <c r="F74" s="66">
        <f t="shared" ca="1" si="138"/>
        <v>2015</v>
      </c>
      <c r="G74" s="66">
        <f t="shared" ref="G74" ca="1" si="147">VLOOKUP(INDIRECT(CHAR(39)&amp;$A74&amp;CHAR(39)&amp;"!r2c"&amp;$C74,0),variables,2,0)</f>
        <v>10866</v>
      </c>
      <c r="H74" s="71">
        <f t="array" aca="1" ref="H74" ca="1">IF(AND(G74&gt;=10861,G74&lt;=10863),TEXT(INDIRECT(CHAR(39)&amp;$A74&amp;CHAR(39)&amp;"!r"&amp;$B74&amp;"c"&amp;$C74,0),"dd-mmm-yyyy"),(INDIRECT(CHAR(39)&amp;$A74&amp;CHAR(39)&amp;"!r"&amp;$B74&amp;"c"&amp;$C74,0)))</f>
        <v>86539</v>
      </c>
    </row>
    <row r="75" spans="1:8" x14ac:dyDescent="0.2">
      <c r="A75" s="66" t="s">
        <v>1037</v>
      </c>
      <c r="B75" s="66">
        <f t="shared" si="135"/>
        <v>4</v>
      </c>
      <c r="C75" s="66">
        <f t="shared" si="136"/>
        <v>9</v>
      </c>
      <c r="E75" s="66">
        <f t="shared" ref="E75" si="148">plan_id</f>
        <v>1952</v>
      </c>
      <c r="F75" s="66">
        <f t="shared" ca="1" si="138"/>
        <v>2015</v>
      </c>
      <c r="G75" s="66">
        <f t="shared" ref="G75" ca="1" si="149">VLOOKUP(INDIRECT(CHAR(39)&amp;$A75&amp;CHAR(39)&amp;"!r2c"&amp;$C75,0),variables,2,0)</f>
        <v>10867</v>
      </c>
      <c r="H75" s="71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373179</v>
      </c>
    </row>
    <row r="76" spans="1:8" x14ac:dyDescent="0.2">
      <c r="A76" s="66" t="s">
        <v>1037</v>
      </c>
      <c r="B76" s="66">
        <f t="shared" si="135"/>
        <v>4</v>
      </c>
      <c r="C76" s="66">
        <f t="shared" si="136"/>
        <v>10</v>
      </c>
      <c r="E76" s="66">
        <f t="shared" ref="E76" si="150">plan_id</f>
        <v>1952</v>
      </c>
      <c r="F76" s="66">
        <f t="shared" ca="1" si="138"/>
        <v>2015</v>
      </c>
      <c r="G76" s="66">
        <f t="shared" ref="G76" ca="1" si="151">VLOOKUP(INDIRECT(CHAR(39)&amp;$A76&amp;CHAR(39)&amp;"!r2c"&amp;$C76,0),variables,2,0)</f>
        <v>10868</v>
      </c>
      <c r="H76" s="71">
        <f t="array" aca="1" ref="H76" ca="1">IF(AND(G76&gt;=10861,G76&lt;=10863),TEXT(INDIRECT(CHAR(39)&amp;$A76&amp;CHAR(39)&amp;"!r"&amp;$B76&amp;"c"&amp;$C76,0),"dd-mmm-yyyy"),(INDIRECT(CHAR(39)&amp;$A76&amp;CHAR(39)&amp;"!r"&amp;$B76&amp;"c"&amp;$C76,0)))</f>
        <v>700344</v>
      </c>
    </row>
    <row r="77" spans="1:8" x14ac:dyDescent="0.2">
      <c r="A77" s="66" t="s">
        <v>1037</v>
      </c>
      <c r="B77" s="66">
        <f t="shared" si="135"/>
        <v>4</v>
      </c>
      <c r="C77" s="66">
        <f t="shared" si="136"/>
        <v>11</v>
      </c>
      <c r="E77" s="66">
        <f t="shared" ref="E77" si="152">plan_id</f>
        <v>1952</v>
      </c>
      <c r="F77" s="66">
        <f t="shared" ca="1" si="138"/>
        <v>2015</v>
      </c>
      <c r="G77" s="66">
        <f t="shared" ref="G77" ca="1" si="153">VLOOKUP(INDIRECT(CHAR(39)&amp;$A77&amp;CHAR(39)&amp;"!r2c"&amp;$C77,0),variables,2,0)</f>
        <v>10869</v>
      </c>
      <c r="H77" s="7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7.0000000000000007E-2</v>
      </c>
    </row>
    <row r="78" spans="1:8" x14ac:dyDescent="0.2">
      <c r="A78" s="66" t="s">
        <v>1037</v>
      </c>
      <c r="B78" s="66">
        <f t="shared" si="135"/>
        <v>4</v>
      </c>
      <c r="C78" s="66">
        <f t="shared" si="136"/>
        <v>12</v>
      </c>
      <c r="E78" s="66">
        <f t="shared" ref="E78" si="154">plan_id</f>
        <v>1952</v>
      </c>
      <c r="F78" s="66">
        <f t="shared" ca="1" si="138"/>
        <v>2015</v>
      </c>
      <c r="G78" s="66">
        <f t="shared" ref="G78" ca="1" si="155">VLOOKUP(INDIRECT(CHAR(39)&amp;$A78&amp;CHAR(39)&amp;"!r2c"&amp;$C78,0),variables,2,0)</f>
        <v>10870</v>
      </c>
      <c r="H78" s="7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66" t="s">
        <v>1037</v>
      </c>
      <c r="B79" s="66">
        <f t="shared" si="135"/>
        <v>4</v>
      </c>
      <c r="C79" s="66">
        <f t="shared" si="136"/>
        <v>13</v>
      </c>
      <c r="E79" s="66">
        <f t="shared" ref="E79" si="156">plan_id</f>
        <v>1952</v>
      </c>
      <c r="F79" s="66">
        <f t="shared" ca="1" si="138"/>
        <v>2015</v>
      </c>
      <c r="G79" s="66">
        <f t="shared" ref="G79" ca="1" si="157">VLOOKUP(INDIRECT(CHAR(39)&amp;$A79&amp;CHAR(39)&amp;"!r2c"&amp;$C79,0),variables,2,0)</f>
        <v>10871</v>
      </c>
      <c r="H79" s="7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66" t="s">
        <v>1037</v>
      </c>
      <c r="B80" s="66">
        <f t="shared" si="135"/>
        <v>4</v>
      </c>
      <c r="C80" s="66">
        <f t="shared" si="136"/>
        <v>14</v>
      </c>
      <c r="E80" s="66">
        <f t="shared" ref="E80" si="158">plan_id</f>
        <v>1952</v>
      </c>
      <c r="F80" s="66">
        <f t="shared" ca="1" si="138"/>
        <v>2015</v>
      </c>
      <c r="G80" s="66">
        <f t="shared" ref="G80" ca="1" si="159">VLOOKUP(INDIRECT(CHAR(39)&amp;$A80&amp;CHAR(39)&amp;"!r2c"&amp;$C80,0),variables,2,0)</f>
        <v>10872</v>
      </c>
      <c r="H80" s="71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66" t="s">
        <v>1037</v>
      </c>
      <c r="B81" s="66">
        <f t="shared" si="135"/>
        <v>4</v>
      </c>
      <c r="C81" s="66">
        <f t="shared" si="136"/>
        <v>15</v>
      </c>
      <c r="E81" s="66">
        <f t="shared" ref="E81" si="160">plan_id</f>
        <v>1952</v>
      </c>
      <c r="F81" s="66">
        <f t="shared" ca="1" si="138"/>
        <v>2015</v>
      </c>
      <c r="G81" s="66">
        <f t="shared" ref="G81" ca="1" si="161">VLOOKUP(INDIRECT(CHAR(39)&amp;$A81&amp;CHAR(39)&amp;"!r2c"&amp;$C81,0),variables,2,0)</f>
        <v>10873</v>
      </c>
      <c r="H81" s="7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7.0000000000000007E-2</v>
      </c>
    </row>
    <row r="82" spans="1:8" x14ac:dyDescent="0.2">
      <c r="A82" s="66" t="s">
        <v>1037</v>
      </c>
      <c r="B82" s="66">
        <f t="shared" si="135"/>
        <v>4</v>
      </c>
      <c r="C82" s="66">
        <f t="shared" si="136"/>
        <v>16</v>
      </c>
      <c r="E82" s="66">
        <f t="shared" ref="E82" si="162">plan_id</f>
        <v>1952</v>
      </c>
      <c r="F82" s="66">
        <f t="shared" ca="1" si="138"/>
        <v>2015</v>
      </c>
      <c r="G82" s="66">
        <f t="shared" ref="G82" ca="1" si="163">VLOOKUP(INDIRECT(CHAR(39)&amp;$A82&amp;CHAR(39)&amp;"!r2c"&amp;$C82,0),variables,2,0)</f>
        <v>10874</v>
      </c>
      <c r="H82" s="7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7.0000000000000007E-2</v>
      </c>
    </row>
    <row r="83" spans="1:8" x14ac:dyDescent="0.2">
      <c r="A83" s="66" t="s">
        <v>1037</v>
      </c>
      <c r="B83" s="66">
        <f t="shared" si="135"/>
        <v>4</v>
      </c>
      <c r="C83" s="66">
        <f t="shared" si="136"/>
        <v>17</v>
      </c>
      <c r="E83" s="66">
        <f t="shared" ref="E83" si="164">plan_id</f>
        <v>1952</v>
      </c>
      <c r="F83" s="66">
        <f t="shared" ca="1" si="138"/>
        <v>2015</v>
      </c>
      <c r="G83" s="66">
        <f t="shared" ref="G83" ca="1" si="165">VLOOKUP(INDIRECT(CHAR(39)&amp;$A83&amp;CHAR(39)&amp;"!r2c"&amp;$C83,0),variables,2,0)</f>
        <v>10875</v>
      </c>
      <c r="H83" s="71">
        <f t="array" aca="1" ref="H83" ca="1">IF(AND(G83&gt;=10861,G83&lt;=10863),TEXT(INDIRECT(CHAR(39)&amp;$A83&amp;CHAR(39)&amp;"!r"&amp;$B83&amp;"c"&amp;$C83,0),"dd-mmm-yyyy"),(INDIRECT(CHAR(39)&amp;$A83&amp;CHAR(39)&amp;"!r"&amp;$B83&amp;"c"&amp;$C83,0)))</f>
        <v>85386606000</v>
      </c>
    </row>
    <row r="84" spans="1:8" x14ac:dyDescent="0.2">
      <c r="A84" s="66" t="s">
        <v>1037</v>
      </c>
      <c r="B84" s="66">
        <f t="shared" si="135"/>
        <v>4</v>
      </c>
      <c r="C84" s="66">
        <f t="shared" si="136"/>
        <v>18</v>
      </c>
      <c r="E84" s="66">
        <f t="shared" ref="E84" si="166">plan_id</f>
        <v>1952</v>
      </c>
      <c r="F84" s="66">
        <f t="shared" ca="1" si="138"/>
        <v>2015</v>
      </c>
      <c r="G84" s="66">
        <f t="shared" ref="G84" ca="1" si="167">VLOOKUP(INDIRECT(CHAR(39)&amp;$A84&amp;CHAR(39)&amp;"!r2c"&amp;$C84,0),variables,2,0)</f>
        <v>10876</v>
      </c>
      <c r="H84" s="71">
        <f t="array" aca="1" ref="H84" ca="1">IF(AND(G84&gt;=10861,G84&lt;=10863),TEXT(INDIRECT(CHAR(39)&amp;$A84&amp;CHAR(39)&amp;"!r"&amp;$B84&amp;"c"&amp;$C84,0),"dd-mmm-yyyy"),(INDIRECT(CHAR(39)&amp;$A84&amp;CHAR(39)&amp;"!r"&amp;$B84&amp;"c"&amp;$C84,0)))</f>
        <v>64025668000</v>
      </c>
    </row>
    <row r="85" spans="1:8" x14ac:dyDescent="0.2">
      <c r="A85" s="66" t="s">
        <v>1037</v>
      </c>
      <c r="B85" s="66">
        <f t="shared" si="135"/>
        <v>4</v>
      </c>
      <c r="C85" s="66">
        <f t="shared" si="136"/>
        <v>19</v>
      </c>
      <c r="E85" s="66">
        <f t="shared" ref="E85" si="168">plan_id</f>
        <v>1952</v>
      </c>
      <c r="F85" s="66">
        <f t="shared" ca="1" si="138"/>
        <v>2015</v>
      </c>
      <c r="G85" s="66">
        <f t="shared" ref="G85" ca="1" si="169">VLOOKUP(INDIRECT(CHAR(39)&amp;$A85&amp;CHAR(39)&amp;"!r2c"&amp;$C85,0),variables,2,0)</f>
        <v>10877</v>
      </c>
      <c r="H85" s="71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21360938000</v>
      </c>
    </row>
    <row r="86" spans="1:8" x14ac:dyDescent="0.2">
      <c r="A86" s="66" t="s">
        <v>1037</v>
      </c>
      <c r="B86" s="66">
        <f t="shared" si="135"/>
        <v>4</v>
      </c>
      <c r="C86" s="66">
        <f t="shared" si="136"/>
        <v>20</v>
      </c>
      <c r="E86" s="66">
        <f t="shared" ref="E86" si="170">plan_id</f>
        <v>1952</v>
      </c>
      <c r="F86" s="66">
        <f t="shared" ca="1" si="138"/>
        <v>2015</v>
      </c>
      <c r="G86" s="66">
        <f t="shared" ref="G86" ca="1" si="171">VLOOKUP(INDIRECT(CHAR(39)&amp;$A86&amp;CHAR(39)&amp;"!r2c"&amp;$C86,0),variables,2,0)</f>
        <v>10878</v>
      </c>
      <c r="H86" s="71" t="str">
        <f t="array" aca="1" ref="H86" ca="1">IF(AND(G86&gt;=10861,G86&lt;=10863),TEXT(INDIRECT(CHAR(39)&amp;$A86&amp;CHAR(39)&amp;"!r"&amp;$B86&amp;"c"&amp;$C86,0),"dd-mmm-yyyy"),(INDIRECT(CHAR(39)&amp;$A86&amp;CHAR(39)&amp;"!r"&amp;$B86&amp;"c"&amp;$C86,0)))</f>
        <v>State: 72.81%; Teacher: 70.68%; Political Subdivision: 86.7%</v>
      </c>
    </row>
    <row r="87" spans="1:8" x14ac:dyDescent="0.2">
      <c r="A87" s="66" t="s">
        <v>1037</v>
      </c>
      <c r="B87" s="66">
        <f t="shared" si="135"/>
        <v>4</v>
      </c>
      <c r="C87" s="66">
        <f t="shared" si="136"/>
        <v>21</v>
      </c>
      <c r="E87" s="66">
        <f t="shared" ref="E87" si="172">plan_id</f>
        <v>1952</v>
      </c>
      <c r="F87" s="66">
        <f t="shared" ca="1" si="138"/>
        <v>2015</v>
      </c>
      <c r="G87" s="66">
        <f t="shared" ref="G87" ca="1" si="173">VLOOKUP(INDIRECT(CHAR(39)&amp;$A87&amp;CHAR(39)&amp;"!r2c"&amp;$C87,0),variables,2,0)</f>
        <v>10879</v>
      </c>
      <c r="H87" s="71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15826899000</v>
      </c>
    </row>
    <row r="88" spans="1:8" x14ac:dyDescent="0.2">
      <c r="A88" s="66" t="s">
        <v>1037</v>
      </c>
      <c r="B88" s="66">
        <f t="shared" si="135"/>
        <v>4</v>
      </c>
      <c r="C88" s="66">
        <f t="shared" si="136"/>
        <v>22</v>
      </c>
      <c r="E88" s="66">
        <f t="shared" ref="E88" si="174">plan_id</f>
        <v>1952</v>
      </c>
      <c r="F88" s="66">
        <f t="shared" ca="1" si="138"/>
        <v>2015</v>
      </c>
      <c r="G88" s="66">
        <f t="shared" ref="G88" ca="1" si="175">VLOOKUP(INDIRECT(CHAR(39)&amp;$A88&amp;CHAR(39)&amp;"!r2c"&amp;$C88,0),variables,2,0)</f>
        <v>10880</v>
      </c>
      <c r="H88" s="71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2">
      <c r="A89" s="66" t="s">
        <v>1037</v>
      </c>
      <c r="B89" s="66">
        <f t="shared" si="135"/>
        <v>4</v>
      </c>
      <c r="C89" s="66">
        <f t="shared" si="136"/>
        <v>23</v>
      </c>
      <c r="E89" s="66">
        <f t="shared" ref="E89" si="176">plan_id</f>
        <v>1952</v>
      </c>
      <c r="F89" s="66">
        <f t="shared" ca="1" si="138"/>
        <v>2015</v>
      </c>
      <c r="G89" s="66">
        <f t="shared" ref="G89" ca="1" si="177">VLOOKUP(INDIRECT(CHAR(39)&amp;$A89&amp;CHAR(39)&amp;"!r2c"&amp;$C89,0),variables,2,0)</f>
        <v>10881</v>
      </c>
      <c r="H89" s="71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2">
      <c r="A90" s="66" t="s">
        <v>1037</v>
      </c>
      <c r="B90" s="66">
        <f t="shared" si="135"/>
        <v>4</v>
      </c>
      <c r="C90" s="66">
        <f t="shared" si="136"/>
        <v>24</v>
      </c>
      <c r="E90" s="66">
        <f t="shared" ref="E90" si="178">plan_id</f>
        <v>1952</v>
      </c>
      <c r="F90" s="66">
        <f t="shared" ca="1" si="138"/>
        <v>2015</v>
      </c>
      <c r="G90" s="66">
        <f t="shared" ref="G90" ca="1" si="179">VLOOKUP(INDIRECT(CHAR(39)&amp;$A90&amp;CHAR(39)&amp;"!r2c"&amp;$C90,0),variables,2,0)</f>
        <v>10882</v>
      </c>
      <c r="H90" s="71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2">
      <c r="A91" s="66" t="s">
        <v>1037</v>
      </c>
      <c r="B91" s="66">
        <f t="shared" si="135"/>
        <v>4</v>
      </c>
      <c r="C91" s="66">
        <f t="shared" si="136"/>
        <v>25</v>
      </c>
      <c r="E91" s="66">
        <f t="shared" ref="E91" si="180">plan_id</f>
        <v>1952</v>
      </c>
      <c r="F91" s="66">
        <f t="shared" ca="1" si="138"/>
        <v>2015</v>
      </c>
      <c r="G91" s="66">
        <f t="shared" ref="G91" ca="1" si="181">VLOOKUP(INDIRECT(CHAR(39)&amp;$A91&amp;CHAR(39)&amp;"!r2c"&amp;$C91,0),variables,2,0)</f>
        <v>10883</v>
      </c>
      <c r="H91" s="7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0.15839116683565113</v>
      </c>
    </row>
    <row r="92" spans="1:8" x14ac:dyDescent="0.2">
      <c r="A92" s="66" t="s">
        <v>1037</v>
      </c>
      <c r="B92" s="66">
        <f t="shared" si="135"/>
        <v>4</v>
      </c>
      <c r="C92" s="66">
        <f t="shared" si="136"/>
        <v>26</v>
      </c>
      <c r="E92" s="66">
        <f t="shared" ref="E92" si="182">plan_id</f>
        <v>1952</v>
      </c>
      <c r="F92" s="66">
        <f t="shared" ca="1" si="138"/>
        <v>2015</v>
      </c>
      <c r="G92" s="66">
        <f t="shared" ref="G92" ca="1" si="183">VLOOKUP(INDIRECT(CHAR(39)&amp;$A92&amp;CHAR(39)&amp;"!r2c"&amp;$C92,0),variables,2,0)</f>
        <v>10884</v>
      </c>
      <c r="H92" s="7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0.13219386817341794</v>
      </c>
    </row>
    <row r="93" spans="1:8" x14ac:dyDescent="0.2">
      <c r="A93" s="66" t="s">
        <v>1037</v>
      </c>
      <c r="B93" s="66">
        <f t="shared" si="135"/>
        <v>4</v>
      </c>
      <c r="C93" s="66">
        <f t="shared" si="136"/>
        <v>27</v>
      </c>
      <c r="E93" s="66">
        <f t="shared" ref="E93" si="184">plan_id</f>
        <v>1952</v>
      </c>
      <c r="F93" s="66">
        <f t="shared" ca="1" si="138"/>
        <v>2015</v>
      </c>
      <c r="G93" s="66">
        <f t="shared" ref="G93" ca="1" si="185">VLOOKUP(INDIRECT(CHAR(39)&amp;$A93&amp;CHAR(39)&amp;"!r2c"&amp;$C93,0),variables,2,0)</f>
        <v>10885</v>
      </c>
      <c r="H93" s="71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2506841000</v>
      </c>
    </row>
    <row r="94" spans="1:8" x14ac:dyDescent="0.2">
      <c r="A94" s="66" t="s">
        <v>1037</v>
      </c>
      <c r="B94" s="66">
        <f t="shared" si="135"/>
        <v>4</v>
      </c>
      <c r="C94" s="66">
        <f t="shared" si="136"/>
        <v>28</v>
      </c>
      <c r="E94" s="66">
        <f t="shared" ref="E94" si="186">plan_id</f>
        <v>1952</v>
      </c>
      <c r="F94" s="66">
        <f t="shared" ca="1" si="138"/>
        <v>2015</v>
      </c>
      <c r="G94" s="66">
        <f t="shared" ref="G94" ca="1" si="187">VLOOKUP(INDIRECT(CHAR(39)&amp;$A94&amp;CHAR(39)&amp;"!r2c"&amp;$C94,0),variables,2,0)</f>
        <v>10886</v>
      </c>
      <c r="H94" s="71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2092219000</v>
      </c>
    </row>
    <row r="95" spans="1:8" x14ac:dyDescent="0.2">
      <c r="A95" s="66" t="s">
        <v>1037</v>
      </c>
      <c r="B95" s="66">
        <f t="shared" si="135"/>
        <v>4</v>
      </c>
      <c r="C95" s="66">
        <f t="shared" si="136"/>
        <v>29</v>
      </c>
      <c r="E95" s="66">
        <f t="shared" ref="E95" si="188">plan_id</f>
        <v>1952</v>
      </c>
      <c r="F95" s="66">
        <f t="shared" ca="1" si="138"/>
        <v>2015</v>
      </c>
      <c r="G95" s="66">
        <f t="shared" ref="G95" ca="1" si="189">VLOOKUP(INDIRECT(CHAR(39)&amp;$A95&amp;CHAR(39)&amp;"!r2c"&amp;$C95,0),variables,2,0)</f>
        <v>10887</v>
      </c>
      <c r="H95" s="71">
        <f t="array" aca="1" ref="H95" ca="1">IF(AND(G95&gt;=10861,G95&lt;=10863),TEXT(INDIRECT(CHAR(39)&amp;$A95&amp;CHAR(39)&amp;"!r"&amp;$B95&amp;"c"&amp;$C95,0),"dd-mmm-yyyy"),(INDIRECT(CHAR(39)&amp;$A95&amp;CHAR(39)&amp;"!r"&amp;$B95&amp;"c"&amp;$C95,0)))</f>
        <v>414622000</v>
      </c>
    </row>
    <row r="96" spans="1:8" x14ac:dyDescent="0.2">
      <c r="A96" s="66" t="s">
        <v>1037</v>
      </c>
      <c r="B96" s="66">
        <f t="shared" si="135"/>
        <v>4</v>
      </c>
      <c r="C96" s="66">
        <f t="shared" si="136"/>
        <v>30</v>
      </c>
      <c r="E96" s="66">
        <f t="shared" ref="E96" si="190">plan_id</f>
        <v>1952</v>
      </c>
      <c r="F96" s="66">
        <f t="shared" ca="1" si="138"/>
        <v>2015</v>
      </c>
      <c r="G96" s="66">
        <f t="shared" ref="G96" ca="1" si="191">VLOOKUP(INDIRECT(CHAR(39)&amp;$A96&amp;CHAR(39)&amp;"!r2c"&amp;$C96,0),variables,2,0)</f>
        <v>10883</v>
      </c>
      <c r="H96" s="7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0.83460379018852815</v>
      </c>
    </row>
    <row r="97" spans="1:8" x14ac:dyDescent="0.2">
      <c r="A97" s="66" t="s">
        <v>1037</v>
      </c>
      <c r="B97" s="66">
        <f t="shared" si="135"/>
        <v>4</v>
      </c>
      <c r="C97" s="66">
        <f t="shared" si="136"/>
        <v>31</v>
      </c>
      <c r="E97" s="66">
        <f t="shared" ref="E97" si="192">plan_id</f>
        <v>1952</v>
      </c>
      <c r="F97" s="66">
        <f t="shared" ca="1" si="138"/>
        <v>2015</v>
      </c>
      <c r="G97" s="66">
        <f t="shared" ref="G97" ca="1" si="193">VLOOKUP(INDIRECT(CHAR(39)&amp;$A97&amp;CHAR(39)&amp;"!r2c"&amp;$C97,0),variables,2,0)</f>
        <v>10889</v>
      </c>
      <c r="H97" s="71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1734995000</v>
      </c>
    </row>
    <row r="98" spans="1:8" x14ac:dyDescent="0.2">
      <c r="A98" s="66" t="s">
        <v>1037</v>
      </c>
      <c r="B98" s="66">
        <f t="shared" si="135"/>
        <v>4</v>
      </c>
      <c r="C98" s="66">
        <f t="shared" si="136"/>
        <v>32</v>
      </c>
      <c r="E98" s="66">
        <f t="shared" ref="E98" si="194">plan_id</f>
        <v>1952</v>
      </c>
      <c r="F98" s="66">
        <f t="shared" ca="1" si="138"/>
        <v>2015</v>
      </c>
      <c r="G98" s="66">
        <f t="shared" ref="G98" ca="1" si="195">VLOOKUP(INDIRECT(CHAR(39)&amp;$A98&amp;CHAR(39)&amp;"!r2c"&amp;$C98,0),variables,2,0)</f>
        <v>10890</v>
      </c>
      <c r="H98" s="71">
        <f t="array" aca="1" ref="H98" ca="1">IF(AND(G98&gt;=10861,G98&lt;=10863),TEXT(INDIRECT(CHAR(39)&amp;$A98&amp;CHAR(39)&amp;"!r"&amp;$B98&amp;"c"&amp;$C98,0),"dd-mmm-yyyy"),(INDIRECT(CHAR(39)&amp;$A98&amp;CHAR(39)&amp;"!r"&amp;$B98&amp;"c"&amp;$C98,0)))</f>
        <v>5626573000</v>
      </c>
    </row>
    <row r="99" spans="1:8" x14ac:dyDescent="0.2">
      <c r="A99" s="66" t="s">
        <v>1037</v>
      </c>
      <c r="B99" s="66">
        <f t="shared" si="135"/>
        <v>4</v>
      </c>
      <c r="C99" s="66">
        <f t="shared" si="136"/>
        <v>33</v>
      </c>
      <c r="E99" s="66">
        <f t="shared" ref="E99" si="196">plan_id</f>
        <v>1952</v>
      </c>
      <c r="F99" s="66">
        <f t="shared" ca="1" si="138"/>
        <v>2015</v>
      </c>
      <c r="G99" s="66">
        <f t="shared" ref="G99" ca="1" si="197">VLOOKUP(INDIRECT(CHAR(39)&amp;$A99&amp;CHAR(39)&amp;"!r2c"&amp;$C99,0),variables,2,0)</f>
        <v>10891</v>
      </c>
      <c r="H99" s="71">
        <f t="array" aca="1" ref="H99" ca="1">IF(AND(G99&gt;=10861,G99&lt;=10863),TEXT(INDIRECT(CHAR(39)&amp;$A99&amp;CHAR(39)&amp;"!r"&amp;$B99&amp;"c"&amp;$C99,0),"dd-mmm-yyyy"),(INDIRECT(CHAR(39)&amp;$A99&amp;CHAR(39)&amp;"!r"&amp;$B99&amp;"c"&amp;$C99,0)))</f>
        <v>1135000</v>
      </c>
    </row>
    <row r="100" spans="1:8" x14ac:dyDescent="0.2">
      <c r="A100" s="66" t="s">
        <v>1037</v>
      </c>
      <c r="B100" s="66">
        <f t="shared" si="135"/>
        <v>4</v>
      </c>
      <c r="C100" s="66">
        <f t="shared" si="136"/>
        <v>34</v>
      </c>
      <c r="E100" s="66">
        <f t="shared" ref="E100" si="198">plan_id</f>
        <v>1952</v>
      </c>
      <c r="F100" s="66">
        <f t="shared" ca="1" si="138"/>
        <v>2015</v>
      </c>
      <c r="G100" s="66">
        <f t="shared" ref="G100" ca="1" si="199">VLOOKUP(INDIRECT(CHAR(39)&amp;$A100&amp;CHAR(39)&amp;"!r2c"&amp;$C100,0),variables,2,0)</f>
        <v>10892</v>
      </c>
      <c r="H100" s="71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66" t="s">
        <v>1037</v>
      </c>
      <c r="B101" s="66">
        <f t="shared" si="135"/>
        <v>4</v>
      </c>
      <c r="C101" s="66">
        <f t="shared" si="136"/>
        <v>35</v>
      </c>
      <c r="E101" s="66">
        <f t="shared" ref="E101" si="200">plan_id</f>
        <v>1952</v>
      </c>
      <c r="F101" s="66">
        <f t="shared" ca="1" si="138"/>
        <v>2015</v>
      </c>
      <c r="G101" s="66">
        <f t="shared" ref="G101" ca="1" si="201">VLOOKUP(INDIRECT(CHAR(39)&amp;$A101&amp;CHAR(39)&amp;"!r2c"&amp;$C101,0),variables,2,0)</f>
        <v>10893</v>
      </c>
      <c r="H101" s="71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66" t="s">
        <v>1037</v>
      </c>
      <c r="B102" s="66">
        <f t="shared" si="135"/>
        <v>4</v>
      </c>
      <c r="C102" s="66">
        <f t="shared" si="136"/>
        <v>36</v>
      </c>
      <c r="E102" s="66">
        <f t="shared" ref="E102" si="202">plan_id</f>
        <v>1952</v>
      </c>
      <c r="F102" s="66">
        <f t="shared" ca="1" si="138"/>
        <v>2015</v>
      </c>
      <c r="G102" s="66">
        <f t="shared" ref="G102" ca="1" si="203">VLOOKUP(INDIRECT(CHAR(39)&amp;$A102&amp;CHAR(39)&amp;"!r2c"&amp;$C102,0),variables,2,0)</f>
        <v>10894</v>
      </c>
      <c r="H102" s="71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-796167000</v>
      </c>
    </row>
    <row r="103" spans="1:8" x14ac:dyDescent="0.2">
      <c r="A103" s="66" t="s">
        <v>1037</v>
      </c>
      <c r="B103" s="66">
        <f t="shared" si="135"/>
        <v>4</v>
      </c>
      <c r="C103" s="66">
        <f t="shared" si="136"/>
        <v>37</v>
      </c>
      <c r="E103" s="66">
        <f t="shared" ref="E103" si="204">plan_id</f>
        <v>1952</v>
      </c>
      <c r="F103" s="66">
        <f t="shared" ca="1" si="138"/>
        <v>2015</v>
      </c>
      <c r="G103" s="66">
        <f t="shared" ref="G103" ca="1" si="205">VLOOKUP(INDIRECT(CHAR(39)&amp;$A103&amp;CHAR(39)&amp;"!r2c"&amp;$C103,0),variables,2,0)</f>
        <v>10895</v>
      </c>
      <c r="H103" s="71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2">
      <c r="A104" s="66" t="s">
        <v>1037</v>
      </c>
      <c r="B104" s="66">
        <f t="shared" si="135"/>
        <v>4</v>
      </c>
      <c r="C104" s="66">
        <f t="shared" si="136"/>
        <v>38</v>
      </c>
      <c r="E104" s="66">
        <f t="shared" ref="E104" si="206">plan_id</f>
        <v>1952</v>
      </c>
      <c r="F104" s="66">
        <f t="shared" ca="1" si="138"/>
        <v>2015</v>
      </c>
      <c r="G104" s="66">
        <f t="shared" ref="G104" ca="1" si="207">VLOOKUP(INDIRECT(CHAR(39)&amp;$A104&amp;CHAR(39)&amp;"!r2c"&amp;$C104,0),variables,2,0)</f>
        <v>10896</v>
      </c>
      <c r="H104" s="71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66" t="s">
        <v>1037</v>
      </c>
      <c r="B105" s="66">
        <f t="shared" si="135"/>
        <v>4</v>
      </c>
      <c r="C105" s="66">
        <f t="shared" si="136"/>
        <v>39</v>
      </c>
      <c r="E105" s="66">
        <f t="shared" ref="E105" si="208">plan_id</f>
        <v>1952</v>
      </c>
      <c r="F105" s="66">
        <f t="shared" ca="1" si="138"/>
        <v>2015</v>
      </c>
      <c r="G105" s="66">
        <f t="shared" ref="G105" ca="1" si="209">VLOOKUP(INDIRECT(CHAR(39)&amp;$A105&amp;CHAR(39)&amp;"!r2c"&amp;$C105,0),variables,2,0)</f>
        <v>10897</v>
      </c>
      <c r="H105" s="71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38898000</v>
      </c>
    </row>
    <row r="106" spans="1:8" x14ac:dyDescent="0.2">
      <c r="A106" s="66" t="s">
        <v>1037</v>
      </c>
      <c r="B106" s="66">
        <f t="shared" si="135"/>
        <v>4</v>
      </c>
      <c r="C106" s="66">
        <f t="shared" si="136"/>
        <v>40</v>
      </c>
      <c r="E106" s="66">
        <f t="shared" ref="E106" si="210">plan_id</f>
        <v>1952</v>
      </c>
      <c r="F106" s="66">
        <f t="shared" ca="1" si="138"/>
        <v>2015</v>
      </c>
      <c r="G106" s="66">
        <f t="shared" ref="G106" ca="1" si="211">VLOOKUP(INDIRECT(CHAR(39)&amp;$A106&amp;CHAR(39)&amp;"!r2c"&amp;$C106,0),variables,2,0)</f>
        <v>10898</v>
      </c>
      <c r="H106" s="71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66" t="s">
        <v>1037</v>
      </c>
      <c r="B107" s="66">
        <f t="shared" si="135"/>
        <v>4</v>
      </c>
      <c r="C107" s="66">
        <f t="shared" si="136"/>
        <v>41</v>
      </c>
      <c r="E107" s="66">
        <f t="shared" ref="E107" si="212">plan_id</f>
        <v>1952</v>
      </c>
      <c r="F107" s="66">
        <f t="shared" ca="1" si="138"/>
        <v>2015</v>
      </c>
      <c r="G107" s="66">
        <f t="shared" ref="G107" ca="1" si="213">VLOOKUP(INDIRECT(CHAR(39)&amp;$A107&amp;CHAR(39)&amp;"!r2c"&amp;$C107,0),variables,2,0)</f>
        <v>10899</v>
      </c>
      <c r="H107" s="71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66" t="s">
        <v>1037</v>
      </c>
      <c r="B108" s="66">
        <f t="shared" si="135"/>
        <v>4</v>
      </c>
      <c r="C108" s="66">
        <f t="shared" si="136"/>
        <v>42</v>
      </c>
      <c r="E108" s="66">
        <f t="shared" ref="E108" si="214">plan_id</f>
        <v>1952</v>
      </c>
      <c r="F108" s="66">
        <f t="shared" ca="1" si="138"/>
        <v>2015</v>
      </c>
      <c r="G108" s="66">
        <f t="shared" ref="G108" ca="1" si="215">VLOOKUP(INDIRECT(CHAR(39)&amp;$A108&amp;CHAR(39)&amp;"!r2c"&amp;$C108,0),variables,2,0)</f>
        <v>11006</v>
      </c>
      <c r="H108" s="71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66" t="s">
        <v>1037</v>
      </c>
      <c r="B109" s="66">
        <f t="shared" si="135"/>
        <v>4</v>
      </c>
      <c r="C109" s="66">
        <f t="shared" si="136"/>
        <v>43</v>
      </c>
      <c r="E109" s="66">
        <f t="shared" ref="E109" si="216">plan_id</f>
        <v>1952</v>
      </c>
      <c r="F109" s="66">
        <f t="shared" ca="1" si="138"/>
        <v>2015</v>
      </c>
      <c r="G109" s="66">
        <f t="shared" ref="G109" ca="1" si="217">VLOOKUP(INDIRECT(CHAR(39)&amp;$A109&amp;CHAR(39)&amp;"!r2c"&amp;$C109,0),variables,2,0)</f>
        <v>10900</v>
      </c>
      <c r="H109" s="71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2">
      <c r="A110" s="66" t="s">
        <v>1037</v>
      </c>
      <c r="B110" s="66">
        <f t="shared" si="135"/>
        <v>4</v>
      </c>
      <c r="C110" s="66">
        <f t="shared" si="136"/>
        <v>44</v>
      </c>
      <c r="E110" s="66">
        <f t="shared" ref="E110" si="218">plan_id</f>
        <v>1952</v>
      </c>
      <c r="F110" s="66">
        <f t="shared" ca="1" si="138"/>
        <v>2015</v>
      </c>
      <c r="G110" s="66">
        <f t="shared" ref="G110" ca="1" si="219">VLOOKUP(INDIRECT(CHAR(39)&amp;$A110&amp;CHAR(39)&amp;"!r2c"&amp;$C110,0),variables,2,0)</f>
        <v>10901</v>
      </c>
      <c r="H110" s="7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0.06</v>
      </c>
    </row>
    <row r="111" spans="1:8" x14ac:dyDescent="0.2">
      <c r="A111" s="66" t="s">
        <v>1037</v>
      </c>
      <c r="B111" s="66">
        <f t="shared" si="135"/>
        <v>4</v>
      </c>
      <c r="C111" s="66">
        <f t="shared" si="136"/>
        <v>45</v>
      </c>
      <c r="E111" s="66">
        <f t="shared" ref="E111" si="220">plan_id</f>
        <v>1952</v>
      </c>
      <c r="F111" s="66">
        <f t="shared" ca="1" si="138"/>
        <v>2015</v>
      </c>
      <c r="G111" s="66">
        <f t="shared" ref="G111" ca="1" si="221">VLOOKUP(INDIRECT(CHAR(39)&amp;$A111&amp;CHAR(39)&amp;"!r2c"&amp;$C111,0),variables,2,0)</f>
        <v>10902</v>
      </c>
      <c r="H111" s="7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7.0000000000000007E-2</v>
      </c>
    </row>
    <row r="112" spans="1:8" x14ac:dyDescent="0.2">
      <c r="A112" s="66" t="s">
        <v>1037</v>
      </c>
      <c r="B112" s="66">
        <f t="shared" si="135"/>
        <v>4</v>
      </c>
      <c r="C112" s="66">
        <f t="shared" si="136"/>
        <v>46</v>
      </c>
      <c r="E112" s="66">
        <f t="shared" ref="E112" si="222">plan_id</f>
        <v>1952</v>
      </c>
      <c r="F112" s="66">
        <f t="shared" ca="1" si="138"/>
        <v>2015</v>
      </c>
      <c r="G112" s="66">
        <f t="shared" ref="G112" ca="1" si="223">VLOOKUP(INDIRECT(CHAR(39)&amp;$A112&amp;CHAR(39)&amp;"!r2c"&amp;$C112,0),variables,2,0)</f>
        <v>10903</v>
      </c>
      <c r="H112" s="7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0.08</v>
      </c>
    </row>
    <row r="113" spans="1:8" x14ac:dyDescent="0.2">
      <c r="A113" s="66" t="s">
        <v>1037</v>
      </c>
      <c r="B113" s="66">
        <f t="shared" si="135"/>
        <v>4</v>
      </c>
      <c r="C113" s="66">
        <f t="shared" si="136"/>
        <v>47</v>
      </c>
      <c r="E113" s="66">
        <f t="shared" ref="E113" si="224">plan_id</f>
        <v>1952</v>
      </c>
      <c r="F113" s="66">
        <f t="shared" ca="1" si="138"/>
        <v>2015</v>
      </c>
      <c r="G113" s="66">
        <f t="shared" ref="G113" ca="1" si="225">VLOOKUP(INDIRECT(CHAR(39)&amp;$A113&amp;CHAR(39)&amp;"!r2c"&amp;$C113,0),variables,2,0)</f>
        <v>10904</v>
      </c>
      <c r="H113" s="71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32492718000</v>
      </c>
    </row>
    <row r="114" spans="1:8" x14ac:dyDescent="0.2">
      <c r="A114" s="66" t="s">
        <v>1037</v>
      </c>
      <c r="B114" s="66">
        <f t="shared" si="135"/>
        <v>4</v>
      </c>
      <c r="C114" s="66">
        <f t="shared" si="136"/>
        <v>48</v>
      </c>
      <c r="E114" s="66">
        <f t="shared" ref="E114" si="226">plan_id</f>
        <v>1952</v>
      </c>
      <c r="F114" s="66">
        <f t="shared" ca="1" si="138"/>
        <v>2015</v>
      </c>
      <c r="G114" s="66">
        <f t="shared" ref="G114" ca="1" si="227">VLOOKUP(INDIRECT(CHAR(39)&amp;$A114&amp;CHAR(39)&amp;"!r2c"&amp;$C114,0),variables,2,0)</f>
        <v>10905</v>
      </c>
      <c r="H114" s="71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21360938000</v>
      </c>
    </row>
    <row r="115" spans="1:8" x14ac:dyDescent="0.2">
      <c r="A115" s="66" t="s">
        <v>1037</v>
      </c>
      <c r="B115" s="66">
        <f t="shared" si="135"/>
        <v>4</v>
      </c>
      <c r="C115" s="66">
        <f t="shared" si="136"/>
        <v>49</v>
      </c>
      <c r="E115" s="66">
        <f t="shared" ref="E115" si="228">plan_id</f>
        <v>1952</v>
      </c>
      <c r="F115" s="66">
        <f t="shared" ca="1" si="138"/>
        <v>2015</v>
      </c>
      <c r="G115" s="66">
        <f t="shared" ref="G115" ca="1" si="229">VLOOKUP(INDIRECT(CHAR(39)&amp;$A115&amp;CHAR(39)&amp;"!r2c"&amp;$C115,0),variables,2,0)</f>
        <v>10906</v>
      </c>
      <c r="H115" s="71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11891464000</v>
      </c>
    </row>
    <row r="116" spans="1:8" x14ac:dyDescent="0.2">
      <c r="A116" s="66" t="s">
        <v>1037</v>
      </c>
      <c r="B116" s="66">
        <f t="shared" si="135"/>
        <v>4</v>
      </c>
      <c r="C116" s="66">
        <f t="shared" si="136"/>
        <v>50</v>
      </c>
      <c r="E116" s="66">
        <f t="shared" ref="E116" si="230">plan_id</f>
        <v>1952</v>
      </c>
      <c r="F116" s="66">
        <f t="shared" ca="1" si="138"/>
        <v>2015</v>
      </c>
      <c r="G116" s="66">
        <f t="shared" ref="G116" ca="1" si="231">VLOOKUP(INDIRECT(CHAR(39)&amp;$A116&amp;CHAR(39)&amp;"!r2c"&amp;$C116,0),variables,2,0)</f>
        <v>10907</v>
      </c>
      <c r="H116" s="71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2">
      <c r="A117" s="66" t="s">
        <v>1037</v>
      </c>
      <c r="B117" s="66">
        <f t="shared" si="135"/>
        <v>4</v>
      </c>
      <c r="C117" s="66">
        <f t="shared" si="136"/>
        <v>51</v>
      </c>
      <c r="E117" s="66">
        <f t="shared" ref="E117" si="232">plan_id</f>
        <v>1952</v>
      </c>
      <c r="F117" s="66">
        <f t="shared" ca="1" si="138"/>
        <v>2015</v>
      </c>
      <c r="G117" s="66">
        <f t="shared" ref="G117" ca="1" si="233">VLOOKUP(INDIRECT(CHAR(39)&amp;$A117&amp;CHAR(39)&amp;"!r2c"&amp;$C117,0),variables,2,0)</f>
        <v>10860</v>
      </c>
      <c r="H117" s="71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82397824000</v>
      </c>
    </row>
    <row r="118" spans="1:8" x14ac:dyDescent="0.2">
      <c r="A118" s="66" t="s">
        <v>1037</v>
      </c>
      <c r="B118" s="66">
        <f t="shared" si="135"/>
        <v>4</v>
      </c>
      <c r="C118" s="66">
        <f t="shared" si="136"/>
        <v>52</v>
      </c>
      <c r="E118" s="66">
        <f t="shared" ref="E118" si="234">plan_id</f>
        <v>1952</v>
      </c>
      <c r="F118" s="66">
        <f t="shared" ca="1" si="138"/>
        <v>2015</v>
      </c>
      <c r="G118" s="66">
        <f t="shared" ref="G118" ca="1" si="235">VLOOKUP(INDIRECT(CHAR(39)&amp;$A118&amp;CHAR(39)&amp;"!r2c"&amp;$C118,0),variables,2,0)</f>
        <v>10909</v>
      </c>
      <c r="H118" s="71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1734995000</v>
      </c>
    </row>
    <row r="119" spans="1:8" x14ac:dyDescent="0.2">
      <c r="A119" s="66" t="s">
        <v>1037</v>
      </c>
      <c r="B119" s="66">
        <f t="shared" si="135"/>
        <v>4</v>
      </c>
      <c r="C119" s="66">
        <f t="shared" si="136"/>
        <v>53</v>
      </c>
      <c r="E119" s="66">
        <f t="shared" ref="E119" si="236">plan_id</f>
        <v>1952</v>
      </c>
      <c r="F119" s="66">
        <f t="shared" ca="1" si="138"/>
        <v>2015</v>
      </c>
      <c r="G119" s="66">
        <f t="shared" ref="G119" ca="1" si="237">VLOOKUP(INDIRECT(CHAR(39)&amp;$A119&amp;CHAR(39)&amp;"!r2c"&amp;$C119,0),variables,2,0)</f>
        <v>10910</v>
      </c>
      <c r="H119" s="71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5626573000</v>
      </c>
    </row>
    <row r="120" spans="1:8" x14ac:dyDescent="0.2">
      <c r="A120" s="66" t="s">
        <v>1037</v>
      </c>
      <c r="B120" s="66">
        <f t="shared" si="135"/>
        <v>4</v>
      </c>
      <c r="C120" s="66">
        <f t="shared" si="136"/>
        <v>54</v>
      </c>
      <c r="E120" s="66">
        <f t="shared" ref="E120" si="238">plan_id</f>
        <v>1952</v>
      </c>
      <c r="F120" s="66">
        <f t="shared" ca="1" si="138"/>
        <v>2015</v>
      </c>
      <c r="G120" s="66">
        <f t="shared" ref="G120" ca="1" si="239">VLOOKUP(INDIRECT(CHAR(39)&amp;$A120&amp;CHAR(39)&amp;"!r2c"&amp;$C120,0),variables,2,0)</f>
        <v>10911</v>
      </c>
      <c r="H120" s="71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1135000</v>
      </c>
    </row>
    <row r="121" spans="1:8" x14ac:dyDescent="0.2">
      <c r="A121" s="66" t="s">
        <v>1037</v>
      </c>
      <c r="B121" s="66">
        <f t="shared" si="135"/>
        <v>4</v>
      </c>
      <c r="C121" s="66">
        <f t="shared" si="136"/>
        <v>55</v>
      </c>
      <c r="E121" s="66">
        <f t="shared" ref="E121" si="240">plan_id</f>
        <v>1952</v>
      </c>
      <c r="F121" s="66">
        <f t="shared" ca="1" si="138"/>
        <v>2015</v>
      </c>
      <c r="G121" s="66">
        <f t="shared" ref="G121" ca="1" si="241">VLOOKUP(INDIRECT(CHAR(39)&amp;$A121&amp;CHAR(39)&amp;"!r2c"&amp;$C121,0),variables,2,0)</f>
        <v>10912</v>
      </c>
      <c r="H121" s="71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-337585000</v>
      </c>
    </row>
    <row r="122" spans="1:8" x14ac:dyDescent="0.2">
      <c r="A122" s="66" t="s">
        <v>1037</v>
      </c>
      <c r="B122" s="66">
        <f t="shared" si="135"/>
        <v>4</v>
      </c>
      <c r="C122" s="66">
        <f t="shared" si="136"/>
        <v>56</v>
      </c>
      <c r="E122" s="66">
        <f t="shared" ref="E122" si="242">plan_id</f>
        <v>1952</v>
      </c>
      <c r="F122" s="66">
        <f t="shared" ca="1" si="138"/>
        <v>2015</v>
      </c>
      <c r="G122" s="66">
        <f t="shared" ref="G122" ca="1" si="243">VLOOKUP(INDIRECT(CHAR(39)&amp;$A122&amp;CHAR(39)&amp;"!r2c"&amp;$C122,0),variables,2,0)</f>
        <v>10913</v>
      </c>
      <c r="H122" s="71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2">
      <c r="A123" s="66" t="s">
        <v>1037</v>
      </c>
      <c r="B123" s="66">
        <f t="shared" si="135"/>
        <v>4</v>
      </c>
      <c r="C123" s="66">
        <f t="shared" si="136"/>
        <v>57</v>
      </c>
      <c r="E123" s="66">
        <f t="shared" ref="E123" si="244">plan_id</f>
        <v>1952</v>
      </c>
      <c r="F123" s="66">
        <f t="shared" ca="1" si="138"/>
        <v>2015</v>
      </c>
      <c r="G123" s="66">
        <f t="shared" ref="G123" ca="1" si="245">VLOOKUP(INDIRECT(CHAR(39)&amp;$A123&amp;CHAR(39)&amp;"!r2c"&amp;$C123,0),variables,2,0)</f>
        <v>10914</v>
      </c>
      <c r="H123" s="71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2281784000</v>
      </c>
    </row>
    <row r="124" spans="1:8" x14ac:dyDescent="0.2">
      <c r="A124" s="66" t="s">
        <v>1037</v>
      </c>
      <c r="B124" s="66">
        <f t="shared" si="135"/>
        <v>4</v>
      </c>
      <c r="C124" s="66">
        <f t="shared" si="136"/>
        <v>58</v>
      </c>
      <c r="E124" s="66">
        <f t="shared" ref="E124" si="246">plan_id</f>
        <v>1952</v>
      </c>
      <c r="F124" s="66">
        <f t="shared" ca="1" si="138"/>
        <v>2015</v>
      </c>
      <c r="G124" s="66">
        <f t="shared" ref="G124" ca="1" si="247">VLOOKUP(INDIRECT(CHAR(39)&amp;$A124&amp;CHAR(39)&amp;"!r2c"&amp;$C124,0),variables,2,0)</f>
        <v>10915</v>
      </c>
      <c r="H124" s="71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796167000</v>
      </c>
    </row>
    <row r="125" spans="1:8" x14ac:dyDescent="0.2">
      <c r="A125" s="66" t="s">
        <v>1037</v>
      </c>
      <c r="B125" s="66">
        <f t="shared" si="135"/>
        <v>4</v>
      </c>
      <c r="C125" s="66">
        <f t="shared" si="136"/>
        <v>59</v>
      </c>
      <c r="E125" s="66">
        <f t="shared" ref="E125" si="248">plan_id</f>
        <v>1952</v>
      </c>
      <c r="F125" s="66">
        <f t="shared" ca="1" si="138"/>
        <v>2015</v>
      </c>
      <c r="G125" s="66">
        <f t="shared" ref="G125" ca="1" si="249">VLOOKUP(INDIRECT(CHAR(39)&amp;$A125&amp;CHAR(39)&amp;"!r2c"&amp;$C125,0),variables,2,0)</f>
        <v>10916</v>
      </c>
      <c r="H125" s="71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2816294000</v>
      </c>
    </row>
    <row r="126" spans="1:8" x14ac:dyDescent="0.2">
      <c r="A126" s="66" t="s">
        <v>1037</v>
      </c>
      <c r="B126" s="66">
        <f t="shared" si="135"/>
        <v>4</v>
      </c>
      <c r="C126" s="66">
        <f t="shared" si="136"/>
        <v>60</v>
      </c>
      <c r="E126" s="66">
        <f t="shared" ref="E126" si="250">plan_id</f>
        <v>1952</v>
      </c>
      <c r="F126" s="66">
        <f t="shared" ca="1" si="138"/>
        <v>2015</v>
      </c>
      <c r="G126" s="66">
        <f t="shared" ref="G126" ca="1" si="251">VLOOKUP(INDIRECT(CHAR(39)&amp;$A126&amp;CHAR(39)&amp;"!r2c"&amp;$C126,0),variables,2,0)</f>
        <v>10917</v>
      </c>
      <c r="H126" s="71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-3935656000</v>
      </c>
    </row>
    <row r="127" spans="1:8" x14ac:dyDescent="0.2">
      <c r="A127" s="66" t="s">
        <v>1037</v>
      </c>
      <c r="B127" s="66">
        <f t="shared" si="135"/>
        <v>4</v>
      </c>
      <c r="C127" s="66">
        <f t="shared" si="136"/>
        <v>61</v>
      </c>
      <c r="E127" s="66">
        <f t="shared" ref="E127" si="252">plan_id</f>
        <v>1952</v>
      </c>
      <c r="F127" s="66">
        <f t="shared" ca="1" si="138"/>
        <v>2015</v>
      </c>
      <c r="G127" s="66">
        <f t="shared" ref="G127" ca="1" si="253">VLOOKUP(INDIRECT(CHAR(39)&amp;$A127&amp;CHAR(39)&amp;"!r2c"&amp;$C127,0),variables,2,0)</f>
        <v>10918</v>
      </c>
      <c r="H127" s="71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-100680000</v>
      </c>
    </row>
    <row r="128" spans="1:8" x14ac:dyDescent="0.2">
      <c r="A128" s="66" t="s">
        <v>1037</v>
      </c>
      <c r="B128" s="66">
        <f t="shared" si="135"/>
        <v>4</v>
      </c>
      <c r="C128" s="66">
        <f t="shared" si="136"/>
        <v>62</v>
      </c>
      <c r="E128" s="66">
        <f t="shared" ref="E128" si="254">plan_id</f>
        <v>1952</v>
      </c>
      <c r="F128" s="66">
        <f t="shared" ca="1" si="138"/>
        <v>2015</v>
      </c>
      <c r="G128" s="66">
        <f t="shared" ref="G128" ca="1" si="255">VLOOKUP(INDIRECT(CHAR(39)&amp;$A128&amp;CHAR(39)&amp;"!r2c"&amp;$C128,0),variables,2,0)</f>
        <v>10919</v>
      </c>
      <c r="H128" s="71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-4036336000</v>
      </c>
    </row>
    <row r="129" spans="1:8" x14ac:dyDescent="0.2">
      <c r="A129" s="66" t="s">
        <v>1037</v>
      </c>
      <c r="B129" s="66">
        <f t="shared" si="135"/>
        <v>4</v>
      </c>
      <c r="C129" s="66">
        <f t="shared" si="136"/>
        <v>63</v>
      </c>
      <c r="E129" s="66">
        <f t="shared" ref="E129" si="256">plan_id</f>
        <v>1952</v>
      </c>
      <c r="F129" s="66">
        <f t="shared" ca="1" si="138"/>
        <v>2015</v>
      </c>
      <c r="G129" s="66">
        <f t="shared" ref="G129" ca="1" si="257">VLOOKUP(INDIRECT(CHAR(39)&amp;$A129&amp;CHAR(39)&amp;"!r2c"&amp;$C129,0),variables,2,0)</f>
        <v>10920</v>
      </c>
      <c r="H129" s="71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-38898000</v>
      </c>
    </row>
    <row r="130" spans="1:8" x14ac:dyDescent="0.2">
      <c r="A130" s="66" t="s">
        <v>1037</v>
      </c>
      <c r="B130" s="66">
        <f t="shared" si="135"/>
        <v>4</v>
      </c>
      <c r="C130" s="66">
        <f t="shared" si="136"/>
        <v>64</v>
      </c>
      <c r="E130" s="66">
        <f t="shared" ref="E130" si="258">plan_id</f>
        <v>1952</v>
      </c>
      <c r="F130" s="66">
        <f t="shared" ca="1" si="138"/>
        <v>2015</v>
      </c>
      <c r="G130" s="66">
        <f t="shared" ref="G130" ca="1" si="259">VLOOKUP(INDIRECT(CHAR(39)&amp;$A130&amp;CHAR(39)&amp;"!r2c"&amp;$C130,0),variables,2,0)</f>
        <v>10921</v>
      </c>
      <c r="H130" s="71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-600000</v>
      </c>
    </row>
    <row r="131" spans="1:8" x14ac:dyDescent="0.2">
      <c r="A131" s="66" t="s">
        <v>1037</v>
      </c>
      <c r="B131" s="66">
        <f t="shared" si="135"/>
        <v>4</v>
      </c>
      <c r="C131" s="66">
        <f t="shared" si="136"/>
        <v>65</v>
      </c>
      <c r="E131" s="66">
        <f t="shared" ref="E131" si="260">plan_id</f>
        <v>1952</v>
      </c>
      <c r="F131" s="66">
        <f t="shared" ca="1" si="138"/>
        <v>2015</v>
      </c>
      <c r="G131" s="66">
        <f t="shared" ref="G131" ca="1" si="261">VLOOKUP(INDIRECT(CHAR(39)&amp;$A131&amp;CHAR(39)&amp;"!r2c"&amp;$C131,0),variables,2,0)</f>
        <v>10922</v>
      </c>
      <c r="H131" s="71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66" t="s">
        <v>1037</v>
      </c>
      <c r="B132" s="66">
        <f t="shared" si="135"/>
        <v>4</v>
      </c>
      <c r="C132" s="66">
        <f t="shared" si="136"/>
        <v>66</v>
      </c>
      <c r="E132" s="66">
        <f t="shared" ref="E132" si="262">plan_id</f>
        <v>1952</v>
      </c>
      <c r="F132" s="66">
        <f t="shared" ca="1" si="138"/>
        <v>2015</v>
      </c>
      <c r="G132" s="66">
        <f t="shared" ref="G132" ca="1" si="263">VLOOKUP(INDIRECT(CHAR(39)&amp;$A132&amp;CHAR(39)&amp;"!r2c"&amp;$C132,0),variables,2,0)</f>
        <v>10860</v>
      </c>
      <c r="H132" s="71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62207257000</v>
      </c>
    </row>
    <row r="133" spans="1:8" x14ac:dyDescent="0.2">
      <c r="A133" s="66" t="s">
        <v>1037</v>
      </c>
      <c r="B133" s="66">
        <f t="shared" si="135"/>
        <v>4</v>
      </c>
      <c r="C133" s="66">
        <f t="shared" si="136"/>
        <v>67</v>
      </c>
      <c r="E133" s="66">
        <f t="shared" ref="E133" si="264">plan_id</f>
        <v>1952</v>
      </c>
      <c r="F133" s="66">
        <f t="shared" ca="1" si="138"/>
        <v>2015</v>
      </c>
      <c r="G133" s="66">
        <f t="shared" ref="G133" ca="1" si="265">VLOOKUP(INDIRECT(CHAR(39)&amp;$A133&amp;CHAR(39)&amp;"!r2c"&amp;$C133,0),variables,2,0)</f>
        <v>10923</v>
      </c>
      <c r="H133" s="71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21360938000</v>
      </c>
    </row>
    <row r="134" spans="1:8" x14ac:dyDescent="0.2">
      <c r="A134" s="66" t="s">
        <v>1037</v>
      </c>
      <c r="B134" s="66">
        <f>B69+1</f>
        <v>5</v>
      </c>
      <c r="C134" s="66">
        <f>C69</f>
        <v>3</v>
      </c>
      <c r="E134" s="66">
        <f t="shared" ref="E134" si="266">plan_id</f>
        <v>1952</v>
      </c>
      <c r="F134" s="66">
        <f t="shared" ref="F134:F197" ca="1" si="267">INDIRECT(CHAR(39)&amp;$A134&amp;CHAR(39)&amp;"!r"&amp;$B134&amp;"c2",0)</f>
        <v>2016</v>
      </c>
      <c r="G134" s="66">
        <f t="shared" ref="G134" ca="1" si="268">VLOOKUP(INDIRECT(CHAR(39)&amp;$A134&amp;CHAR(39)&amp;"!r2c"&amp;$C134,0),variables,2,0)</f>
        <v>10861</v>
      </c>
      <c r="H134" s="71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2">
      <c r="A135" s="66" t="s">
        <v>1037</v>
      </c>
      <c r="B135" s="66">
        <f t="shared" ref="B135:B198" si="269">B70+1</f>
        <v>5</v>
      </c>
      <c r="C135" s="66">
        <f t="shared" ref="C135:C198" si="270">C70</f>
        <v>4</v>
      </c>
      <c r="E135" s="66">
        <f t="shared" ref="E135" si="271">plan_id</f>
        <v>1952</v>
      </c>
      <c r="F135" s="66">
        <f t="shared" ca="1" si="267"/>
        <v>2016</v>
      </c>
      <c r="G135" s="66">
        <f t="shared" ref="G135" ca="1" si="272">VLOOKUP(INDIRECT(CHAR(39)&amp;$A135&amp;CHAR(39)&amp;"!r2c"&amp;$C135,0),variables,2,0)</f>
        <v>10862</v>
      </c>
      <c r="H135" s="71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66" t="s">
        <v>1037</v>
      </c>
      <c r="B136" s="66">
        <f t="shared" si="269"/>
        <v>5</v>
      </c>
      <c r="C136" s="66">
        <f t="shared" si="270"/>
        <v>5</v>
      </c>
      <c r="E136" s="66">
        <f t="shared" ref="E136" si="273">plan_id</f>
        <v>1952</v>
      </c>
      <c r="F136" s="66">
        <f t="shared" ca="1" si="267"/>
        <v>2016</v>
      </c>
      <c r="G136" s="66">
        <f t="shared" ref="G136" ca="1" si="274">VLOOKUP(INDIRECT(CHAR(39)&amp;$A136&amp;CHAR(39)&amp;"!r2c"&amp;$C136,0),variables,2,0)</f>
        <v>10863</v>
      </c>
      <c r="H136" s="71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66" t="s">
        <v>1037</v>
      </c>
      <c r="B137" s="66">
        <f t="shared" si="269"/>
        <v>5</v>
      </c>
      <c r="C137" s="66">
        <f t="shared" si="270"/>
        <v>6</v>
      </c>
      <c r="E137" s="66">
        <f t="shared" ref="E137" si="275">plan_id</f>
        <v>1952</v>
      </c>
      <c r="F137" s="66">
        <f t="shared" ca="1" si="267"/>
        <v>2016</v>
      </c>
      <c r="G137" s="66">
        <f t="shared" ref="G137" ca="1" si="276">VLOOKUP(INDIRECT(CHAR(39)&amp;$A137&amp;CHAR(39)&amp;"!r2c"&amp;$C137,0),variables,2,0)</f>
        <v>10864</v>
      </c>
      <c r="H137" s="71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203970</v>
      </c>
    </row>
    <row r="138" spans="1:8" x14ac:dyDescent="0.2">
      <c r="A138" s="66" t="s">
        <v>1037</v>
      </c>
      <c r="B138" s="66">
        <f t="shared" si="269"/>
        <v>5</v>
      </c>
      <c r="C138" s="66">
        <f t="shared" si="270"/>
        <v>7</v>
      </c>
      <c r="E138" s="66">
        <f t="shared" ref="E138" si="277">plan_id</f>
        <v>1952</v>
      </c>
      <c r="F138" s="66">
        <f t="shared" ca="1" si="267"/>
        <v>2016</v>
      </c>
      <c r="G138" s="66">
        <f t="shared" ref="G138" ca="1" si="278">VLOOKUP(INDIRECT(CHAR(39)&amp;$A138&amp;CHAR(39)&amp;"!r2c"&amp;$C138,0),variables,2,0)</f>
        <v>10865</v>
      </c>
      <c r="H138" s="71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47594</v>
      </c>
    </row>
    <row r="139" spans="1:8" x14ac:dyDescent="0.2">
      <c r="A139" s="66" t="s">
        <v>1037</v>
      </c>
      <c r="B139" s="66">
        <f t="shared" si="269"/>
        <v>5</v>
      </c>
      <c r="C139" s="66">
        <f t="shared" si="270"/>
        <v>8</v>
      </c>
      <c r="E139" s="66">
        <f t="shared" ref="E139" si="279">plan_id</f>
        <v>1952</v>
      </c>
      <c r="F139" s="66">
        <f t="shared" ca="1" si="267"/>
        <v>2016</v>
      </c>
      <c r="G139" s="66">
        <f t="shared" ref="G139" ca="1" si="280">VLOOKUP(INDIRECT(CHAR(39)&amp;$A139&amp;CHAR(39)&amp;"!r2c"&amp;$C139,0),variables,2,0)</f>
        <v>10866</v>
      </c>
      <c r="H139" s="71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82510</v>
      </c>
    </row>
    <row r="140" spans="1:8" x14ac:dyDescent="0.2">
      <c r="A140" s="66" t="s">
        <v>1037</v>
      </c>
      <c r="B140" s="66">
        <f t="shared" si="269"/>
        <v>5</v>
      </c>
      <c r="C140" s="66">
        <f t="shared" si="270"/>
        <v>9</v>
      </c>
      <c r="E140" s="66">
        <f t="shared" ref="E140" si="281">plan_id</f>
        <v>1952</v>
      </c>
      <c r="F140" s="66">
        <f t="shared" ca="1" si="267"/>
        <v>2016</v>
      </c>
      <c r="G140" s="66">
        <f t="shared" ref="G140" ca="1" si="282">VLOOKUP(INDIRECT(CHAR(39)&amp;$A140&amp;CHAR(39)&amp;"!r2c"&amp;$C140,0),variables,2,0)</f>
        <v>10867</v>
      </c>
      <c r="H140" s="71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374310</v>
      </c>
    </row>
    <row r="141" spans="1:8" x14ac:dyDescent="0.2">
      <c r="A141" s="66" t="s">
        <v>1037</v>
      </c>
      <c r="B141" s="66">
        <f t="shared" si="269"/>
        <v>5</v>
      </c>
      <c r="C141" s="66">
        <f t="shared" si="270"/>
        <v>10</v>
      </c>
      <c r="E141" s="66">
        <f t="shared" ref="E141" si="283">plan_id</f>
        <v>1952</v>
      </c>
      <c r="F141" s="66">
        <f t="shared" ca="1" si="267"/>
        <v>2016</v>
      </c>
      <c r="G141" s="66">
        <f t="shared" ref="G141" ca="1" si="284">VLOOKUP(INDIRECT(CHAR(39)&amp;$A141&amp;CHAR(39)&amp;"!r2c"&amp;$C141,0),variables,2,0)</f>
        <v>10868</v>
      </c>
      <c r="H141" s="71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708384</v>
      </c>
    </row>
    <row r="142" spans="1:8" x14ac:dyDescent="0.2">
      <c r="A142" s="66" t="s">
        <v>1037</v>
      </c>
      <c r="B142" s="66">
        <f t="shared" si="269"/>
        <v>5</v>
      </c>
      <c r="C142" s="66">
        <f t="shared" si="270"/>
        <v>11</v>
      </c>
      <c r="E142" s="66">
        <f t="shared" ref="E142" si="285">plan_id</f>
        <v>1952</v>
      </c>
      <c r="F142" s="66">
        <f t="shared" ca="1" si="267"/>
        <v>2016</v>
      </c>
      <c r="G142" s="66">
        <f t="shared" ref="G142" ca="1" si="286">VLOOKUP(INDIRECT(CHAR(39)&amp;$A142&amp;CHAR(39)&amp;"!r2c"&amp;$C142,0),variables,2,0)</f>
        <v>10869</v>
      </c>
      <c r="H142" s="7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7.0000000000000007E-2</v>
      </c>
    </row>
    <row r="143" spans="1:8" x14ac:dyDescent="0.2">
      <c r="A143" s="66" t="s">
        <v>1037</v>
      </c>
      <c r="B143" s="66">
        <f t="shared" si="269"/>
        <v>5</v>
      </c>
      <c r="C143" s="66">
        <f t="shared" si="270"/>
        <v>12</v>
      </c>
      <c r="E143" s="66">
        <f t="shared" ref="E143" si="287">plan_id</f>
        <v>1952</v>
      </c>
      <c r="F143" s="66">
        <f t="shared" ca="1" si="267"/>
        <v>2016</v>
      </c>
      <c r="G143" s="66">
        <f t="shared" ref="G143" ca="1" si="288">VLOOKUP(INDIRECT(CHAR(39)&amp;$A143&amp;CHAR(39)&amp;"!r2c"&amp;$C143,0),variables,2,0)</f>
        <v>10870</v>
      </c>
      <c r="H143" s="7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66" t="s">
        <v>1037</v>
      </c>
      <c r="B144" s="66">
        <f t="shared" si="269"/>
        <v>5</v>
      </c>
      <c r="C144" s="66">
        <f t="shared" si="270"/>
        <v>13</v>
      </c>
      <c r="E144" s="66">
        <f t="shared" ref="E144" si="289">plan_id</f>
        <v>1952</v>
      </c>
      <c r="F144" s="66">
        <f t="shared" ca="1" si="267"/>
        <v>2016</v>
      </c>
      <c r="G144" s="66">
        <f t="shared" ref="G144" ca="1" si="290">VLOOKUP(INDIRECT(CHAR(39)&amp;$A144&amp;CHAR(39)&amp;"!r2c"&amp;$C144,0),variables,2,0)</f>
        <v>10871</v>
      </c>
      <c r="H144" s="7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2">
      <c r="A145" s="66" t="s">
        <v>1037</v>
      </c>
      <c r="B145" s="66">
        <f t="shared" si="269"/>
        <v>5</v>
      </c>
      <c r="C145" s="66">
        <f t="shared" si="270"/>
        <v>14</v>
      </c>
      <c r="E145" s="66">
        <f t="shared" ref="E145" si="291">plan_id</f>
        <v>1952</v>
      </c>
      <c r="F145" s="66">
        <f t="shared" ca="1" si="267"/>
        <v>2016</v>
      </c>
      <c r="G145" s="66">
        <f t="shared" ref="G145" ca="1" si="292">VLOOKUP(INDIRECT(CHAR(39)&amp;$A145&amp;CHAR(39)&amp;"!r2c"&amp;$C145,0),variables,2,0)</f>
        <v>10872</v>
      </c>
      <c r="H145" s="71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2">
      <c r="A146" s="66" t="s">
        <v>1037</v>
      </c>
      <c r="B146" s="66">
        <f t="shared" si="269"/>
        <v>5</v>
      </c>
      <c r="C146" s="66">
        <f t="shared" si="270"/>
        <v>15</v>
      </c>
      <c r="E146" s="66">
        <f t="shared" ref="E146" si="293">plan_id</f>
        <v>1952</v>
      </c>
      <c r="F146" s="66">
        <f t="shared" ca="1" si="267"/>
        <v>2016</v>
      </c>
      <c r="G146" s="66">
        <f t="shared" ref="G146" ca="1" si="294">VLOOKUP(INDIRECT(CHAR(39)&amp;$A146&amp;CHAR(39)&amp;"!r2c"&amp;$C146,0),variables,2,0)</f>
        <v>10873</v>
      </c>
      <c r="H146" s="7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7.0000000000000007E-2</v>
      </c>
    </row>
    <row r="147" spans="1:8" x14ac:dyDescent="0.2">
      <c r="A147" s="66" t="s">
        <v>1037</v>
      </c>
      <c r="B147" s="66">
        <f t="shared" si="269"/>
        <v>5</v>
      </c>
      <c r="C147" s="66">
        <f t="shared" si="270"/>
        <v>16</v>
      </c>
      <c r="E147" s="66">
        <f t="shared" ref="E147" si="295">plan_id</f>
        <v>1952</v>
      </c>
      <c r="F147" s="66">
        <f t="shared" ca="1" si="267"/>
        <v>2016</v>
      </c>
      <c r="G147" s="66">
        <f t="shared" ref="G147" ca="1" si="296">VLOOKUP(INDIRECT(CHAR(39)&amp;$A147&amp;CHAR(39)&amp;"!r2c"&amp;$C147,0),variables,2,0)</f>
        <v>10874</v>
      </c>
      <c r="H147" s="7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7.0000000000000007E-2</v>
      </c>
    </row>
    <row r="148" spans="1:8" x14ac:dyDescent="0.2">
      <c r="A148" s="66" t="s">
        <v>1037</v>
      </c>
      <c r="B148" s="66">
        <f t="shared" si="269"/>
        <v>5</v>
      </c>
      <c r="C148" s="66">
        <f t="shared" si="270"/>
        <v>17</v>
      </c>
      <c r="E148" s="66">
        <f t="shared" ref="E148" si="297">plan_id</f>
        <v>1952</v>
      </c>
      <c r="F148" s="66">
        <f t="shared" ca="1" si="267"/>
        <v>2016</v>
      </c>
      <c r="G148" s="66">
        <f t="shared" ref="G148" ca="1" si="298">VLOOKUP(INDIRECT(CHAR(39)&amp;$A148&amp;CHAR(39)&amp;"!r2c"&amp;$C148,0),variables,2,0)</f>
        <v>10875</v>
      </c>
      <c r="H148" s="71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87958007000</v>
      </c>
    </row>
    <row r="149" spans="1:8" x14ac:dyDescent="0.2">
      <c r="A149" s="66" t="s">
        <v>1037</v>
      </c>
      <c r="B149" s="66">
        <f t="shared" si="269"/>
        <v>5</v>
      </c>
      <c r="C149" s="66">
        <f t="shared" si="270"/>
        <v>18</v>
      </c>
      <c r="E149" s="66">
        <f t="shared" ref="E149" si="299">plan_id</f>
        <v>1952</v>
      </c>
      <c r="F149" s="66">
        <f t="shared" ca="1" si="267"/>
        <v>2016</v>
      </c>
      <c r="G149" s="66">
        <f t="shared" ref="G149" ca="1" si="300">VLOOKUP(INDIRECT(CHAR(39)&amp;$A149&amp;CHAR(39)&amp;"!r2c"&amp;$C149,0),variables,2,0)</f>
        <v>10876</v>
      </c>
      <c r="H149" s="71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63954159000</v>
      </c>
    </row>
    <row r="150" spans="1:8" x14ac:dyDescent="0.2">
      <c r="A150" s="66" t="s">
        <v>1037</v>
      </c>
      <c r="B150" s="66">
        <f t="shared" si="269"/>
        <v>5</v>
      </c>
      <c r="C150" s="66">
        <f t="shared" si="270"/>
        <v>19</v>
      </c>
      <c r="E150" s="66">
        <f t="shared" ref="E150" si="301">plan_id</f>
        <v>1952</v>
      </c>
      <c r="F150" s="66">
        <f t="shared" ca="1" si="267"/>
        <v>2016</v>
      </c>
      <c r="G150" s="66">
        <f t="shared" ref="G150" ca="1" si="302">VLOOKUP(INDIRECT(CHAR(39)&amp;$A150&amp;CHAR(39)&amp;"!r2c"&amp;$C150,0),variables,2,0)</f>
        <v>10877</v>
      </c>
      <c r="H150" s="71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24003848000</v>
      </c>
    </row>
    <row r="151" spans="1:8" x14ac:dyDescent="0.2">
      <c r="A151" s="66" t="s">
        <v>1037</v>
      </c>
      <c r="B151" s="66">
        <f t="shared" si="269"/>
        <v>5</v>
      </c>
      <c r="C151" s="66">
        <f t="shared" si="270"/>
        <v>20</v>
      </c>
      <c r="E151" s="66">
        <f t="shared" ref="E151" si="303">plan_id</f>
        <v>1952</v>
      </c>
      <c r="F151" s="66">
        <f t="shared" ca="1" si="267"/>
        <v>2016</v>
      </c>
      <c r="G151" s="66">
        <f t="shared" ref="G151" ca="1" si="304">VLOOKUP(INDIRECT(CHAR(39)&amp;$A151&amp;CHAR(39)&amp;"!r2c"&amp;$C151,0),variables,2,0)</f>
        <v>10878</v>
      </c>
      <c r="H151" s="71" t="str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State: 71.29%; Teacher: 68.28%; Political Subdivision: 83.67%</v>
      </c>
    </row>
    <row r="152" spans="1:8" x14ac:dyDescent="0.2">
      <c r="A152" s="66" t="s">
        <v>1037</v>
      </c>
      <c r="B152" s="66">
        <f t="shared" si="269"/>
        <v>5</v>
      </c>
      <c r="C152" s="66">
        <f t="shared" si="270"/>
        <v>21</v>
      </c>
      <c r="E152" s="66">
        <f t="shared" ref="E152" si="305">plan_id</f>
        <v>1952</v>
      </c>
      <c r="F152" s="66">
        <f t="shared" ca="1" si="267"/>
        <v>2016</v>
      </c>
      <c r="G152" s="66">
        <f t="shared" ref="G152" ca="1" si="306">VLOOKUP(INDIRECT(CHAR(39)&amp;$A152&amp;CHAR(39)&amp;"!r2c"&amp;$C152,0),variables,2,0)</f>
        <v>10879</v>
      </c>
      <c r="H152" s="71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16231177000</v>
      </c>
    </row>
    <row r="153" spans="1:8" x14ac:dyDescent="0.2">
      <c r="A153" s="66" t="s">
        <v>1037</v>
      </c>
      <c r="B153" s="66">
        <f t="shared" si="269"/>
        <v>5</v>
      </c>
      <c r="C153" s="66">
        <f t="shared" si="270"/>
        <v>22</v>
      </c>
      <c r="E153" s="66">
        <f t="shared" ref="E153" si="307">plan_id</f>
        <v>1952</v>
      </c>
      <c r="F153" s="66">
        <f t="shared" ca="1" si="267"/>
        <v>2016</v>
      </c>
      <c r="G153" s="66">
        <f t="shared" ref="G153" ca="1" si="308">VLOOKUP(INDIRECT(CHAR(39)&amp;$A153&amp;CHAR(39)&amp;"!r2c"&amp;$C153,0),variables,2,0)</f>
        <v>10880</v>
      </c>
      <c r="H153" s="71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2132457000</v>
      </c>
    </row>
    <row r="154" spans="1:8" x14ac:dyDescent="0.2">
      <c r="A154" s="66" t="s">
        <v>1037</v>
      </c>
      <c r="B154" s="66">
        <f t="shared" si="269"/>
        <v>5</v>
      </c>
      <c r="C154" s="66">
        <f t="shared" si="270"/>
        <v>23</v>
      </c>
      <c r="E154" s="66">
        <f t="shared" ref="E154" si="309">plan_id</f>
        <v>1952</v>
      </c>
      <c r="F154" s="66">
        <f t="shared" ca="1" si="267"/>
        <v>2016</v>
      </c>
      <c r="G154" s="66">
        <f t="shared" ref="G154" ca="1" si="310">VLOOKUP(INDIRECT(CHAR(39)&amp;$A154&amp;CHAR(39)&amp;"!r2c"&amp;$C154,0),variables,2,0)</f>
        <v>10881</v>
      </c>
      <c r="H154" s="71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2132651000</v>
      </c>
    </row>
    <row r="155" spans="1:8" x14ac:dyDescent="0.2">
      <c r="A155" s="66" t="s">
        <v>1037</v>
      </c>
      <c r="B155" s="66">
        <f t="shared" si="269"/>
        <v>5</v>
      </c>
      <c r="C155" s="66">
        <f t="shared" si="270"/>
        <v>24</v>
      </c>
      <c r="E155" s="66">
        <f t="shared" ref="E155" si="311">plan_id</f>
        <v>1952</v>
      </c>
      <c r="F155" s="66">
        <f t="shared" ca="1" si="267"/>
        <v>2016</v>
      </c>
      <c r="G155" s="66">
        <f t="shared" ref="G155" ca="1" si="312">VLOOKUP(INDIRECT(CHAR(39)&amp;$A155&amp;CHAR(39)&amp;"!r2c"&amp;$C155,0),variables,2,0)</f>
        <v>10882</v>
      </c>
      <c r="H155" s="71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1212311000</v>
      </c>
    </row>
    <row r="156" spans="1:8" x14ac:dyDescent="0.2">
      <c r="A156" s="66" t="s">
        <v>1037</v>
      </c>
      <c r="B156" s="66">
        <f t="shared" si="269"/>
        <v>5</v>
      </c>
      <c r="C156" s="66">
        <f t="shared" si="270"/>
        <v>25</v>
      </c>
      <c r="E156" s="66">
        <f t="shared" ref="E156" si="313">plan_id</f>
        <v>1952</v>
      </c>
      <c r="F156" s="66">
        <f t="shared" ca="1" si="267"/>
        <v>2016</v>
      </c>
      <c r="G156" s="66">
        <f t="shared" ref="G156" ca="1" si="314">VLOOKUP(INDIRECT(CHAR(39)&amp;$A156&amp;CHAR(39)&amp;"!r2c"&amp;$C156,0),variables,2,0)</f>
        <v>10883</v>
      </c>
      <c r="H156" s="7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0.15573744282377058</v>
      </c>
    </row>
    <row r="157" spans="1:8" x14ac:dyDescent="0.2">
      <c r="A157" s="66" t="s">
        <v>1037</v>
      </c>
      <c r="B157" s="66">
        <f t="shared" si="269"/>
        <v>5</v>
      </c>
      <c r="C157" s="66">
        <f t="shared" si="270"/>
        <v>26</v>
      </c>
      <c r="E157" s="66">
        <f t="shared" ref="E157" si="315">plan_id</f>
        <v>1952</v>
      </c>
      <c r="F157" s="66">
        <f t="shared" ca="1" si="267"/>
        <v>2016</v>
      </c>
      <c r="G157" s="66">
        <f t="shared" ref="G157" ca="1" si="316">VLOOKUP(INDIRECT(CHAR(39)&amp;$A157&amp;CHAR(39)&amp;"!r2c"&amp;$C157,0),variables,2,0)</f>
        <v>10884</v>
      </c>
      <c r="H157" s="7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0.13422242884788946</v>
      </c>
    </row>
    <row r="158" spans="1:8" x14ac:dyDescent="0.2">
      <c r="A158" s="66" t="s">
        <v>1037</v>
      </c>
      <c r="B158" s="66">
        <f t="shared" si="269"/>
        <v>5</v>
      </c>
      <c r="C158" s="66">
        <f t="shared" si="270"/>
        <v>27</v>
      </c>
      <c r="E158" s="66">
        <f t="shared" ref="E158" si="317">plan_id</f>
        <v>1952</v>
      </c>
      <c r="F158" s="66">
        <f t="shared" ca="1" si="267"/>
        <v>2016</v>
      </c>
      <c r="G158" s="66">
        <f t="shared" ref="G158" ca="1" si="318">VLOOKUP(INDIRECT(CHAR(39)&amp;$A158&amp;CHAR(39)&amp;"!r2c"&amp;$C158,0),variables,2,0)</f>
        <v>10885</v>
      </c>
      <c r="H158" s="71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2527802000</v>
      </c>
    </row>
    <row r="159" spans="1:8" x14ac:dyDescent="0.2">
      <c r="A159" s="66" t="s">
        <v>1037</v>
      </c>
      <c r="B159" s="66">
        <f t="shared" si="269"/>
        <v>5</v>
      </c>
      <c r="C159" s="66">
        <f t="shared" si="270"/>
        <v>28</v>
      </c>
      <c r="E159" s="66">
        <f t="shared" ref="E159" si="319">plan_id</f>
        <v>1952</v>
      </c>
      <c r="F159" s="66">
        <f t="shared" ca="1" si="267"/>
        <v>2016</v>
      </c>
      <c r="G159" s="66">
        <f t="shared" ref="G159" ca="1" si="320">VLOOKUP(INDIRECT(CHAR(39)&amp;$A159&amp;CHAR(39)&amp;"!r2c"&amp;$C159,0),variables,2,0)</f>
        <v>10886</v>
      </c>
      <c r="H159" s="71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2178588000</v>
      </c>
    </row>
    <row r="160" spans="1:8" x14ac:dyDescent="0.2">
      <c r="A160" s="66" t="s">
        <v>1037</v>
      </c>
      <c r="B160" s="66">
        <f t="shared" si="269"/>
        <v>5</v>
      </c>
      <c r="C160" s="66">
        <f t="shared" si="270"/>
        <v>29</v>
      </c>
      <c r="E160" s="66">
        <f t="shared" ref="E160" si="321">plan_id</f>
        <v>1952</v>
      </c>
      <c r="F160" s="66">
        <f t="shared" ca="1" si="267"/>
        <v>2016</v>
      </c>
      <c r="G160" s="66">
        <f t="shared" ref="G160" ca="1" si="322">VLOOKUP(INDIRECT(CHAR(39)&amp;$A160&amp;CHAR(39)&amp;"!r2c"&amp;$C160,0),variables,2,0)</f>
        <v>10887</v>
      </c>
      <c r="H160" s="71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349214000</v>
      </c>
    </row>
    <row r="161" spans="1:8" x14ac:dyDescent="0.2">
      <c r="A161" s="66" t="s">
        <v>1037</v>
      </c>
      <c r="B161" s="66">
        <f t="shared" si="269"/>
        <v>5</v>
      </c>
      <c r="C161" s="66">
        <f t="shared" si="270"/>
        <v>30</v>
      </c>
      <c r="E161" s="66">
        <f t="shared" ref="E161" si="323">plan_id</f>
        <v>1952</v>
      </c>
      <c r="F161" s="66">
        <f t="shared" ca="1" si="267"/>
        <v>2016</v>
      </c>
      <c r="G161" s="66">
        <f t="shared" ref="G161" ca="1" si="324">VLOOKUP(INDIRECT(CHAR(39)&amp;$A161&amp;CHAR(39)&amp;"!r2c"&amp;$C161,0),variables,2,0)</f>
        <v>10883</v>
      </c>
      <c r="H161" s="7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0.86185073039739668</v>
      </c>
    </row>
    <row r="162" spans="1:8" x14ac:dyDescent="0.2">
      <c r="A162" s="66" t="s">
        <v>1037</v>
      </c>
      <c r="B162" s="66">
        <f t="shared" si="269"/>
        <v>5</v>
      </c>
      <c r="C162" s="66">
        <f t="shared" si="270"/>
        <v>31</v>
      </c>
      <c r="E162" s="66">
        <f t="shared" ref="E162" si="325">plan_id</f>
        <v>1952</v>
      </c>
      <c r="F162" s="66">
        <f t="shared" ca="1" si="267"/>
        <v>2016</v>
      </c>
      <c r="G162" s="66">
        <f t="shared" ref="G162" ca="1" si="326">VLOOKUP(INDIRECT(CHAR(39)&amp;$A162&amp;CHAR(39)&amp;"!r2c"&amp;$C162,0),variables,2,0)</f>
        <v>10889</v>
      </c>
      <c r="H162" s="71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1733957000</v>
      </c>
    </row>
    <row r="163" spans="1:8" x14ac:dyDescent="0.2">
      <c r="A163" s="66" t="s">
        <v>1037</v>
      </c>
      <c r="B163" s="66">
        <f t="shared" si="269"/>
        <v>5</v>
      </c>
      <c r="C163" s="66">
        <f t="shared" si="270"/>
        <v>32</v>
      </c>
      <c r="E163" s="66">
        <f t="shared" ref="E163" si="327">plan_id</f>
        <v>1952</v>
      </c>
      <c r="F163" s="66">
        <f t="shared" ca="1" si="267"/>
        <v>2016</v>
      </c>
      <c r="G163" s="66">
        <f t="shared" ref="G163" ca="1" si="328">VLOOKUP(INDIRECT(CHAR(39)&amp;$A163&amp;CHAR(39)&amp;"!r2c"&amp;$C163,0),variables,2,0)</f>
        <v>10890</v>
      </c>
      <c r="H163" s="71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5827698000</v>
      </c>
    </row>
    <row r="164" spans="1:8" x14ac:dyDescent="0.2">
      <c r="A164" s="66" t="s">
        <v>1037</v>
      </c>
      <c r="B164" s="66">
        <f t="shared" si="269"/>
        <v>5</v>
      </c>
      <c r="C164" s="66">
        <f t="shared" si="270"/>
        <v>33</v>
      </c>
      <c r="E164" s="66">
        <f t="shared" ref="E164" si="329">plan_id</f>
        <v>1952</v>
      </c>
      <c r="F164" s="66">
        <f t="shared" ca="1" si="267"/>
        <v>2016</v>
      </c>
      <c r="G164" s="66">
        <f t="shared" ref="G164" ca="1" si="330">VLOOKUP(INDIRECT(CHAR(39)&amp;$A164&amp;CHAR(39)&amp;"!r2c"&amp;$C164,0),variables,2,0)</f>
        <v>10891</v>
      </c>
      <c r="H164" s="71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2053000</v>
      </c>
    </row>
    <row r="165" spans="1:8" x14ac:dyDescent="0.2">
      <c r="A165" s="66" t="s">
        <v>1037</v>
      </c>
      <c r="B165" s="66">
        <f t="shared" si="269"/>
        <v>5</v>
      </c>
      <c r="C165" s="66">
        <f t="shared" si="270"/>
        <v>34</v>
      </c>
      <c r="E165" s="66">
        <f t="shared" ref="E165" si="331">plan_id</f>
        <v>1952</v>
      </c>
      <c r="F165" s="66">
        <f t="shared" ca="1" si="267"/>
        <v>2016</v>
      </c>
      <c r="G165" s="66">
        <f t="shared" ref="G165" ca="1" si="332">VLOOKUP(INDIRECT(CHAR(39)&amp;$A165&amp;CHAR(39)&amp;"!r2c"&amp;$C165,0),variables,2,0)</f>
        <v>10892</v>
      </c>
      <c r="H165" s="71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-167097000</v>
      </c>
    </row>
    <row r="166" spans="1:8" x14ac:dyDescent="0.2">
      <c r="A166" s="66" t="s">
        <v>1037</v>
      </c>
      <c r="B166" s="66">
        <f t="shared" si="269"/>
        <v>5</v>
      </c>
      <c r="C166" s="66">
        <f t="shared" si="270"/>
        <v>35</v>
      </c>
      <c r="E166" s="66">
        <f t="shared" ref="E166" si="333">plan_id</f>
        <v>1952</v>
      </c>
      <c r="F166" s="66">
        <f t="shared" ca="1" si="267"/>
        <v>2016</v>
      </c>
      <c r="G166" s="66">
        <f t="shared" ref="G166" ca="1" si="334">VLOOKUP(INDIRECT(CHAR(39)&amp;$A166&amp;CHAR(39)&amp;"!r2c"&amp;$C166,0),variables,2,0)</f>
        <v>10893</v>
      </c>
      <c r="H166" s="71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66" t="s">
        <v>1037</v>
      </c>
      <c r="B167" s="66">
        <f t="shared" si="269"/>
        <v>5</v>
      </c>
      <c r="C167" s="66">
        <f t="shared" si="270"/>
        <v>36</v>
      </c>
      <c r="E167" s="66">
        <f t="shared" ref="E167" si="335">plan_id</f>
        <v>1952</v>
      </c>
      <c r="F167" s="66">
        <f t="shared" ca="1" si="267"/>
        <v>2016</v>
      </c>
      <c r="G167" s="66">
        <f t="shared" ref="G167" ca="1" si="336">VLOOKUP(INDIRECT(CHAR(39)&amp;$A167&amp;CHAR(39)&amp;"!r2c"&amp;$C167,0),variables,2,0)</f>
        <v>10894</v>
      </c>
      <c r="H167" s="71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-812432000</v>
      </c>
    </row>
    <row r="168" spans="1:8" x14ac:dyDescent="0.2">
      <c r="A168" s="66" t="s">
        <v>1037</v>
      </c>
      <c r="B168" s="66">
        <f t="shared" si="269"/>
        <v>5</v>
      </c>
      <c r="C168" s="66">
        <f t="shared" si="270"/>
        <v>37</v>
      </c>
      <c r="E168" s="66">
        <f t="shared" ref="E168" si="337">plan_id</f>
        <v>1952</v>
      </c>
      <c r="F168" s="66">
        <f t="shared" ca="1" si="267"/>
        <v>2016</v>
      </c>
      <c r="G168" s="66">
        <f t="shared" ref="G168" ca="1" si="338">VLOOKUP(INDIRECT(CHAR(39)&amp;$A168&amp;CHAR(39)&amp;"!r2c"&amp;$C168,0),variables,2,0)</f>
        <v>10895</v>
      </c>
      <c r="H168" s="71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-4440974000</v>
      </c>
    </row>
    <row r="169" spans="1:8" x14ac:dyDescent="0.2">
      <c r="A169" s="66" t="s">
        <v>1037</v>
      </c>
      <c r="B169" s="66">
        <f t="shared" si="269"/>
        <v>5</v>
      </c>
      <c r="C169" s="66">
        <f t="shared" si="270"/>
        <v>38</v>
      </c>
      <c r="E169" s="66">
        <f t="shared" ref="E169" si="339">plan_id</f>
        <v>1952</v>
      </c>
      <c r="F169" s="66">
        <f t="shared" ca="1" si="267"/>
        <v>2016</v>
      </c>
      <c r="G169" s="66">
        <f t="shared" ref="G169" ca="1" si="340">VLOOKUP(INDIRECT(CHAR(39)&amp;$A169&amp;CHAR(39)&amp;"!r2c"&amp;$C169,0),variables,2,0)</f>
        <v>10896</v>
      </c>
      <c r="H169" s="71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669221000</v>
      </c>
    </row>
    <row r="170" spans="1:8" x14ac:dyDescent="0.2">
      <c r="A170" s="66" t="s">
        <v>1037</v>
      </c>
      <c r="B170" s="66">
        <f t="shared" si="269"/>
        <v>5</v>
      </c>
      <c r="C170" s="66">
        <f t="shared" si="270"/>
        <v>39</v>
      </c>
      <c r="E170" s="66">
        <f t="shared" ref="E170" si="341">plan_id</f>
        <v>1952</v>
      </c>
      <c r="F170" s="66">
        <f t="shared" ca="1" si="267"/>
        <v>2016</v>
      </c>
      <c r="G170" s="66">
        <f t="shared" ref="G170" ca="1" si="342">VLOOKUP(INDIRECT(CHAR(39)&amp;$A170&amp;CHAR(39)&amp;"!r2c"&amp;$C170,0),variables,2,0)</f>
        <v>10897</v>
      </c>
      <c r="H170" s="71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39695000</v>
      </c>
    </row>
    <row r="171" spans="1:8" x14ac:dyDescent="0.2">
      <c r="A171" s="66" t="s">
        <v>1037</v>
      </c>
      <c r="B171" s="66">
        <f t="shared" si="269"/>
        <v>5</v>
      </c>
      <c r="C171" s="66">
        <f t="shared" si="270"/>
        <v>40</v>
      </c>
      <c r="E171" s="66">
        <f t="shared" ref="E171" si="343">plan_id</f>
        <v>1952</v>
      </c>
      <c r="F171" s="66">
        <f t="shared" ca="1" si="267"/>
        <v>2016</v>
      </c>
      <c r="G171" s="66">
        <f t="shared" ref="G171" ca="1" si="344">VLOOKUP(INDIRECT(CHAR(39)&amp;$A171&amp;CHAR(39)&amp;"!r2c"&amp;$C171,0),variables,2,0)</f>
        <v>10898</v>
      </c>
      <c r="H171" s="71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323970000</v>
      </c>
    </row>
    <row r="172" spans="1:8" x14ac:dyDescent="0.2">
      <c r="A172" s="66" t="s">
        <v>1037</v>
      </c>
      <c r="B172" s="66">
        <f t="shared" si="269"/>
        <v>5</v>
      </c>
      <c r="C172" s="66">
        <f t="shared" si="270"/>
        <v>41</v>
      </c>
      <c r="E172" s="66">
        <f t="shared" ref="E172" si="345">plan_id</f>
        <v>1952</v>
      </c>
      <c r="F172" s="66">
        <f t="shared" ca="1" si="267"/>
        <v>2016</v>
      </c>
      <c r="G172" s="66">
        <f t="shared" ref="G172" ca="1" si="346">VLOOKUP(INDIRECT(CHAR(39)&amp;$A172&amp;CHAR(39)&amp;"!r2c"&amp;$C172,0),variables,2,0)</f>
        <v>10899</v>
      </c>
      <c r="H172" s="71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-1044108000</v>
      </c>
    </row>
    <row r="173" spans="1:8" x14ac:dyDescent="0.2">
      <c r="A173" s="66" t="s">
        <v>1037</v>
      </c>
      <c r="B173" s="66">
        <f t="shared" si="269"/>
        <v>5</v>
      </c>
      <c r="C173" s="66">
        <f t="shared" si="270"/>
        <v>42</v>
      </c>
      <c r="E173" s="66">
        <f t="shared" ref="E173" si="347">plan_id</f>
        <v>1952</v>
      </c>
      <c r="F173" s="66">
        <f t="shared" ca="1" si="267"/>
        <v>2016</v>
      </c>
      <c r="G173" s="66">
        <f t="shared" ref="G173" ca="1" si="348">VLOOKUP(INDIRECT(CHAR(39)&amp;$A173&amp;CHAR(39)&amp;"!r2c"&amp;$C173,0),variables,2,0)</f>
        <v>11006</v>
      </c>
      <c r="H173" s="71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474000</v>
      </c>
    </row>
    <row r="174" spans="1:8" x14ac:dyDescent="0.2">
      <c r="A174" s="66" t="s">
        <v>1037</v>
      </c>
      <c r="B174" s="66">
        <f t="shared" si="269"/>
        <v>5</v>
      </c>
      <c r="C174" s="66">
        <f t="shared" si="270"/>
        <v>43</v>
      </c>
      <c r="E174" s="66">
        <f t="shared" ref="E174" si="349">plan_id</f>
        <v>1952</v>
      </c>
      <c r="F174" s="66">
        <f t="shared" ca="1" si="267"/>
        <v>2016</v>
      </c>
      <c r="G174" s="66">
        <f t="shared" ref="G174" ca="1" si="350">VLOOKUP(INDIRECT(CHAR(39)&amp;$A174&amp;CHAR(39)&amp;"!r2c"&amp;$C174,0),variables,2,0)</f>
        <v>10900</v>
      </c>
      <c r="H174" s="71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2132457000</v>
      </c>
    </row>
    <row r="175" spans="1:8" x14ac:dyDescent="0.2">
      <c r="A175" s="66" t="s">
        <v>1037</v>
      </c>
      <c r="B175" s="66">
        <f t="shared" si="269"/>
        <v>5</v>
      </c>
      <c r="C175" s="66">
        <f t="shared" si="270"/>
        <v>44</v>
      </c>
      <c r="E175" s="66">
        <f t="shared" ref="E175" si="351">plan_id</f>
        <v>1952</v>
      </c>
      <c r="F175" s="66">
        <f t="shared" ca="1" si="267"/>
        <v>2016</v>
      </c>
      <c r="G175" s="66">
        <f t="shared" ref="G175" ca="1" si="352">VLOOKUP(INDIRECT(CHAR(39)&amp;$A175&amp;CHAR(39)&amp;"!r2c"&amp;$C175,0),variables,2,0)</f>
        <v>10901</v>
      </c>
      <c r="H175" s="71" t="str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State Employees &amp; Teachers: 6%; Political Sub: 2.01%</v>
      </c>
    </row>
    <row r="176" spans="1:8" x14ac:dyDescent="0.2">
      <c r="A176" s="66" t="s">
        <v>1037</v>
      </c>
      <c r="B176" s="66">
        <f t="shared" si="269"/>
        <v>5</v>
      </c>
      <c r="C176" s="66">
        <f t="shared" si="270"/>
        <v>45</v>
      </c>
      <c r="E176" s="66">
        <f t="shared" ref="E176" si="353">plan_id</f>
        <v>1952</v>
      </c>
      <c r="F176" s="66">
        <f t="shared" ca="1" si="267"/>
        <v>2016</v>
      </c>
      <c r="G176" s="66">
        <f t="shared" ref="G176" ca="1" si="354">VLOOKUP(INDIRECT(CHAR(39)&amp;$A176&amp;CHAR(39)&amp;"!r2c"&amp;$C176,0),variables,2,0)</f>
        <v>10902</v>
      </c>
      <c r="H176" s="71" t="str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State Employees &amp; Teachers: 7%; Political Sub: 3.01%</v>
      </c>
    </row>
    <row r="177" spans="1:8" x14ac:dyDescent="0.2">
      <c r="A177" s="66" t="s">
        <v>1037</v>
      </c>
      <c r="B177" s="66">
        <f t="shared" si="269"/>
        <v>5</v>
      </c>
      <c r="C177" s="66">
        <f t="shared" si="270"/>
        <v>46</v>
      </c>
      <c r="E177" s="66">
        <f t="shared" ref="E177" si="355">plan_id</f>
        <v>1952</v>
      </c>
      <c r="F177" s="66">
        <f t="shared" ca="1" si="267"/>
        <v>2016</v>
      </c>
      <c r="G177" s="66">
        <f t="shared" ref="G177" ca="1" si="356">VLOOKUP(INDIRECT(CHAR(39)&amp;$A177&amp;CHAR(39)&amp;"!r2c"&amp;$C177,0),variables,2,0)</f>
        <v>10903</v>
      </c>
      <c r="H177" s="71" t="str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State Employees &amp; Teachers: 8%; Political Sub: 4.01%</v>
      </c>
    </row>
    <row r="178" spans="1:8" x14ac:dyDescent="0.2">
      <c r="A178" s="66" t="s">
        <v>1037</v>
      </c>
      <c r="B178" s="66">
        <f t="shared" si="269"/>
        <v>5</v>
      </c>
      <c r="C178" s="66">
        <f t="shared" si="270"/>
        <v>47</v>
      </c>
      <c r="E178" s="66">
        <f t="shared" ref="E178" si="357">plan_id</f>
        <v>1952</v>
      </c>
      <c r="F178" s="66">
        <f t="shared" ca="1" si="267"/>
        <v>2016</v>
      </c>
      <c r="G178" s="66">
        <f t="shared" ref="G178" ca="1" si="358">VLOOKUP(INDIRECT(CHAR(39)&amp;$A178&amp;CHAR(39)&amp;"!r2c"&amp;$C178,0),variables,2,0)</f>
        <v>10904</v>
      </c>
      <c r="H178" s="71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35360654000</v>
      </c>
    </row>
    <row r="179" spans="1:8" x14ac:dyDescent="0.2">
      <c r="A179" s="66" t="s">
        <v>1037</v>
      </c>
      <c r="B179" s="66">
        <f t="shared" si="269"/>
        <v>5</v>
      </c>
      <c r="C179" s="66">
        <f t="shared" si="270"/>
        <v>48</v>
      </c>
      <c r="E179" s="66">
        <f t="shared" ref="E179" si="359">plan_id</f>
        <v>1952</v>
      </c>
      <c r="F179" s="66">
        <f t="shared" ca="1" si="267"/>
        <v>2016</v>
      </c>
      <c r="G179" s="66">
        <f t="shared" ref="G179" ca="1" si="360">VLOOKUP(INDIRECT(CHAR(39)&amp;$A179&amp;CHAR(39)&amp;"!r2c"&amp;$C179,0),variables,2,0)</f>
        <v>10905</v>
      </c>
      <c r="H179" s="71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24003848000</v>
      </c>
    </row>
    <row r="180" spans="1:8" x14ac:dyDescent="0.2">
      <c r="A180" s="66" t="s">
        <v>1037</v>
      </c>
      <c r="B180" s="66">
        <f t="shared" si="269"/>
        <v>5</v>
      </c>
      <c r="C180" s="66">
        <f t="shared" si="270"/>
        <v>49</v>
      </c>
      <c r="E180" s="66">
        <f t="shared" ref="E180" si="361">plan_id</f>
        <v>1952</v>
      </c>
      <c r="F180" s="66">
        <f t="shared" ca="1" si="267"/>
        <v>2016</v>
      </c>
      <c r="G180" s="66">
        <f t="shared" ref="G180" ca="1" si="362">VLOOKUP(INDIRECT(CHAR(39)&amp;$A180&amp;CHAR(39)&amp;"!r2c"&amp;$C180,0),variables,2,0)</f>
        <v>10906</v>
      </c>
      <c r="H180" s="71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14584526000</v>
      </c>
    </row>
    <row r="181" spans="1:8" x14ac:dyDescent="0.2">
      <c r="A181" s="66" t="s">
        <v>1037</v>
      </c>
      <c r="B181" s="66">
        <f t="shared" si="269"/>
        <v>5</v>
      </c>
      <c r="C181" s="66">
        <f t="shared" si="270"/>
        <v>50</v>
      </c>
      <c r="E181" s="66">
        <f t="shared" ref="E181" si="363">plan_id</f>
        <v>1952</v>
      </c>
      <c r="F181" s="66">
        <f t="shared" ca="1" si="267"/>
        <v>2016</v>
      </c>
      <c r="G181" s="66">
        <f t="shared" ref="G181" ca="1" si="364">VLOOKUP(INDIRECT(CHAR(39)&amp;$A181&amp;CHAR(39)&amp;"!r2c"&amp;$C181,0),variables,2,0)</f>
        <v>10907</v>
      </c>
      <c r="H181" s="71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State Employees: 3.71; Teachers: 5.42</v>
      </c>
    </row>
    <row r="182" spans="1:8" x14ac:dyDescent="0.2">
      <c r="A182" s="66" t="s">
        <v>1037</v>
      </c>
      <c r="B182" s="66">
        <f t="shared" si="269"/>
        <v>5</v>
      </c>
      <c r="C182" s="66">
        <f t="shared" si="270"/>
        <v>51</v>
      </c>
      <c r="E182" s="66">
        <f t="shared" ref="E182" si="365">plan_id</f>
        <v>1952</v>
      </c>
      <c r="F182" s="66">
        <f t="shared" ca="1" si="267"/>
        <v>2016</v>
      </c>
      <c r="G182" s="66">
        <f t="shared" ref="G182" ca="1" si="366">VLOOKUP(INDIRECT(CHAR(39)&amp;$A182&amp;CHAR(39)&amp;"!r2c"&amp;$C182,0),variables,2,0)</f>
        <v>10860</v>
      </c>
      <c r="H182" s="71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85386606000</v>
      </c>
    </row>
    <row r="183" spans="1:8" x14ac:dyDescent="0.2">
      <c r="A183" s="66" t="s">
        <v>1037</v>
      </c>
      <c r="B183" s="66">
        <f t="shared" si="269"/>
        <v>5</v>
      </c>
      <c r="C183" s="66">
        <f t="shared" si="270"/>
        <v>52</v>
      </c>
      <c r="E183" s="66">
        <f t="shared" ref="E183" si="367">plan_id</f>
        <v>1952</v>
      </c>
      <c r="F183" s="66">
        <f t="shared" ca="1" si="267"/>
        <v>2016</v>
      </c>
      <c r="G183" s="66">
        <f t="shared" ref="G183" ca="1" si="368">VLOOKUP(INDIRECT(CHAR(39)&amp;$A183&amp;CHAR(39)&amp;"!r2c"&amp;$C183,0),variables,2,0)</f>
        <v>10909</v>
      </c>
      <c r="H183" s="71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1733957000</v>
      </c>
    </row>
    <row r="184" spans="1:8" x14ac:dyDescent="0.2">
      <c r="A184" s="66" t="s">
        <v>1037</v>
      </c>
      <c r="B184" s="66">
        <f t="shared" si="269"/>
        <v>5</v>
      </c>
      <c r="C184" s="66">
        <f t="shared" si="270"/>
        <v>53</v>
      </c>
      <c r="E184" s="66">
        <f t="shared" ref="E184" si="369">plan_id</f>
        <v>1952</v>
      </c>
      <c r="F184" s="66">
        <f t="shared" ca="1" si="267"/>
        <v>2016</v>
      </c>
      <c r="G184" s="66">
        <f t="shared" ref="G184" ca="1" si="370">VLOOKUP(INDIRECT(CHAR(39)&amp;$A184&amp;CHAR(39)&amp;"!r2c"&amp;$C184,0),variables,2,0)</f>
        <v>10910</v>
      </c>
      <c r="H184" s="71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5827721000</v>
      </c>
    </row>
    <row r="185" spans="1:8" x14ac:dyDescent="0.2">
      <c r="A185" s="66" t="s">
        <v>1037</v>
      </c>
      <c r="B185" s="66">
        <f t="shared" si="269"/>
        <v>5</v>
      </c>
      <c r="C185" s="66">
        <f t="shared" si="270"/>
        <v>54</v>
      </c>
      <c r="E185" s="66">
        <f t="shared" ref="E185" si="371">plan_id</f>
        <v>1952</v>
      </c>
      <c r="F185" s="66">
        <f t="shared" ca="1" si="267"/>
        <v>2016</v>
      </c>
      <c r="G185" s="66">
        <f t="shared" ref="G185" ca="1" si="372">VLOOKUP(INDIRECT(CHAR(39)&amp;$A185&amp;CHAR(39)&amp;"!r2c"&amp;$C185,0),variables,2,0)</f>
        <v>10911</v>
      </c>
      <c r="H185" s="71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2053000</v>
      </c>
    </row>
    <row r="186" spans="1:8" x14ac:dyDescent="0.2">
      <c r="A186" s="66" t="s">
        <v>1037</v>
      </c>
      <c r="B186" s="66">
        <f t="shared" si="269"/>
        <v>5</v>
      </c>
      <c r="C186" s="66">
        <f t="shared" si="270"/>
        <v>55</v>
      </c>
      <c r="E186" s="66">
        <f t="shared" ref="E186" si="373">plan_id</f>
        <v>1952</v>
      </c>
      <c r="F186" s="66">
        <f t="shared" ca="1" si="267"/>
        <v>2016</v>
      </c>
      <c r="G186" s="66">
        <f t="shared" ref="G186" ca="1" si="374">VLOOKUP(INDIRECT(CHAR(39)&amp;$A186&amp;CHAR(39)&amp;"!r2c"&amp;$C186,0),variables,2,0)</f>
        <v>10912</v>
      </c>
      <c r="H186" s="71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-724791000</v>
      </c>
    </row>
    <row r="187" spans="1:8" x14ac:dyDescent="0.2">
      <c r="A187" s="66" t="s">
        <v>1037</v>
      </c>
      <c r="B187" s="66">
        <f t="shared" si="269"/>
        <v>5</v>
      </c>
      <c r="C187" s="66">
        <f t="shared" si="270"/>
        <v>56</v>
      </c>
      <c r="E187" s="66">
        <f t="shared" ref="E187" si="375">plan_id</f>
        <v>1952</v>
      </c>
      <c r="F187" s="66">
        <f t="shared" ca="1" si="267"/>
        <v>2016</v>
      </c>
      <c r="G187" s="66">
        <f t="shared" ref="G187" ca="1" si="376">VLOOKUP(INDIRECT(CHAR(39)&amp;$A187&amp;CHAR(39)&amp;"!r2c"&amp;$C187,0),variables,2,0)</f>
        <v>10913</v>
      </c>
      <c r="H187" s="71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66" t="s">
        <v>1037</v>
      </c>
      <c r="B188" s="66">
        <f t="shared" si="269"/>
        <v>5</v>
      </c>
      <c r="C188" s="66">
        <f t="shared" si="270"/>
        <v>57</v>
      </c>
      <c r="E188" s="66">
        <f t="shared" ref="E188" si="377">plan_id</f>
        <v>1952</v>
      </c>
      <c r="F188" s="66">
        <f t="shared" ca="1" si="267"/>
        <v>2016</v>
      </c>
      <c r="G188" s="66">
        <f t="shared" ref="G188" ca="1" si="378">VLOOKUP(INDIRECT(CHAR(39)&amp;$A188&amp;CHAR(39)&amp;"!r2c"&amp;$C188,0),variables,2,0)</f>
        <v>10914</v>
      </c>
      <c r="H188" s="71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2328902000</v>
      </c>
    </row>
    <row r="189" spans="1:8" x14ac:dyDescent="0.2">
      <c r="A189" s="66" t="s">
        <v>1037</v>
      </c>
      <c r="B189" s="66">
        <f t="shared" si="269"/>
        <v>5</v>
      </c>
      <c r="C189" s="66">
        <f t="shared" si="270"/>
        <v>58</v>
      </c>
      <c r="E189" s="66">
        <f t="shared" ref="E189" si="379">plan_id</f>
        <v>1952</v>
      </c>
      <c r="F189" s="66">
        <f t="shared" ca="1" si="267"/>
        <v>2016</v>
      </c>
      <c r="G189" s="66">
        <f t="shared" ref="G189" ca="1" si="380">VLOOKUP(INDIRECT(CHAR(39)&amp;$A189&amp;CHAR(39)&amp;"!r2c"&amp;$C189,0),variables,2,0)</f>
        <v>10915</v>
      </c>
      <c r="H189" s="71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812432000</v>
      </c>
    </row>
    <row r="190" spans="1:8" x14ac:dyDescent="0.2">
      <c r="A190" s="66" t="s">
        <v>1037</v>
      </c>
      <c r="B190" s="66">
        <f t="shared" si="269"/>
        <v>5</v>
      </c>
      <c r="C190" s="66">
        <f t="shared" si="270"/>
        <v>59</v>
      </c>
      <c r="E190" s="66">
        <f t="shared" ref="E190" si="381">plan_id</f>
        <v>1952</v>
      </c>
      <c r="F190" s="66">
        <f t="shared" ca="1" si="267"/>
        <v>2016</v>
      </c>
      <c r="G190" s="66">
        <f t="shared" ref="G190" ca="1" si="382">VLOOKUP(INDIRECT(CHAR(39)&amp;$A190&amp;CHAR(39)&amp;"!r2c"&amp;$C190,0),variables,2,0)</f>
        <v>10916</v>
      </c>
      <c r="H190" s="71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1094865000</v>
      </c>
    </row>
    <row r="191" spans="1:8" x14ac:dyDescent="0.2">
      <c r="A191" s="66" t="s">
        <v>1037</v>
      </c>
      <c r="B191" s="66">
        <f t="shared" si="269"/>
        <v>5</v>
      </c>
      <c r="C191" s="66">
        <f t="shared" si="270"/>
        <v>60</v>
      </c>
      <c r="E191" s="66">
        <f t="shared" ref="E191" si="383">plan_id</f>
        <v>1952</v>
      </c>
      <c r="F191" s="66">
        <f t="shared" ca="1" si="267"/>
        <v>2016</v>
      </c>
      <c r="G191" s="66">
        <f t="shared" ref="G191" ca="1" si="384">VLOOKUP(INDIRECT(CHAR(39)&amp;$A191&amp;CHAR(39)&amp;"!r2c"&amp;$C191,0),variables,2,0)</f>
        <v>10917</v>
      </c>
      <c r="H191" s="71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-4169852000</v>
      </c>
    </row>
    <row r="192" spans="1:8" x14ac:dyDescent="0.2">
      <c r="A192" s="66" t="s">
        <v>1037</v>
      </c>
      <c r="B192" s="66">
        <f t="shared" si="269"/>
        <v>5</v>
      </c>
      <c r="C192" s="66">
        <f t="shared" si="270"/>
        <v>61</v>
      </c>
      <c r="E192" s="66">
        <f t="shared" ref="E192" si="385">plan_id</f>
        <v>1952</v>
      </c>
      <c r="F192" s="66">
        <f t="shared" ca="1" si="267"/>
        <v>2016</v>
      </c>
      <c r="G192" s="66">
        <f t="shared" ref="G192" ca="1" si="386">VLOOKUP(INDIRECT(CHAR(39)&amp;$A192&amp;CHAR(39)&amp;"!r2c"&amp;$C192,0),variables,2,0)</f>
        <v>10918</v>
      </c>
      <c r="H192" s="71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-97687000</v>
      </c>
    </row>
    <row r="193" spans="1:8" x14ac:dyDescent="0.2">
      <c r="A193" s="66" t="s">
        <v>1037</v>
      </c>
      <c r="B193" s="66">
        <f t="shared" si="269"/>
        <v>5</v>
      </c>
      <c r="C193" s="66">
        <f t="shared" si="270"/>
        <v>62</v>
      </c>
      <c r="E193" s="66">
        <f t="shared" ref="E193" si="387">plan_id</f>
        <v>1952</v>
      </c>
      <c r="F193" s="66">
        <f t="shared" ca="1" si="267"/>
        <v>2016</v>
      </c>
      <c r="G193" s="66">
        <f t="shared" ref="G193" ca="1" si="388">VLOOKUP(INDIRECT(CHAR(39)&amp;$A193&amp;CHAR(39)&amp;"!r2c"&amp;$C193,0),variables,2,0)</f>
        <v>10919</v>
      </c>
      <c r="H193" s="71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-4267539000</v>
      </c>
    </row>
    <row r="194" spans="1:8" x14ac:dyDescent="0.2">
      <c r="A194" s="66" t="s">
        <v>1037</v>
      </c>
      <c r="B194" s="66">
        <f t="shared" si="269"/>
        <v>5</v>
      </c>
      <c r="C194" s="66">
        <f t="shared" si="270"/>
        <v>63</v>
      </c>
      <c r="E194" s="66">
        <f t="shared" ref="E194" si="389">plan_id</f>
        <v>1952</v>
      </c>
      <c r="F194" s="66">
        <f t="shared" ca="1" si="267"/>
        <v>2016</v>
      </c>
      <c r="G194" s="66">
        <f t="shared" ref="G194" ca="1" si="390">VLOOKUP(INDIRECT(CHAR(39)&amp;$A194&amp;CHAR(39)&amp;"!r2c"&amp;$C194,0),variables,2,0)</f>
        <v>10920</v>
      </c>
      <c r="H194" s="71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-39695000</v>
      </c>
    </row>
    <row r="195" spans="1:8" x14ac:dyDescent="0.2">
      <c r="A195" s="66" t="s">
        <v>1037</v>
      </c>
      <c r="B195" s="66">
        <f t="shared" si="269"/>
        <v>5</v>
      </c>
      <c r="C195" s="66">
        <f t="shared" si="270"/>
        <v>64</v>
      </c>
      <c r="E195" s="66">
        <f t="shared" ref="E195" si="391">plan_id</f>
        <v>1952</v>
      </c>
      <c r="F195" s="66">
        <f t="shared" ca="1" si="267"/>
        <v>2016</v>
      </c>
      <c r="G195" s="66">
        <f t="shared" ref="G195" ca="1" si="392">VLOOKUP(INDIRECT(CHAR(39)&amp;$A195&amp;CHAR(39)&amp;"!r2c"&amp;$C195,0),variables,2,0)</f>
        <v>10921</v>
      </c>
      <c r="H195" s="71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-474000</v>
      </c>
    </row>
    <row r="196" spans="1:8" x14ac:dyDescent="0.2">
      <c r="A196" s="66" t="s">
        <v>1037</v>
      </c>
      <c r="B196" s="66">
        <f t="shared" si="269"/>
        <v>5</v>
      </c>
      <c r="C196" s="66">
        <f t="shared" si="270"/>
        <v>65</v>
      </c>
      <c r="E196" s="66">
        <f t="shared" ref="E196" si="393">plan_id</f>
        <v>1952</v>
      </c>
      <c r="F196" s="66">
        <f t="shared" ca="1" si="267"/>
        <v>2016</v>
      </c>
      <c r="G196" s="66">
        <f t="shared" ref="G196" ca="1" si="394">VLOOKUP(INDIRECT(CHAR(39)&amp;$A196&amp;CHAR(39)&amp;"!r2c"&amp;$C196,0),variables,2,0)</f>
        <v>10922</v>
      </c>
      <c r="H196" s="71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66" t="s">
        <v>1037</v>
      </c>
      <c r="B197" s="66">
        <f t="shared" si="269"/>
        <v>5</v>
      </c>
      <c r="C197" s="66">
        <f t="shared" si="270"/>
        <v>66</v>
      </c>
      <c r="E197" s="66">
        <f t="shared" ref="E197" si="395">plan_id</f>
        <v>1952</v>
      </c>
      <c r="F197" s="66">
        <f t="shared" ca="1" si="267"/>
        <v>2016</v>
      </c>
      <c r="G197" s="66">
        <f t="shared" ref="G197" ca="1" si="396">VLOOKUP(INDIRECT(CHAR(39)&amp;$A197&amp;CHAR(39)&amp;"!r2c"&amp;$C197,0),variables,2,0)</f>
        <v>10860</v>
      </c>
      <c r="H197" s="71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64025668000</v>
      </c>
    </row>
    <row r="198" spans="1:8" x14ac:dyDescent="0.2">
      <c r="A198" s="66" t="s">
        <v>1037</v>
      </c>
      <c r="B198" s="66">
        <f t="shared" si="269"/>
        <v>5</v>
      </c>
      <c r="C198" s="66">
        <f t="shared" si="270"/>
        <v>67</v>
      </c>
      <c r="E198" s="66">
        <f t="shared" ref="E198" si="397">plan_id</f>
        <v>1952</v>
      </c>
      <c r="F198" s="66">
        <f t="shared" ref="F198:F261" ca="1" si="398">INDIRECT(CHAR(39)&amp;$A198&amp;CHAR(39)&amp;"!r"&amp;$B198&amp;"c2",0)</f>
        <v>2016</v>
      </c>
      <c r="G198" s="66">
        <f t="shared" ref="G198" ca="1" si="399">VLOOKUP(INDIRECT(CHAR(39)&amp;$A198&amp;CHAR(39)&amp;"!r2c"&amp;$C198,0),variables,2,0)</f>
        <v>10923</v>
      </c>
      <c r="H198" s="71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24003848000</v>
      </c>
    </row>
    <row r="199" spans="1:8" x14ac:dyDescent="0.2">
      <c r="A199" s="66" t="s">
        <v>1037</v>
      </c>
      <c r="B199" s="66">
        <f t="shared" ref="B199:B262" si="400">B134+1</f>
        <v>6</v>
      </c>
      <c r="C199" s="66">
        <f t="shared" ref="C199:C262" si="401">C134</f>
        <v>3</v>
      </c>
      <c r="E199" s="66">
        <f t="shared" ref="E199" si="402">plan_id</f>
        <v>1952</v>
      </c>
      <c r="F199" s="66">
        <f t="shared" ca="1" si="398"/>
        <v>2017</v>
      </c>
      <c r="G199" s="66">
        <f t="shared" ref="G199" ca="1" si="403">VLOOKUP(INDIRECT(CHAR(39)&amp;$A199&amp;CHAR(39)&amp;"!r2c"&amp;$C199,0),variables,2,0)</f>
        <v>10861</v>
      </c>
      <c r="H199" s="71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2">
      <c r="A200" s="66" t="s">
        <v>1037</v>
      </c>
      <c r="B200" s="66">
        <f t="shared" si="400"/>
        <v>6</v>
      </c>
      <c r="C200" s="66">
        <f t="shared" si="401"/>
        <v>4</v>
      </c>
      <c r="E200" s="66">
        <f t="shared" ref="E200" si="404">plan_id</f>
        <v>1952</v>
      </c>
      <c r="F200" s="66">
        <f t="shared" ca="1" si="398"/>
        <v>2017</v>
      </c>
      <c r="G200" s="66">
        <f t="shared" ref="G200" ca="1" si="405">VLOOKUP(INDIRECT(CHAR(39)&amp;$A200&amp;CHAR(39)&amp;"!r2c"&amp;$C200,0),variables,2,0)</f>
        <v>10862</v>
      </c>
      <c r="H200" s="71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66" t="s">
        <v>1037</v>
      </c>
      <c r="B201" s="66">
        <f t="shared" si="400"/>
        <v>6</v>
      </c>
      <c r="C201" s="66">
        <f t="shared" si="401"/>
        <v>5</v>
      </c>
      <c r="E201" s="66">
        <f t="shared" ref="E201" si="406">plan_id</f>
        <v>1952</v>
      </c>
      <c r="F201" s="66">
        <f t="shared" ca="1" si="398"/>
        <v>2017</v>
      </c>
      <c r="G201" s="66">
        <f t="shared" ref="G201" ca="1" si="407">VLOOKUP(INDIRECT(CHAR(39)&amp;$A201&amp;CHAR(39)&amp;"!r2c"&amp;$C201,0),variables,2,0)</f>
        <v>10863</v>
      </c>
      <c r="H201" s="71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66" t="s">
        <v>1037</v>
      </c>
      <c r="B202" s="66">
        <f t="shared" si="400"/>
        <v>6</v>
      </c>
      <c r="C202" s="66">
        <f t="shared" si="401"/>
        <v>6</v>
      </c>
      <c r="E202" s="66">
        <f t="shared" ref="E202" si="408">plan_id</f>
        <v>1952</v>
      </c>
      <c r="F202" s="66">
        <f t="shared" ca="1" si="398"/>
        <v>2017</v>
      </c>
      <c r="G202" s="66">
        <f t="shared" ref="G202" ca="1" si="409">VLOOKUP(INDIRECT(CHAR(39)&amp;$A202&amp;CHAR(39)&amp;"!r2c"&amp;$C202,0),variables,2,0)</f>
        <v>10864</v>
      </c>
      <c r="H202" s="71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213122</v>
      </c>
    </row>
    <row r="203" spans="1:8" x14ac:dyDescent="0.2">
      <c r="A203" s="66" t="s">
        <v>1037</v>
      </c>
      <c r="B203" s="66">
        <f t="shared" si="400"/>
        <v>6</v>
      </c>
      <c r="C203" s="66">
        <f t="shared" si="401"/>
        <v>7</v>
      </c>
      <c r="E203" s="66">
        <f t="shared" ref="E203" si="410">plan_id</f>
        <v>1952</v>
      </c>
      <c r="F203" s="66">
        <f t="shared" ca="1" si="398"/>
        <v>2017</v>
      </c>
      <c r="G203" s="66">
        <f t="shared" ref="G203" ca="1" si="411">VLOOKUP(INDIRECT(CHAR(39)&amp;$A203&amp;CHAR(39)&amp;"!r2c"&amp;$C203,0),variables,2,0)</f>
        <v>10865</v>
      </c>
      <c r="H203" s="71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50175</v>
      </c>
    </row>
    <row r="204" spans="1:8" x14ac:dyDescent="0.2">
      <c r="A204" s="66" t="s">
        <v>1037</v>
      </c>
      <c r="B204" s="66">
        <f t="shared" si="400"/>
        <v>6</v>
      </c>
      <c r="C204" s="66">
        <f t="shared" si="401"/>
        <v>8</v>
      </c>
      <c r="E204" s="66">
        <f t="shared" ref="E204" si="412">plan_id</f>
        <v>1952</v>
      </c>
      <c r="F204" s="66">
        <f t="shared" ca="1" si="398"/>
        <v>2017</v>
      </c>
      <c r="G204" s="66">
        <f t="shared" ref="G204" ca="1" si="413">VLOOKUP(INDIRECT(CHAR(39)&amp;$A204&amp;CHAR(39)&amp;"!r2c"&amp;$C204,0),variables,2,0)</f>
        <v>10866</v>
      </c>
      <c r="H204" s="71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89197</v>
      </c>
    </row>
    <row r="205" spans="1:8" x14ac:dyDescent="0.2">
      <c r="A205" s="66" t="s">
        <v>1037</v>
      </c>
      <c r="B205" s="66">
        <f t="shared" si="400"/>
        <v>6</v>
      </c>
      <c r="C205" s="66">
        <f t="shared" si="401"/>
        <v>9</v>
      </c>
      <c r="E205" s="66">
        <f t="shared" ref="E205" si="414">plan_id</f>
        <v>1952</v>
      </c>
      <c r="F205" s="66">
        <f t="shared" ca="1" si="398"/>
        <v>2017</v>
      </c>
      <c r="G205" s="66">
        <f t="shared" ref="G205" ca="1" si="415">VLOOKUP(INDIRECT(CHAR(39)&amp;$A205&amp;CHAR(39)&amp;"!r2c"&amp;$C205,0),variables,2,0)</f>
        <v>10867</v>
      </c>
      <c r="H205" s="71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377104</v>
      </c>
    </row>
    <row r="206" spans="1:8" x14ac:dyDescent="0.2">
      <c r="A206" s="66" t="s">
        <v>1037</v>
      </c>
      <c r="B206" s="66">
        <f t="shared" si="400"/>
        <v>6</v>
      </c>
      <c r="C206" s="66">
        <f t="shared" si="401"/>
        <v>10</v>
      </c>
      <c r="E206" s="66">
        <f t="shared" ref="E206" si="416">plan_id</f>
        <v>1952</v>
      </c>
      <c r="F206" s="66">
        <f t="shared" ca="1" si="398"/>
        <v>2017</v>
      </c>
      <c r="G206" s="66">
        <f t="shared" ref="G206" ca="1" si="417">VLOOKUP(INDIRECT(CHAR(39)&amp;$A206&amp;CHAR(39)&amp;"!r2c"&amp;$C206,0),variables,2,0)</f>
        <v>10868</v>
      </c>
      <c r="H206" s="71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729598</v>
      </c>
    </row>
    <row r="207" spans="1:8" x14ac:dyDescent="0.2">
      <c r="A207" s="66" t="s">
        <v>1037</v>
      </c>
      <c r="B207" s="66">
        <f t="shared" si="400"/>
        <v>6</v>
      </c>
      <c r="C207" s="66">
        <f t="shared" si="401"/>
        <v>11</v>
      </c>
      <c r="E207" s="66">
        <f t="shared" ref="E207" si="418">plan_id</f>
        <v>1952</v>
      </c>
      <c r="F207" s="66">
        <f t="shared" ca="1" si="398"/>
        <v>2017</v>
      </c>
      <c r="G207" s="66">
        <f t="shared" ref="G207" ca="1" si="419">VLOOKUP(INDIRECT(CHAR(39)&amp;$A207&amp;CHAR(39)&amp;"!r2c"&amp;$C207,0),variables,2,0)</f>
        <v>10869</v>
      </c>
      <c r="H207" s="7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2">
      <c r="A208" s="66" t="s">
        <v>1037</v>
      </c>
      <c r="B208" s="66">
        <f t="shared" si="400"/>
        <v>6</v>
      </c>
      <c r="C208" s="66">
        <f t="shared" si="401"/>
        <v>12</v>
      </c>
      <c r="E208" s="66">
        <f t="shared" ref="E208" si="420">plan_id</f>
        <v>1952</v>
      </c>
      <c r="F208" s="66">
        <f t="shared" ca="1" si="398"/>
        <v>2017</v>
      </c>
      <c r="G208" s="66">
        <f t="shared" ref="G208" ca="1" si="421">VLOOKUP(INDIRECT(CHAR(39)&amp;$A208&amp;CHAR(39)&amp;"!r2c"&amp;$C208,0),variables,2,0)</f>
        <v>10870</v>
      </c>
      <c r="H208" s="7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2">
      <c r="A209" s="66" t="s">
        <v>1037</v>
      </c>
      <c r="B209" s="66">
        <f t="shared" si="400"/>
        <v>6</v>
      </c>
      <c r="C209" s="66">
        <f t="shared" si="401"/>
        <v>13</v>
      </c>
      <c r="E209" s="66">
        <f t="shared" ref="E209" si="422">plan_id</f>
        <v>1952</v>
      </c>
      <c r="F209" s="66">
        <f t="shared" ca="1" si="398"/>
        <v>2017</v>
      </c>
      <c r="G209" s="66">
        <f t="shared" ref="G209" ca="1" si="423">VLOOKUP(INDIRECT(CHAR(39)&amp;$A209&amp;CHAR(39)&amp;"!r2c"&amp;$C209,0),variables,2,0)</f>
        <v>10871</v>
      </c>
      <c r="H209" s="7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2">
      <c r="A210" s="66" t="s">
        <v>1037</v>
      </c>
      <c r="B210" s="66">
        <f t="shared" si="400"/>
        <v>6</v>
      </c>
      <c r="C210" s="66">
        <f t="shared" si="401"/>
        <v>14</v>
      </c>
      <c r="E210" s="66">
        <f t="shared" ref="E210" si="424">plan_id</f>
        <v>1952</v>
      </c>
      <c r="F210" s="66">
        <f t="shared" ca="1" si="398"/>
        <v>2017</v>
      </c>
      <c r="G210" s="66">
        <f t="shared" ref="G210" ca="1" si="425">VLOOKUP(INDIRECT(CHAR(39)&amp;$A210&amp;CHAR(39)&amp;"!r2c"&amp;$C210,0),variables,2,0)</f>
        <v>10872</v>
      </c>
      <c r="H210" s="71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66" t="s">
        <v>1037</v>
      </c>
      <c r="B211" s="66">
        <f t="shared" si="400"/>
        <v>6</v>
      </c>
      <c r="C211" s="66">
        <f t="shared" si="401"/>
        <v>15</v>
      </c>
      <c r="E211" s="66">
        <f t="shared" ref="E211" si="426">plan_id</f>
        <v>1952</v>
      </c>
      <c r="F211" s="66">
        <f t="shared" ca="1" si="398"/>
        <v>2017</v>
      </c>
      <c r="G211" s="66">
        <f t="shared" ref="G211" ca="1" si="427">VLOOKUP(INDIRECT(CHAR(39)&amp;$A211&amp;CHAR(39)&amp;"!r2c"&amp;$C211,0),variables,2,0)</f>
        <v>10873</v>
      </c>
      <c r="H211" s="7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7.0000000000000007E-2</v>
      </c>
    </row>
    <row r="212" spans="1:8" x14ac:dyDescent="0.2">
      <c r="A212" s="66" t="s">
        <v>1037</v>
      </c>
      <c r="B212" s="66">
        <f t="shared" si="400"/>
        <v>6</v>
      </c>
      <c r="C212" s="66">
        <f t="shared" si="401"/>
        <v>16</v>
      </c>
      <c r="E212" s="66">
        <f t="shared" ref="E212" si="428">plan_id</f>
        <v>1952</v>
      </c>
      <c r="F212" s="66">
        <f t="shared" ca="1" si="398"/>
        <v>2017</v>
      </c>
      <c r="G212" s="66">
        <f t="shared" ref="G212" ca="1" si="429">VLOOKUP(INDIRECT(CHAR(39)&amp;$A212&amp;CHAR(39)&amp;"!r2c"&amp;$C212,0),variables,2,0)</f>
        <v>10874</v>
      </c>
      <c r="H212" s="7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2">
      <c r="A213" s="66" t="s">
        <v>1037</v>
      </c>
      <c r="B213" s="66">
        <f t="shared" si="400"/>
        <v>6</v>
      </c>
      <c r="C213" s="66">
        <f t="shared" si="401"/>
        <v>17</v>
      </c>
      <c r="E213" s="66">
        <f t="shared" ref="E213" si="430">plan_id</f>
        <v>1952</v>
      </c>
      <c r="F213" s="66">
        <f t="shared" ca="1" si="398"/>
        <v>2017</v>
      </c>
      <c r="G213" s="66">
        <f t="shared" ref="G213" ca="1" si="431">VLOOKUP(INDIRECT(CHAR(39)&amp;$A213&amp;CHAR(39)&amp;"!r2c"&amp;$C213,0),variables,2,0)</f>
        <v>10875</v>
      </c>
      <c r="H213" s="71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90598936000</v>
      </c>
    </row>
    <row r="214" spans="1:8" x14ac:dyDescent="0.2">
      <c r="A214" s="66" t="s">
        <v>1037</v>
      </c>
      <c r="B214" s="66">
        <f t="shared" si="400"/>
        <v>6</v>
      </c>
      <c r="C214" s="66">
        <f t="shared" si="401"/>
        <v>18</v>
      </c>
      <c r="E214" s="66">
        <f t="shared" ref="E214" si="432">plan_id</f>
        <v>1952</v>
      </c>
      <c r="F214" s="66">
        <f t="shared" ca="1" si="398"/>
        <v>2017</v>
      </c>
      <c r="G214" s="66">
        <f t="shared" ref="G214" ca="1" si="433">VLOOKUP(INDIRECT(CHAR(39)&amp;$A214&amp;CHAR(39)&amp;"!r2c"&amp;$C214,0),variables,2,0)</f>
        <v>10876</v>
      </c>
      <c r="H214" s="71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70159680000</v>
      </c>
    </row>
    <row r="215" spans="1:8" x14ac:dyDescent="0.2">
      <c r="A215" s="66" t="s">
        <v>1037</v>
      </c>
      <c r="B215" s="66">
        <f t="shared" si="400"/>
        <v>6</v>
      </c>
      <c r="C215" s="66">
        <f t="shared" si="401"/>
        <v>19</v>
      </c>
      <c r="E215" s="66">
        <f t="shared" ref="E215" si="434">plan_id</f>
        <v>1952</v>
      </c>
      <c r="F215" s="66">
        <f t="shared" ca="1" si="398"/>
        <v>2017</v>
      </c>
      <c r="G215" s="66">
        <f t="shared" ref="G215" ca="1" si="435">VLOOKUP(INDIRECT(CHAR(39)&amp;$A215&amp;CHAR(39)&amp;"!r2c"&amp;$C215,0),variables,2,0)</f>
        <v>10877</v>
      </c>
      <c r="H215" s="71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20439256000</v>
      </c>
    </row>
    <row r="216" spans="1:8" x14ac:dyDescent="0.2">
      <c r="A216" s="66" t="s">
        <v>1037</v>
      </c>
      <c r="B216" s="66">
        <f t="shared" si="400"/>
        <v>6</v>
      </c>
      <c r="C216" s="66">
        <f t="shared" si="401"/>
        <v>20</v>
      </c>
      <c r="E216" s="66">
        <f t="shared" ref="E216" si="436">plan_id</f>
        <v>1952</v>
      </c>
      <c r="F216" s="66">
        <f t="shared" ca="1" si="398"/>
        <v>2017</v>
      </c>
      <c r="G216" s="66">
        <f t="shared" ref="G216" ca="1" si="437">VLOOKUP(INDIRECT(CHAR(39)&amp;$A216&amp;CHAR(39)&amp;"!r2c"&amp;$C216,0),variables,2,0)</f>
        <v>10878</v>
      </c>
      <c r="H216" s="71" t="str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State: 75.33%; Teacher: 72.92%; Political Subdivision: 89.27%</v>
      </c>
    </row>
    <row r="217" spans="1:8" x14ac:dyDescent="0.2">
      <c r="A217" s="66" t="s">
        <v>1037</v>
      </c>
      <c r="B217" s="66">
        <f t="shared" si="400"/>
        <v>6</v>
      </c>
      <c r="C217" s="66">
        <f t="shared" si="401"/>
        <v>21</v>
      </c>
      <c r="E217" s="66">
        <f t="shared" ref="E217" si="438">plan_id</f>
        <v>1952</v>
      </c>
      <c r="F217" s="66">
        <f t="shared" ca="1" si="398"/>
        <v>2017</v>
      </c>
      <c r="G217" s="66">
        <f t="shared" ref="G217" ca="1" si="439">VLOOKUP(INDIRECT(CHAR(39)&amp;$A217&amp;CHAR(39)&amp;"!r2c"&amp;$C217,0),variables,2,0)</f>
        <v>10879</v>
      </c>
      <c r="H217" s="71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16678518000</v>
      </c>
    </row>
    <row r="218" spans="1:8" x14ac:dyDescent="0.2">
      <c r="A218" s="66" t="s">
        <v>1037</v>
      </c>
      <c r="B218" s="66">
        <f t="shared" si="400"/>
        <v>6</v>
      </c>
      <c r="C218" s="66">
        <f t="shared" si="401"/>
        <v>22</v>
      </c>
      <c r="E218" s="66">
        <f t="shared" ref="E218" si="440">plan_id</f>
        <v>1952</v>
      </c>
      <c r="F218" s="66">
        <f t="shared" ca="1" si="398"/>
        <v>2017</v>
      </c>
      <c r="G218" s="66">
        <f t="shared" ref="G218" ca="1" si="441">VLOOKUP(INDIRECT(CHAR(39)&amp;$A218&amp;CHAR(39)&amp;"!r2c"&amp;$C218,0),variables,2,0)</f>
        <v>10880</v>
      </c>
      <c r="H218" s="71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1546202000</v>
      </c>
    </row>
    <row r="219" spans="1:8" x14ac:dyDescent="0.2">
      <c r="A219" s="66" t="s">
        <v>1037</v>
      </c>
      <c r="B219" s="66">
        <f t="shared" si="400"/>
        <v>6</v>
      </c>
      <c r="C219" s="66">
        <f t="shared" si="401"/>
        <v>23</v>
      </c>
      <c r="E219" s="66">
        <f t="shared" ref="E219" si="442">plan_id</f>
        <v>1952</v>
      </c>
      <c r="F219" s="66">
        <f t="shared" ca="1" si="398"/>
        <v>2017</v>
      </c>
      <c r="G219" s="66">
        <f t="shared" ref="G219" ca="1" si="443">VLOOKUP(INDIRECT(CHAR(39)&amp;$A219&amp;CHAR(39)&amp;"!r2c"&amp;$C219,0),variables,2,0)</f>
        <v>10881</v>
      </c>
      <c r="H219" s="71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714429000</v>
      </c>
    </row>
    <row r="220" spans="1:8" x14ac:dyDescent="0.2">
      <c r="A220" s="66" t="s">
        <v>1037</v>
      </c>
      <c r="B220" s="66">
        <f t="shared" si="400"/>
        <v>6</v>
      </c>
      <c r="C220" s="66">
        <f t="shared" si="401"/>
        <v>24</v>
      </c>
      <c r="E220" s="66">
        <f t="shared" ref="E220" si="444">plan_id</f>
        <v>1952</v>
      </c>
      <c r="F220" s="66">
        <f t="shared" ca="1" si="398"/>
        <v>2017</v>
      </c>
      <c r="G220" s="66">
        <f t="shared" ref="G220" ca="1" si="445">VLOOKUP(INDIRECT(CHAR(39)&amp;$A220&amp;CHAR(39)&amp;"!r2c"&amp;$C220,0),variables,2,0)</f>
        <v>10882</v>
      </c>
      <c r="H220" s="71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2753914000</v>
      </c>
    </row>
    <row r="221" spans="1:8" x14ac:dyDescent="0.2">
      <c r="A221" s="66" t="s">
        <v>1037</v>
      </c>
      <c r="B221" s="66">
        <f t="shared" si="400"/>
        <v>6</v>
      </c>
      <c r="C221" s="66">
        <f t="shared" si="401"/>
        <v>25</v>
      </c>
      <c r="E221" s="66">
        <f t="shared" ref="E221" si="446">plan_id</f>
        <v>1952</v>
      </c>
      <c r="F221" s="66">
        <f t="shared" ca="1" si="398"/>
        <v>2017</v>
      </c>
      <c r="G221" s="66">
        <f t="shared" ref="G221" ca="1" si="447">VLOOKUP(INDIRECT(CHAR(39)&amp;$A221&amp;CHAR(39)&amp;"!r2c"&amp;$C221,0),variables,2,0)</f>
        <v>10883</v>
      </c>
      <c r="H221" s="7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0.13894657786741005</v>
      </c>
    </row>
    <row r="222" spans="1:8" x14ac:dyDescent="0.2">
      <c r="A222" s="66" t="s">
        <v>1037</v>
      </c>
      <c r="B222" s="66">
        <f t="shared" si="400"/>
        <v>6</v>
      </c>
      <c r="C222" s="66">
        <f t="shared" si="401"/>
        <v>26</v>
      </c>
      <c r="E222" s="66">
        <f t="shared" ref="E222" si="448">plan_id</f>
        <v>1952</v>
      </c>
      <c r="F222" s="66">
        <f t="shared" ca="1" si="398"/>
        <v>2017</v>
      </c>
      <c r="G222" s="66">
        <f t="shared" ref="G222" ca="1" si="449">VLOOKUP(INDIRECT(CHAR(39)&amp;$A222&amp;CHAR(39)&amp;"!r2c"&amp;$C222,0),variables,2,0)</f>
        <v>10884</v>
      </c>
      <c r="H222" s="7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0.13113005603975125</v>
      </c>
    </row>
    <row r="223" spans="1:8" x14ac:dyDescent="0.2">
      <c r="A223" s="66" t="s">
        <v>1037</v>
      </c>
      <c r="B223" s="66">
        <f t="shared" si="400"/>
        <v>6</v>
      </c>
      <c r="C223" s="66">
        <f t="shared" si="401"/>
        <v>27</v>
      </c>
      <c r="E223" s="66">
        <f t="shared" ref="E223" si="450">plan_id</f>
        <v>1952</v>
      </c>
      <c r="F223" s="66">
        <f t="shared" ca="1" si="398"/>
        <v>2017</v>
      </c>
      <c r="G223" s="66">
        <f t="shared" ref="G223" ca="1" si="451">VLOOKUP(INDIRECT(CHAR(39)&amp;$A223&amp;CHAR(39)&amp;"!r2c"&amp;$C223,0),variables,2,0)</f>
        <v>10885</v>
      </c>
      <c r="H223" s="71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2317423000</v>
      </c>
    </row>
    <row r="224" spans="1:8" x14ac:dyDescent="0.2">
      <c r="A224" s="66" t="s">
        <v>1037</v>
      </c>
      <c r="B224" s="66">
        <f t="shared" si="400"/>
        <v>6</v>
      </c>
      <c r="C224" s="66">
        <f t="shared" si="401"/>
        <v>28</v>
      </c>
      <c r="E224" s="66">
        <f t="shared" ref="E224" si="452">plan_id</f>
        <v>1952</v>
      </c>
      <c r="F224" s="66">
        <f t="shared" ca="1" si="398"/>
        <v>2017</v>
      </c>
      <c r="G224" s="66">
        <f t="shared" ref="G224" ca="1" si="453">VLOOKUP(INDIRECT(CHAR(39)&amp;$A224&amp;CHAR(39)&amp;"!r2c"&amp;$C224,0),variables,2,0)</f>
        <v>10886</v>
      </c>
      <c r="H224" s="71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2187055000</v>
      </c>
    </row>
    <row r="225" spans="1:8" x14ac:dyDescent="0.2">
      <c r="A225" s="66" t="s">
        <v>1037</v>
      </c>
      <c r="B225" s="66">
        <f t="shared" si="400"/>
        <v>6</v>
      </c>
      <c r="C225" s="66">
        <f t="shared" si="401"/>
        <v>29</v>
      </c>
      <c r="E225" s="66">
        <f t="shared" ref="E225" si="454">plan_id</f>
        <v>1952</v>
      </c>
      <c r="F225" s="66">
        <f t="shared" ca="1" si="398"/>
        <v>2017</v>
      </c>
      <c r="G225" s="66">
        <f t="shared" ref="G225" ca="1" si="455">VLOOKUP(INDIRECT(CHAR(39)&amp;$A225&amp;CHAR(39)&amp;"!r2c"&amp;$C225,0),variables,2,0)</f>
        <v>10887</v>
      </c>
      <c r="H225" s="71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130368000</v>
      </c>
    </row>
    <row r="226" spans="1:8" x14ac:dyDescent="0.2">
      <c r="A226" s="66" t="s">
        <v>1037</v>
      </c>
      <c r="B226" s="66">
        <f t="shared" si="400"/>
        <v>6</v>
      </c>
      <c r="C226" s="66">
        <f t="shared" si="401"/>
        <v>30</v>
      </c>
      <c r="E226" s="66">
        <f t="shared" ref="E226" si="456">plan_id</f>
        <v>1952</v>
      </c>
      <c r="F226" s="66">
        <f t="shared" ca="1" si="398"/>
        <v>2017</v>
      </c>
      <c r="G226" s="66">
        <f t="shared" ref="G226" ca="1" si="457">VLOOKUP(INDIRECT(CHAR(39)&amp;$A226&amp;CHAR(39)&amp;"!r2c"&amp;$C226,0),variables,2,0)</f>
        <v>10883</v>
      </c>
      <c r="H226" s="7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0.94374440919935632</v>
      </c>
    </row>
    <row r="227" spans="1:8" x14ac:dyDescent="0.2">
      <c r="A227" s="66" t="s">
        <v>1037</v>
      </c>
      <c r="B227" s="66">
        <f t="shared" si="400"/>
        <v>6</v>
      </c>
      <c r="C227" s="66">
        <f t="shared" si="401"/>
        <v>31</v>
      </c>
      <c r="E227" s="66">
        <f t="shared" ref="E227" si="458">plan_id</f>
        <v>1952</v>
      </c>
      <c r="F227" s="66">
        <f t="shared" ca="1" si="398"/>
        <v>2017</v>
      </c>
      <c r="G227" s="66">
        <f t="shared" ref="G227" ca="1" si="459">VLOOKUP(INDIRECT(CHAR(39)&amp;$A227&amp;CHAR(39)&amp;"!r2c"&amp;$C227,0),variables,2,0)</f>
        <v>10889</v>
      </c>
      <c r="H227" s="71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1742304000</v>
      </c>
    </row>
    <row r="228" spans="1:8" x14ac:dyDescent="0.2">
      <c r="A228" s="66" t="s">
        <v>1037</v>
      </c>
      <c r="B228" s="66">
        <f t="shared" si="400"/>
        <v>6</v>
      </c>
      <c r="C228" s="66">
        <f t="shared" si="401"/>
        <v>32</v>
      </c>
      <c r="E228" s="66">
        <f t="shared" ref="E228" si="460">plan_id</f>
        <v>1952</v>
      </c>
      <c r="F228" s="66">
        <f t="shared" ca="1" si="398"/>
        <v>2017</v>
      </c>
      <c r="G228" s="66">
        <f t="shared" ref="G228" ca="1" si="461">VLOOKUP(INDIRECT(CHAR(39)&amp;$A228&amp;CHAR(39)&amp;"!r2c"&amp;$C228,0),variables,2,0)</f>
        <v>10890</v>
      </c>
      <c r="H228" s="71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6001779000</v>
      </c>
    </row>
    <row r="229" spans="1:8" x14ac:dyDescent="0.2">
      <c r="A229" s="66" t="s">
        <v>1037</v>
      </c>
      <c r="B229" s="66">
        <f t="shared" si="400"/>
        <v>6</v>
      </c>
      <c r="C229" s="66">
        <f t="shared" si="401"/>
        <v>33</v>
      </c>
      <c r="E229" s="66">
        <f t="shared" ref="E229" si="462">plan_id</f>
        <v>1952</v>
      </c>
      <c r="F229" s="66">
        <f t="shared" ca="1" si="398"/>
        <v>2017</v>
      </c>
      <c r="G229" s="66">
        <f t="shared" ref="G229" ca="1" si="463">VLOOKUP(INDIRECT(CHAR(39)&amp;$A229&amp;CHAR(39)&amp;"!r2c"&amp;$C229,0),variables,2,0)</f>
        <v>10891</v>
      </c>
      <c r="H229" s="71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36652000</v>
      </c>
    </row>
    <row r="230" spans="1:8" x14ac:dyDescent="0.2">
      <c r="A230" s="66" t="s">
        <v>1037</v>
      </c>
      <c r="B230" s="66">
        <f t="shared" si="400"/>
        <v>6</v>
      </c>
      <c r="C230" s="66">
        <f t="shared" si="401"/>
        <v>34</v>
      </c>
      <c r="E230" s="66">
        <f t="shared" ref="E230" si="464">plan_id</f>
        <v>1952</v>
      </c>
      <c r="F230" s="66">
        <f t="shared" ca="1" si="398"/>
        <v>2017</v>
      </c>
      <c r="G230" s="66">
        <f t="shared" ref="G230" ca="1" si="465">VLOOKUP(INDIRECT(CHAR(39)&amp;$A230&amp;CHAR(39)&amp;"!r2c"&amp;$C230,0),variables,2,0)</f>
        <v>10892</v>
      </c>
      <c r="H230" s="71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-200039000</v>
      </c>
    </row>
    <row r="231" spans="1:8" x14ac:dyDescent="0.2">
      <c r="A231" s="66" t="s">
        <v>1037</v>
      </c>
      <c r="B231" s="66">
        <f t="shared" si="400"/>
        <v>6</v>
      </c>
      <c r="C231" s="66">
        <f t="shared" si="401"/>
        <v>35</v>
      </c>
      <c r="E231" s="66">
        <f t="shared" ref="E231" si="466">plan_id</f>
        <v>1952</v>
      </c>
      <c r="F231" s="66">
        <f t="shared" ca="1" si="398"/>
        <v>2017</v>
      </c>
      <c r="G231" s="66">
        <f t="shared" ref="G231" ca="1" si="467">VLOOKUP(INDIRECT(CHAR(39)&amp;$A231&amp;CHAR(39)&amp;"!r2c"&amp;$C231,0),variables,2,0)</f>
        <v>10893</v>
      </c>
      <c r="H231" s="71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41252000</v>
      </c>
    </row>
    <row r="232" spans="1:8" x14ac:dyDescent="0.2">
      <c r="A232" s="66" t="s">
        <v>1037</v>
      </c>
      <c r="B232" s="66">
        <f t="shared" si="400"/>
        <v>6</v>
      </c>
      <c r="C232" s="66">
        <f t="shared" si="401"/>
        <v>36</v>
      </c>
      <c r="E232" s="66">
        <f t="shared" ref="E232" si="468">plan_id</f>
        <v>1952</v>
      </c>
      <c r="F232" s="66">
        <f t="shared" ca="1" si="398"/>
        <v>2017</v>
      </c>
      <c r="G232" s="66">
        <f t="shared" ref="G232" ca="1" si="469">VLOOKUP(INDIRECT(CHAR(39)&amp;$A232&amp;CHAR(39)&amp;"!r2c"&amp;$C232,0),variables,2,0)</f>
        <v>10894</v>
      </c>
      <c r="H232" s="71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-832757000</v>
      </c>
    </row>
    <row r="233" spans="1:8" x14ac:dyDescent="0.2">
      <c r="A233" s="66" t="s">
        <v>1037</v>
      </c>
      <c r="B233" s="66">
        <f t="shared" si="400"/>
        <v>6</v>
      </c>
      <c r="C233" s="66">
        <f t="shared" si="401"/>
        <v>37</v>
      </c>
      <c r="E233" s="66">
        <f t="shared" ref="E233" si="470">plan_id</f>
        <v>1952</v>
      </c>
      <c r="F233" s="66">
        <f t="shared" ca="1" si="398"/>
        <v>2017</v>
      </c>
      <c r="G233" s="66">
        <f t="shared" ref="G233" ca="1" si="471">VLOOKUP(INDIRECT(CHAR(39)&amp;$A233&amp;CHAR(39)&amp;"!r2c"&amp;$C233,0),variables,2,0)</f>
        <v>10895</v>
      </c>
      <c r="H233" s="71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-4424133000</v>
      </c>
    </row>
    <row r="234" spans="1:8" x14ac:dyDescent="0.2">
      <c r="A234" s="66" t="s">
        <v>1037</v>
      </c>
      <c r="B234" s="66">
        <f t="shared" si="400"/>
        <v>6</v>
      </c>
      <c r="C234" s="66">
        <f t="shared" si="401"/>
        <v>38</v>
      </c>
      <c r="E234" s="66">
        <f t="shared" ref="E234" si="472">plan_id</f>
        <v>1952</v>
      </c>
      <c r="F234" s="66">
        <f t="shared" ca="1" si="398"/>
        <v>2017</v>
      </c>
      <c r="G234" s="66">
        <f t="shared" ref="G234" ca="1" si="473">VLOOKUP(INDIRECT(CHAR(39)&amp;$A234&amp;CHAR(39)&amp;"!r2c"&amp;$C234,0),variables,2,0)</f>
        <v>10896</v>
      </c>
      <c r="H234" s="71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-657188000</v>
      </c>
    </row>
    <row r="235" spans="1:8" x14ac:dyDescent="0.2">
      <c r="A235" s="66" t="s">
        <v>1037</v>
      </c>
      <c r="B235" s="66">
        <f t="shared" si="400"/>
        <v>6</v>
      </c>
      <c r="C235" s="66">
        <f t="shared" si="401"/>
        <v>39</v>
      </c>
      <c r="E235" s="66">
        <f t="shared" ref="E235" si="474">plan_id</f>
        <v>1952</v>
      </c>
      <c r="F235" s="66">
        <f t="shared" ca="1" si="398"/>
        <v>2017</v>
      </c>
      <c r="G235" s="66">
        <f t="shared" ref="G235" ca="1" si="475">VLOOKUP(INDIRECT(CHAR(39)&amp;$A235&amp;CHAR(39)&amp;"!r2c"&amp;$C235,0),variables,2,0)</f>
        <v>10897</v>
      </c>
      <c r="H235" s="71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44956000</v>
      </c>
    </row>
    <row r="236" spans="1:8" x14ac:dyDescent="0.2">
      <c r="A236" s="66" t="s">
        <v>1037</v>
      </c>
      <c r="B236" s="66">
        <f t="shared" si="400"/>
        <v>6</v>
      </c>
      <c r="C236" s="66">
        <f t="shared" si="401"/>
        <v>40</v>
      </c>
      <c r="E236" s="66">
        <f t="shared" ref="E236" si="476">plan_id</f>
        <v>1952</v>
      </c>
      <c r="F236" s="66">
        <f t="shared" ca="1" si="398"/>
        <v>2017</v>
      </c>
      <c r="G236" s="66">
        <f t="shared" ref="G236" ca="1" si="477">VLOOKUP(INDIRECT(CHAR(39)&amp;$A236&amp;CHAR(39)&amp;"!r2c"&amp;$C236,0),variables,2,0)</f>
        <v>10898</v>
      </c>
      <c r="H236" s="71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1007149000</v>
      </c>
    </row>
    <row r="237" spans="1:8" x14ac:dyDescent="0.2">
      <c r="A237" s="66" t="s">
        <v>1037</v>
      </c>
      <c r="B237" s="66">
        <f t="shared" si="400"/>
        <v>6</v>
      </c>
      <c r="C237" s="66">
        <f t="shared" si="401"/>
        <v>41</v>
      </c>
      <c r="E237" s="66">
        <f t="shared" ref="E237" si="478">plan_id</f>
        <v>1952</v>
      </c>
      <c r="F237" s="66">
        <f t="shared" ca="1" si="398"/>
        <v>2017</v>
      </c>
      <c r="G237" s="66">
        <f t="shared" ref="G237" ca="1" si="479">VLOOKUP(INDIRECT(CHAR(39)&amp;$A237&amp;CHAR(39)&amp;"!r2c"&amp;$C237,0),variables,2,0)</f>
        <v>10899</v>
      </c>
      <c r="H237" s="71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-1220641000</v>
      </c>
    </row>
    <row r="238" spans="1:8" x14ac:dyDescent="0.2">
      <c r="A238" s="66" t="s">
        <v>1037</v>
      </c>
      <c r="B238" s="66">
        <f t="shared" si="400"/>
        <v>6</v>
      </c>
      <c r="C238" s="66">
        <f t="shared" si="401"/>
        <v>42</v>
      </c>
      <c r="E238" s="66">
        <f t="shared" ref="E238" si="480">plan_id</f>
        <v>1952</v>
      </c>
      <c r="F238" s="66">
        <f t="shared" ca="1" si="398"/>
        <v>2017</v>
      </c>
      <c r="G238" s="66">
        <f t="shared" ref="G238" ca="1" si="481">VLOOKUP(INDIRECT(CHAR(39)&amp;$A238&amp;CHAR(39)&amp;"!r2c"&amp;$C238,0),variables,2,0)</f>
        <v>11006</v>
      </c>
      <c r="H238" s="71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6868000</v>
      </c>
    </row>
    <row r="239" spans="1:8" x14ac:dyDescent="0.2">
      <c r="A239" s="66" t="s">
        <v>1037</v>
      </c>
      <c r="B239" s="66">
        <f t="shared" si="400"/>
        <v>6</v>
      </c>
      <c r="C239" s="66">
        <f t="shared" si="401"/>
        <v>43</v>
      </c>
      <c r="E239" s="66">
        <f t="shared" ref="E239" si="482">plan_id</f>
        <v>1952</v>
      </c>
      <c r="F239" s="66">
        <f t="shared" ca="1" si="398"/>
        <v>2017</v>
      </c>
      <c r="G239" s="66">
        <f t="shared" ref="G239" ca="1" si="483">VLOOKUP(INDIRECT(CHAR(39)&amp;$A239&amp;CHAR(39)&amp;"!r2c"&amp;$C239,0),variables,2,0)</f>
        <v>10900</v>
      </c>
      <c r="H239" s="71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1546202000</v>
      </c>
    </row>
    <row r="240" spans="1:8" x14ac:dyDescent="0.2">
      <c r="A240" s="66" t="s">
        <v>1037</v>
      </c>
      <c r="B240" s="66">
        <f t="shared" si="400"/>
        <v>6</v>
      </c>
      <c r="C240" s="66">
        <f t="shared" si="401"/>
        <v>44</v>
      </c>
      <c r="E240" s="66">
        <f t="shared" ref="E240" si="484">plan_id</f>
        <v>1952</v>
      </c>
      <c r="F240" s="66">
        <f t="shared" ca="1" si="398"/>
        <v>2017</v>
      </c>
      <c r="G240" s="66">
        <f t="shared" ref="G240" ca="1" si="485">VLOOKUP(INDIRECT(CHAR(39)&amp;$A240&amp;CHAR(39)&amp;"!r2c"&amp;$C240,0),variables,2,0)</f>
        <v>10901</v>
      </c>
      <c r="H240" s="71" t="str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State Employees &amp; Teachers: 6%; Political Sub: 2.56%</v>
      </c>
    </row>
    <row r="241" spans="1:8" x14ac:dyDescent="0.2">
      <c r="A241" s="66" t="s">
        <v>1037</v>
      </c>
      <c r="B241" s="66">
        <f t="shared" si="400"/>
        <v>6</v>
      </c>
      <c r="C241" s="66">
        <f t="shared" si="401"/>
        <v>45</v>
      </c>
      <c r="E241" s="66">
        <f t="shared" ref="E241" si="486">plan_id</f>
        <v>1952</v>
      </c>
      <c r="F241" s="66">
        <f t="shared" ca="1" si="398"/>
        <v>2017</v>
      </c>
      <c r="G241" s="66">
        <f t="shared" ref="G241" ca="1" si="487">VLOOKUP(INDIRECT(CHAR(39)&amp;$A241&amp;CHAR(39)&amp;"!r2c"&amp;$C241,0),variables,2,0)</f>
        <v>10902</v>
      </c>
      <c r="H241" s="71" t="str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State Employees &amp; Teachers: 7%; Political Sub: 3.56%</v>
      </c>
    </row>
    <row r="242" spans="1:8" x14ac:dyDescent="0.2">
      <c r="A242" s="66" t="s">
        <v>1037</v>
      </c>
      <c r="B242" s="66">
        <f t="shared" si="400"/>
        <v>6</v>
      </c>
      <c r="C242" s="66">
        <f t="shared" si="401"/>
        <v>46</v>
      </c>
      <c r="E242" s="66">
        <f t="shared" ref="E242" si="488">plan_id</f>
        <v>1952</v>
      </c>
      <c r="F242" s="66">
        <f t="shared" ca="1" si="398"/>
        <v>2017</v>
      </c>
      <c r="G242" s="66">
        <f t="shared" ref="G242" ca="1" si="489">VLOOKUP(INDIRECT(CHAR(39)&amp;$A242&amp;CHAR(39)&amp;"!r2c"&amp;$C242,0),variables,2,0)</f>
        <v>10903</v>
      </c>
      <c r="H242" s="71" t="str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State Employees &amp; Teachers: 8%; Political Sub: 4.56%</v>
      </c>
    </row>
    <row r="243" spans="1:8" x14ac:dyDescent="0.2">
      <c r="A243" s="66" t="s">
        <v>1037</v>
      </c>
      <c r="B243" s="66">
        <f t="shared" si="400"/>
        <v>6</v>
      </c>
      <c r="C243" s="66">
        <f t="shared" si="401"/>
        <v>47</v>
      </c>
      <c r="E243" s="66">
        <f t="shared" ref="E243" si="490">plan_id</f>
        <v>1952</v>
      </c>
      <c r="F243" s="66">
        <f t="shared" ca="1" si="398"/>
        <v>2017</v>
      </c>
      <c r="G243" s="66">
        <f t="shared" ref="G243" ca="1" si="491">VLOOKUP(INDIRECT(CHAR(39)&amp;$A243&amp;CHAR(39)&amp;"!r2c"&amp;$C243,0),variables,2,0)</f>
        <v>10904</v>
      </c>
      <c r="H243" s="71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32077214000</v>
      </c>
    </row>
    <row r="244" spans="1:8" x14ac:dyDescent="0.2">
      <c r="A244" s="66" t="s">
        <v>1037</v>
      </c>
      <c r="B244" s="66">
        <f t="shared" si="400"/>
        <v>6</v>
      </c>
      <c r="C244" s="66">
        <f t="shared" si="401"/>
        <v>48</v>
      </c>
      <c r="E244" s="66">
        <f t="shared" ref="E244" si="492">plan_id</f>
        <v>1952</v>
      </c>
      <c r="F244" s="66">
        <f t="shared" ca="1" si="398"/>
        <v>2017</v>
      </c>
      <c r="G244" s="66">
        <f t="shared" ref="G244" ca="1" si="493">VLOOKUP(INDIRECT(CHAR(39)&amp;$A244&amp;CHAR(39)&amp;"!r2c"&amp;$C244,0),variables,2,0)</f>
        <v>10905</v>
      </c>
      <c r="H244" s="71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20439256000</v>
      </c>
    </row>
    <row r="245" spans="1:8" x14ac:dyDescent="0.2">
      <c r="A245" s="66" t="s">
        <v>1037</v>
      </c>
      <c r="B245" s="66">
        <f t="shared" si="400"/>
        <v>6</v>
      </c>
      <c r="C245" s="66">
        <f t="shared" si="401"/>
        <v>49</v>
      </c>
      <c r="E245" s="66">
        <f t="shared" ref="E245" si="494">plan_id</f>
        <v>1952</v>
      </c>
      <c r="F245" s="66">
        <f t="shared" ca="1" si="398"/>
        <v>2017</v>
      </c>
      <c r="G245" s="66">
        <f t="shared" ref="G245" ca="1" si="495">VLOOKUP(INDIRECT(CHAR(39)&amp;$A245&amp;CHAR(39)&amp;"!r2c"&amp;$C245,0),variables,2,0)</f>
        <v>10906</v>
      </c>
      <c r="H245" s="71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10765320000</v>
      </c>
    </row>
    <row r="246" spans="1:8" x14ac:dyDescent="0.2">
      <c r="A246" s="66" t="s">
        <v>1037</v>
      </c>
      <c r="B246" s="66">
        <f t="shared" si="400"/>
        <v>6</v>
      </c>
      <c r="C246" s="66">
        <f t="shared" si="401"/>
        <v>50</v>
      </c>
      <c r="E246" s="66">
        <f t="shared" ref="E246" si="496">plan_id</f>
        <v>1952</v>
      </c>
      <c r="F246" s="66">
        <f t="shared" ca="1" si="398"/>
        <v>2017</v>
      </c>
      <c r="G246" s="66">
        <f t="shared" ref="G246" ca="1" si="497">VLOOKUP(INDIRECT(CHAR(39)&amp;$A246&amp;CHAR(39)&amp;"!r2c"&amp;$C246,0),variables,2,0)</f>
        <v>10907</v>
      </c>
      <c r="H246" s="71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State Employees: 3.78; Teachers: 5.59</v>
      </c>
    </row>
    <row r="247" spans="1:8" x14ac:dyDescent="0.2">
      <c r="A247" s="66" t="s">
        <v>1037</v>
      </c>
      <c r="B247" s="66">
        <f t="shared" si="400"/>
        <v>6</v>
      </c>
      <c r="C247" s="66">
        <f t="shared" si="401"/>
        <v>51</v>
      </c>
      <c r="E247" s="66">
        <f t="shared" ref="E247" si="498">plan_id</f>
        <v>1952</v>
      </c>
      <c r="F247" s="66">
        <f t="shared" ca="1" si="398"/>
        <v>2017</v>
      </c>
      <c r="G247" s="66">
        <f t="shared" ref="G247" ca="1" si="499">VLOOKUP(INDIRECT(CHAR(39)&amp;$A247&amp;CHAR(39)&amp;"!r2c"&amp;$C247,0),variables,2,0)</f>
        <v>10860</v>
      </c>
      <c r="H247" s="71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87958007000</v>
      </c>
    </row>
    <row r="248" spans="1:8" x14ac:dyDescent="0.2">
      <c r="A248" s="66" t="s">
        <v>1037</v>
      </c>
      <c r="B248" s="66">
        <f t="shared" si="400"/>
        <v>6</v>
      </c>
      <c r="C248" s="66">
        <f t="shared" si="401"/>
        <v>52</v>
      </c>
      <c r="E248" s="66">
        <f t="shared" ref="E248" si="500">plan_id</f>
        <v>1952</v>
      </c>
      <c r="F248" s="66">
        <f t="shared" ca="1" si="398"/>
        <v>2017</v>
      </c>
      <c r="G248" s="66">
        <f t="shared" ref="G248" ca="1" si="501">VLOOKUP(INDIRECT(CHAR(39)&amp;$A248&amp;CHAR(39)&amp;"!r2c"&amp;$C248,0),variables,2,0)</f>
        <v>10909</v>
      </c>
      <c r="H248" s="71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1742304000</v>
      </c>
    </row>
    <row r="249" spans="1:8" x14ac:dyDescent="0.2">
      <c r="A249" s="66" t="s">
        <v>1037</v>
      </c>
      <c r="B249" s="66">
        <f t="shared" si="400"/>
        <v>6</v>
      </c>
      <c r="C249" s="66">
        <f t="shared" si="401"/>
        <v>53</v>
      </c>
      <c r="E249" s="66">
        <f t="shared" ref="E249" si="502">plan_id</f>
        <v>1952</v>
      </c>
      <c r="F249" s="66">
        <f t="shared" ca="1" si="398"/>
        <v>2017</v>
      </c>
      <c r="G249" s="66">
        <f t="shared" ref="G249" ca="1" si="503">VLOOKUP(INDIRECT(CHAR(39)&amp;$A249&amp;CHAR(39)&amp;"!r2c"&amp;$C249,0),variables,2,0)</f>
        <v>10910</v>
      </c>
      <c r="H249" s="71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6001779000</v>
      </c>
    </row>
    <row r="250" spans="1:8" x14ac:dyDescent="0.2">
      <c r="A250" s="66" t="s">
        <v>1037</v>
      </c>
      <c r="B250" s="66">
        <f t="shared" si="400"/>
        <v>6</v>
      </c>
      <c r="C250" s="66">
        <f t="shared" si="401"/>
        <v>54</v>
      </c>
      <c r="E250" s="66">
        <f t="shared" ref="E250" si="504">plan_id</f>
        <v>1952</v>
      </c>
      <c r="F250" s="66">
        <f t="shared" ca="1" si="398"/>
        <v>2017</v>
      </c>
      <c r="G250" s="66">
        <f t="shared" ref="G250" ca="1" si="505">VLOOKUP(INDIRECT(CHAR(39)&amp;$A250&amp;CHAR(39)&amp;"!r2c"&amp;$C250,0),variables,2,0)</f>
        <v>10911</v>
      </c>
      <c r="H250" s="71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36652000</v>
      </c>
    </row>
    <row r="251" spans="1:8" x14ac:dyDescent="0.2">
      <c r="A251" s="66" t="s">
        <v>1037</v>
      </c>
      <c r="B251" s="66">
        <f t="shared" si="400"/>
        <v>6</v>
      </c>
      <c r="C251" s="66">
        <f t="shared" si="401"/>
        <v>55</v>
      </c>
      <c r="E251" s="66">
        <f t="shared" ref="E251" si="506">plan_id</f>
        <v>1952</v>
      </c>
      <c r="F251" s="66">
        <f t="shared" ca="1" si="398"/>
        <v>2017</v>
      </c>
      <c r="G251" s="66">
        <f t="shared" ref="G251" ca="1" si="507">VLOOKUP(INDIRECT(CHAR(39)&amp;$A251&amp;CHAR(39)&amp;"!r2c"&amp;$C251,0),variables,2,0)</f>
        <v>10912</v>
      </c>
      <c r="H251" s="71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-934369000</v>
      </c>
    </row>
    <row r="252" spans="1:8" x14ac:dyDescent="0.2">
      <c r="A252" s="66" t="s">
        <v>1037</v>
      </c>
      <c r="B252" s="66">
        <f t="shared" si="400"/>
        <v>6</v>
      </c>
      <c r="C252" s="66">
        <f t="shared" si="401"/>
        <v>56</v>
      </c>
      <c r="E252" s="66">
        <f t="shared" ref="E252" si="508">plan_id</f>
        <v>1952</v>
      </c>
      <c r="F252" s="66">
        <f t="shared" ca="1" si="398"/>
        <v>2017</v>
      </c>
      <c r="G252" s="66">
        <f t="shared" ref="G252" ca="1" si="509">VLOOKUP(INDIRECT(CHAR(39)&amp;$A252&amp;CHAR(39)&amp;"!r2c"&amp;$C252,0),variables,2,0)</f>
        <v>10913</v>
      </c>
      <c r="H252" s="71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231014000</v>
      </c>
    </row>
    <row r="253" spans="1:8" x14ac:dyDescent="0.2">
      <c r="A253" s="66" t="s">
        <v>1037</v>
      </c>
      <c r="B253" s="66">
        <f t="shared" si="400"/>
        <v>6</v>
      </c>
      <c r="C253" s="66">
        <f t="shared" si="401"/>
        <v>57</v>
      </c>
      <c r="E253" s="66">
        <f t="shared" ref="E253" si="510">plan_id</f>
        <v>1952</v>
      </c>
      <c r="F253" s="66">
        <f t="shared" ca="1" si="398"/>
        <v>2017</v>
      </c>
      <c r="G253" s="66">
        <f t="shared" ref="G253" ca="1" si="511">VLOOKUP(INDIRECT(CHAR(39)&amp;$A253&amp;CHAR(39)&amp;"!r2c"&amp;$C253,0),variables,2,0)</f>
        <v>10914</v>
      </c>
      <c r="H253" s="71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2150963000</v>
      </c>
    </row>
    <row r="254" spans="1:8" x14ac:dyDescent="0.2">
      <c r="A254" s="66" t="s">
        <v>1037</v>
      </c>
      <c r="B254" s="66">
        <f t="shared" si="400"/>
        <v>6</v>
      </c>
      <c r="C254" s="66">
        <f t="shared" si="401"/>
        <v>58</v>
      </c>
      <c r="E254" s="66">
        <f t="shared" ref="E254" si="512">plan_id</f>
        <v>1952</v>
      </c>
      <c r="F254" s="66">
        <f t="shared" ca="1" si="398"/>
        <v>2017</v>
      </c>
      <c r="G254" s="66">
        <f t="shared" ref="G254" ca="1" si="513">VLOOKUP(INDIRECT(CHAR(39)&amp;$A254&amp;CHAR(39)&amp;"!r2c"&amp;$C254,0),variables,2,0)</f>
        <v>10915</v>
      </c>
      <c r="H254" s="71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832757000</v>
      </c>
    </row>
    <row r="255" spans="1:8" x14ac:dyDescent="0.2">
      <c r="A255" s="66" t="s">
        <v>1037</v>
      </c>
      <c r="B255" s="66">
        <f t="shared" si="400"/>
        <v>6</v>
      </c>
      <c r="C255" s="66">
        <f t="shared" si="401"/>
        <v>59</v>
      </c>
      <c r="E255" s="66">
        <f t="shared" ref="E255" si="514">plan_id</f>
        <v>1952</v>
      </c>
      <c r="F255" s="66">
        <f t="shared" ca="1" si="398"/>
        <v>2017</v>
      </c>
      <c r="G255" s="66">
        <f t="shared" ref="G255" ca="1" si="515">VLOOKUP(INDIRECT(CHAR(39)&amp;$A255&amp;CHAR(39)&amp;"!r2c"&amp;$C255,0),variables,2,0)</f>
        <v>10916</v>
      </c>
      <c r="H255" s="71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7710075000</v>
      </c>
    </row>
    <row r="256" spans="1:8" x14ac:dyDescent="0.2">
      <c r="A256" s="66" t="s">
        <v>1037</v>
      </c>
      <c r="B256" s="66">
        <f t="shared" si="400"/>
        <v>6</v>
      </c>
      <c r="C256" s="66">
        <f t="shared" si="401"/>
        <v>60</v>
      </c>
      <c r="E256" s="66">
        <f t="shared" ref="E256" si="516">plan_id</f>
        <v>1952</v>
      </c>
      <c r="F256" s="66">
        <f t="shared" ca="1" si="398"/>
        <v>2017</v>
      </c>
      <c r="G256" s="66">
        <f t="shared" ref="G256" ca="1" si="517">VLOOKUP(INDIRECT(CHAR(39)&amp;$A256&amp;CHAR(39)&amp;"!r2c"&amp;$C256,0),variables,2,0)</f>
        <v>10917</v>
      </c>
      <c r="H256" s="71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-4324025000</v>
      </c>
    </row>
    <row r="257" spans="1:8" x14ac:dyDescent="0.2">
      <c r="A257" s="66" t="s">
        <v>1037</v>
      </c>
      <c r="B257" s="66">
        <f t="shared" si="400"/>
        <v>6</v>
      </c>
      <c r="C257" s="66">
        <f t="shared" si="401"/>
        <v>61</v>
      </c>
      <c r="E257" s="66">
        <f t="shared" ref="E257" si="518">plan_id</f>
        <v>1952</v>
      </c>
      <c r="F257" s="66">
        <f t="shared" ca="1" si="398"/>
        <v>2017</v>
      </c>
      <c r="G257" s="66">
        <f t="shared" ref="G257" ca="1" si="519">VLOOKUP(INDIRECT(CHAR(39)&amp;$A257&amp;CHAR(39)&amp;"!r2c"&amp;$C257,0),variables,2,0)</f>
        <v>10918</v>
      </c>
      <c r="H257" s="71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-112426000</v>
      </c>
    </row>
    <row r="258" spans="1:8" x14ac:dyDescent="0.2">
      <c r="A258" s="66" t="s">
        <v>1037</v>
      </c>
      <c r="B258" s="66">
        <f t="shared" si="400"/>
        <v>6</v>
      </c>
      <c r="C258" s="66">
        <f t="shared" si="401"/>
        <v>62</v>
      </c>
      <c r="E258" s="66">
        <f t="shared" ref="E258" si="520">plan_id</f>
        <v>1952</v>
      </c>
      <c r="F258" s="66">
        <f t="shared" ca="1" si="398"/>
        <v>2017</v>
      </c>
      <c r="G258" s="66">
        <f t="shared" ref="G258" ca="1" si="521">VLOOKUP(INDIRECT(CHAR(39)&amp;$A258&amp;CHAR(39)&amp;"!r2c"&amp;$C258,0),variables,2,0)</f>
        <v>10919</v>
      </c>
      <c r="H258" s="71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-4436451000</v>
      </c>
    </row>
    <row r="259" spans="1:8" x14ac:dyDescent="0.2">
      <c r="A259" s="66" t="s">
        <v>1037</v>
      </c>
      <c r="B259" s="66">
        <f t="shared" si="400"/>
        <v>6</v>
      </c>
      <c r="C259" s="66">
        <f t="shared" si="401"/>
        <v>63</v>
      </c>
      <c r="E259" s="66">
        <f t="shared" ref="E259" si="522">plan_id</f>
        <v>1952</v>
      </c>
      <c r="F259" s="66">
        <f t="shared" ca="1" si="398"/>
        <v>2017</v>
      </c>
      <c r="G259" s="66">
        <f t="shared" ref="G259" ca="1" si="523">VLOOKUP(INDIRECT(CHAR(39)&amp;$A259&amp;CHAR(39)&amp;"!r2c"&amp;$C259,0),variables,2,0)</f>
        <v>10920</v>
      </c>
      <c r="H259" s="71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-44955000</v>
      </c>
    </row>
    <row r="260" spans="1:8" x14ac:dyDescent="0.2">
      <c r="A260" s="66" t="s">
        <v>1037</v>
      </c>
      <c r="B260" s="66">
        <f t="shared" si="400"/>
        <v>6</v>
      </c>
      <c r="C260" s="66">
        <f t="shared" si="401"/>
        <v>64</v>
      </c>
      <c r="E260" s="66">
        <f t="shared" ref="E260" si="524">plan_id</f>
        <v>1952</v>
      </c>
      <c r="F260" s="66">
        <f t="shared" ca="1" si="398"/>
        <v>2017</v>
      </c>
      <c r="G260" s="66">
        <f t="shared" ref="G260" ca="1" si="525">VLOOKUP(INDIRECT(CHAR(39)&amp;$A260&amp;CHAR(39)&amp;"!r2c"&amp;$C260,0),variables,2,0)</f>
        <v>10921</v>
      </c>
      <c r="H260" s="71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-6868000</v>
      </c>
    </row>
    <row r="261" spans="1:8" x14ac:dyDescent="0.2">
      <c r="A261" s="66" t="s">
        <v>1037</v>
      </c>
      <c r="B261" s="66">
        <f t="shared" si="400"/>
        <v>6</v>
      </c>
      <c r="C261" s="66">
        <f t="shared" si="401"/>
        <v>65</v>
      </c>
      <c r="E261" s="66">
        <f t="shared" ref="E261" si="526">plan_id</f>
        <v>1952</v>
      </c>
      <c r="F261" s="66">
        <f t="shared" ca="1" si="398"/>
        <v>2017</v>
      </c>
      <c r="G261" s="66">
        <f t="shared" ref="G261" ca="1" si="527">VLOOKUP(INDIRECT(CHAR(39)&amp;$A261&amp;CHAR(39)&amp;"!r2c"&amp;$C261,0),variables,2,0)</f>
        <v>10922</v>
      </c>
      <c r="H261" s="71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66" t="s">
        <v>1037</v>
      </c>
      <c r="B262" s="66">
        <f t="shared" si="400"/>
        <v>6</v>
      </c>
      <c r="C262" s="66">
        <f t="shared" si="401"/>
        <v>66</v>
      </c>
      <c r="E262" s="66">
        <f t="shared" ref="E262" si="528">plan_id</f>
        <v>1952</v>
      </c>
      <c r="F262" s="66">
        <f t="shared" ref="F262:F325" ca="1" si="529">INDIRECT(CHAR(39)&amp;$A262&amp;CHAR(39)&amp;"!r"&amp;$B262&amp;"c2",0)</f>
        <v>2017</v>
      </c>
      <c r="G262" s="66">
        <f t="shared" ref="G262" ca="1" si="530">VLOOKUP(INDIRECT(CHAR(39)&amp;$A262&amp;CHAR(39)&amp;"!r2c"&amp;$C262,0),variables,2,0)</f>
        <v>10860</v>
      </c>
      <c r="H262" s="71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63954159000</v>
      </c>
    </row>
    <row r="263" spans="1:8" x14ac:dyDescent="0.2">
      <c r="A263" s="66" t="s">
        <v>1037</v>
      </c>
      <c r="B263" s="66">
        <f t="shared" ref="B263:B326" si="531">B198+1</f>
        <v>6</v>
      </c>
      <c r="C263" s="66">
        <f t="shared" ref="C263:C326" si="532">C198</f>
        <v>67</v>
      </c>
      <c r="E263" s="66">
        <f t="shared" ref="E263" si="533">plan_id</f>
        <v>1952</v>
      </c>
      <c r="F263" s="66">
        <f t="shared" ca="1" si="529"/>
        <v>2017</v>
      </c>
      <c r="G263" s="66">
        <f t="shared" ref="G263" ca="1" si="534">VLOOKUP(INDIRECT(CHAR(39)&amp;$A263&amp;CHAR(39)&amp;"!r2c"&amp;$C263,0),variables,2,0)</f>
        <v>10923</v>
      </c>
      <c r="H263" s="71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20439256000</v>
      </c>
    </row>
    <row r="264" spans="1:8" x14ac:dyDescent="0.2">
      <c r="A264" s="66" t="s">
        <v>1037</v>
      </c>
      <c r="B264" s="66">
        <f t="shared" si="531"/>
        <v>7</v>
      </c>
      <c r="C264" s="66">
        <f t="shared" si="532"/>
        <v>3</v>
      </c>
      <c r="E264" s="66">
        <f t="shared" ref="E264" si="535">plan_id</f>
        <v>1952</v>
      </c>
      <c r="F264" s="66">
        <f t="shared" ca="1" si="529"/>
        <v>2018</v>
      </c>
      <c r="G264" s="66">
        <f t="shared" ref="G264" ca="1" si="536">VLOOKUP(INDIRECT(CHAR(39)&amp;$A264&amp;CHAR(39)&amp;"!r2c"&amp;$C264,0),variables,2,0)</f>
        <v>10861</v>
      </c>
      <c r="H264" s="71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2">
      <c r="A265" s="66" t="s">
        <v>1037</v>
      </c>
      <c r="B265" s="66">
        <f t="shared" si="531"/>
        <v>7</v>
      </c>
      <c r="C265" s="66">
        <f t="shared" si="532"/>
        <v>4</v>
      </c>
      <c r="E265" s="66">
        <f t="shared" ref="E265" si="537">plan_id</f>
        <v>1952</v>
      </c>
      <c r="F265" s="66">
        <f t="shared" ca="1" si="529"/>
        <v>2018</v>
      </c>
      <c r="G265" s="66">
        <f t="shared" ref="G265" ca="1" si="538">VLOOKUP(INDIRECT(CHAR(39)&amp;$A265&amp;CHAR(39)&amp;"!r2c"&amp;$C265,0),variables,2,0)</f>
        <v>10862</v>
      </c>
      <c r="H265" s="71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66" t="s">
        <v>1037</v>
      </c>
      <c r="B266" s="66">
        <f t="shared" si="531"/>
        <v>7</v>
      </c>
      <c r="C266" s="66">
        <f t="shared" si="532"/>
        <v>5</v>
      </c>
      <c r="E266" s="66">
        <f t="shared" ref="E266" si="539">plan_id</f>
        <v>1952</v>
      </c>
      <c r="F266" s="66">
        <f t="shared" ca="1" si="529"/>
        <v>2018</v>
      </c>
      <c r="G266" s="66">
        <f t="shared" ref="G266" ca="1" si="540">VLOOKUP(INDIRECT(CHAR(39)&amp;$A266&amp;CHAR(39)&amp;"!r2c"&amp;$C266,0),variables,2,0)</f>
        <v>10863</v>
      </c>
      <c r="H266" s="71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66" t="s">
        <v>1037</v>
      </c>
      <c r="B267" s="66">
        <f t="shared" si="531"/>
        <v>7</v>
      </c>
      <c r="C267" s="66">
        <f t="shared" si="532"/>
        <v>6</v>
      </c>
      <c r="E267" s="66">
        <f t="shared" ref="E267" si="541">plan_id</f>
        <v>1952</v>
      </c>
      <c r="F267" s="66">
        <f t="shared" ca="1" si="529"/>
        <v>2018</v>
      </c>
      <c r="G267" s="66">
        <f t="shared" ref="G267" ca="1" si="542">VLOOKUP(INDIRECT(CHAR(39)&amp;$A267&amp;CHAR(39)&amp;"!r2c"&amp;$C267,0),variables,2,0)</f>
        <v>10864</v>
      </c>
      <c r="H267" s="71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221580</v>
      </c>
    </row>
    <row r="268" spans="1:8" x14ac:dyDescent="0.2">
      <c r="A268" s="66" t="s">
        <v>1037</v>
      </c>
      <c r="B268" s="66">
        <f t="shared" si="531"/>
        <v>7</v>
      </c>
      <c r="C268" s="66">
        <f t="shared" si="532"/>
        <v>7</v>
      </c>
      <c r="E268" s="66">
        <f t="shared" ref="E268" si="543">plan_id</f>
        <v>1952</v>
      </c>
      <c r="F268" s="66">
        <f t="shared" ca="1" si="529"/>
        <v>2018</v>
      </c>
      <c r="G268" s="66">
        <f t="shared" ref="G268" ca="1" si="544">VLOOKUP(INDIRECT(CHAR(39)&amp;$A268&amp;CHAR(39)&amp;"!r2c"&amp;$C268,0),variables,2,0)</f>
        <v>10865</v>
      </c>
      <c r="H268" s="71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52284</v>
      </c>
    </row>
    <row r="269" spans="1:8" x14ac:dyDescent="0.2">
      <c r="A269" s="66" t="s">
        <v>1037</v>
      </c>
      <c r="B269" s="66">
        <f t="shared" si="531"/>
        <v>7</v>
      </c>
      <c r="C269" s="66">
        <f t="shared" si="532"/>
        <v>8</v>
      </c>
      <c r="E269" s="66">
        <f t="shared" ref="E269" si="545">plan_id</f>
        <v>1952</v>
      </c>
      <c r="F269" s="66">
        <f t="shared" ca="1" si="529"/>
        <v>2018</v>
      </c>
      <c r="G269" s="66">
        <f t="shared" ref="G269" ca="1" si="546">VLOOKUP(INDIRECT(CHAR(39)&amp;$A269&amp;CHAR(39)&amp;"!r2c"&amp;$C269,0),variables,2,0)</f>
        <v>10866</v>
      </c>
      <c r="H269" s="71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88844</v>
      </c>
    </row>
    <row r="270" spans="1:8" x14ac:dyDescent="0.2">
      <c r="A270" s="66" t="s">
        <v>1037</v>
      </c>
      <c r="B270" s="66">
        <f t="shared" si="531"/>
        <v>7</v>
      </c>
      <c r="C270" s="66">
        <f t="shared" si="532"/>
        <v>9</v>
      </c>
      <c r="E270" s="66">
        <f t="shared" ref="E270" si="547">plan_id</f>
        <v>1952</v>
      </c>
      <c r="F270" s="66">
        <f t="shared" ca="1" si="529"/>
        <v>2018</v>
      </c>
      <c r="G270" s="66">
        <f t="shared" ref="G270" ca="1" si="548">VLOOKUP(INDIRECT(CHAR(39)&amp;$A270&amp;CHAR(39)&amp;"!r2c"&amp;$C270,0),variables,2,0)</f>
        <v>10867</v>
      </c>
      <c r="H270" s="71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380561</v>
      </c>
    </row>
    <row r="271" spans="1:8" x14ac:dyDescent="0.2">
      <c r="A271" s="66" t="s">
        <v>1037</v>
      </c>
      <c r="B271" s="66">
        <f t="shared" si="531"/>
        <v>7</v>
      </c>
      <c r="C271" s="66">
        <f t="shared" si="532"/>
        <v>10</v>
      </c>
      <c r="E271" s="66">
        <f t="shared" ref="E271" si="549">plan_id</f>
        <v>1952</v>
      </c>
      <c r="F271" s="66">
        <f t="shared" ca="1" si="529"/>
        <v>2018</v>
      </c>
      <c r="G271" s="66">
        <f t="shared" ref="G271" ca="1" si="550">VLOOKUP(INDIRECT(CHAR(39)&amp;$A271&amp;CHAR(39)&amp;"!r2c"&amp;$C271,0),variables,2,0)</f>
        <v>10868</v>
      </c>
      <c r="H271" s="71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743269</v>
      </c>
    </row>
    <row r="272" spans="1:8" x14ac:dyDescent="0.2">
      <c r="A272" s="66" t="s">
        <v>1037</v>
      </c>
      <c r="B272" s="66">
        <f t="shared" si="531"/>
        <v>7</v>
      </c>
      <c r="C272" s="66">
        <f t="shared" si="532"/>
        <v>11</v>
      </c>
      <c r="E272" s="66">
        <f t="shared" ref="E272" si="551">plan_id</f>
        <v>1952</v>
      </c>
      <c r="F272" s="66">
        <f t="shared" ca="1" si="529"/>
        <v>2018</v>
      </c>
      <c r="G272" s="66">
        <f t="shared" ref="G272" ca="1" si="552">VLOOKUP(INDIRECT(CHAR(39)&amp;$A272&amp;CHAR(39)&amp;"!r2c"&amp;$C272,0),variables,2,0)</f>
        <v>10869</v>
      </c>
      <c r="H272" s="7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2">
      <c r="A273" s="66" t="s">
        <v>1037</v>
      </c>
      <c r="B273" s="66">
        <f t="shared" si="531"/>
        <v>7</v>
      </c>
      <c r="C273" s="66">
        <f t="shared" si="532"/>
        <v>12</v>
      </c>
      <c r="E273" s="66">
        <f t="shared" ref="E273" si="553">plan_id</f>
        <v>1952</v>
      </c>
      <c r="F273" s="66">
        <f t="shared" ca="1" si="529"/>
        <v>2018</v>
      </c>
      <c r="G273" s="66">
        <f t="shared" ref="G273" ca="1" si="554">VLOOKUP(INDIRECT(CHAR(39)&amp;$A273&amp;CHAR(39)&amp;"!r2c"&amp;$C273,0),variables,2,0)</f>
        <v>10870</v>
      </c>
      <c r="H273" s="7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2">
      <c r="A274" s="66" t="s">
        <v>1037</v>
      </c>
      <c r="B274" s="66">
        <f t="shared" si="531"/>
        <v>7</v>
      </c>
      <c r="C274" s="66">
        <f t="shared" si="532"/>
        <v>13</v>
      </c>
      <c r="E274" s="66">
        <f t="shared" ref="E274" si="555">plan_id</f>
        <v>1952</v>
      </c>
      <c r="F274" s="66">
        <f t="shared" ca="1" si="529"/>
        <v>2018</v>
      </c>
      <c r="G274" s="66">
        <f t="shared" ref="G274" ca="1" si="556">VLOOKUP(INDIRECT(CHAR(39)&amp;$A274&amp;CHAR(39)&amp;"!r2c"&amp;$C274,0),variables,2,0)</f>
        <v>10871</v>
      </c>
      <c r="H274" s="7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2">
      <c r="A275" s="66" t="s">
        <v>1037</v>
      </c>
      <c r="B275" s="66">
        <f t="shared" si="531"/>
        <v>7</v>
      </c>
      <c r="C275" s="66">
        <f t="shared" si="532"/>
        <v>14</v>
      </c>
      <c r="E275" s="66">
        <f t="shared" ref="E275" si="557">plan_id</f>
        <v>1952</v>
      </c>
      <c r="F275" s="66">
        <f t="shared" ca="1" si="529"/>
        <v>2018</v>
      </c>
      <c r="G275" s="66">
        <f t="shared" ref="G275" ca="1" si="558">VLOOKUP(INDIRECT(CHAR(39)&amp;$A275&amp;CHAR(39)&amp;"!r2c"&amp;$C275,0),variables,2,0)</f>
        <v>10872</v>
      </c>
      <c r="H275" s="71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2">
      <c r="A276" s="66" t="s">
        <v>1037</v>
      </c>
      <c r="B276" s="66">
        <f t="shared" si="531"/>
        <v>7</v>
      </c>
      <c r="C276" s="66">
        <f t="shared" si="532"/>
        <v>15</v>
      </c>
      <c r="E276" s="66">
        <f t="shared" ref="E276" si="559">plan_id</f>
        <v>1952</v>
      </c>
      <c r="F276" s="66">
        <f t="shared" ca="1" si="529"/>
        <v>2018</v>
      </c>
      <c r="G276" s="66">
        <f t="shared" ref="G276" ca="1" si="560">VLOOKUP(INDIRECT(CHAR(39)&amp;$A276&amp;CHAR(39)&amp;"!r2c"&amp;$C276,0),variables,2,0)</f>
        <v>10873</v>
      </c>
      <c r="H276" s="7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2">
      <c r="A277" s="66" t="s">
        <v>1037</v>
      </c>
      <c r="B277" s="66">
        <f t="shared" si="531"/>
        <v>7</v>
      </c>
      <c r="C277" s="66">
        <f t="shared" si="532"/>
        <v>16</v>
      </c>
      <c r="E277" s="66">
        <f t="shared" ref="E277" si="561">plan_id</f>
        <v>1952</v>
      </c>
      <c r="F277" s="66">
        <f t="shared" ca="1" si="529"/>
        <v>2018</v>
      </c>
      <c r="G277" s="66">
        <f t="shared" ref="G277" ca="1" si="562">VLOOKUP(INDIRECT(CHAR(39)&amp;$A277&amp;CHAR(39)&amp;"!r2c"&amp;$C277,0),variables,2,0)</f>
        <v>10874</v>
      </c>
      <c r="H277" s="7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2">
      <c r="A278" s="66" t="s">
        <v>1037</v>
      </c>
      <c r="B278" s="66">
        <f t="shared" si="531"/>
        <v>7</v>
      </c>
      <c r="C278" s="66">
        <f t="shared" si="532"/>
        <v>17</v>
      </c>
      <c r="E278" s="66">
        <f t="shared" ref="E278" si="563">plan_id</f>
        <v>1952</v>
      </c>
      <c r="F278" s="66">
        <f t="shared" ca="1" si="529"/>
        <v>2018</v>
      </c>
      <c r="G278" s="66">
        <f t="shared" ref="G278" ca="1" si="564">VLOOKUP(INDIRECT(CHAR(39)&amp;$A278&amp;CHAR(39)&amp;"!r2c"&amp;$C278,0),variables,2,0)</f>
        <v>10875</v>
      </c>
      <c r="H278" s="71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93123111000</v>
      </c>
    </row>
    <row r="279" spans="1:8" x14ac:dyDescent="0.2">
      <c r="A279" s="66" t="s">
        <v>1037</v>
      </c>
      <c r="B279" s="66">
        <f t="shared" si="531"/>
        <v>7</v>
      </c>
      <c r="C279" s="66">
        <f t="shared" si="532"/>
        <v>18</v>
      </c>
      <c r="E279" s="66">
        <f t="shared" ref="E279" si="565">plan_id</f>
        <v>1952</v>
      </c>
      <c r="F279" s="66">
        <f t="shared" ca="1" si="529"/>
        <v>2018</v>
      </c>
      <c r="G279" s="66">
        <f t="shared" ref="G279" ca="1" si="566">VLOOKUP(INDIRECT(CHAR(39)&amp;$A279&amp;CHAR(39)&amp;"!r2c"&amp;$C279,0),variables,2,0)</f>
        <v>10876</v>
      </c>
      <c r="H279" s="71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73754573000</v>
      </c>
    </row>
    <row r="280" spans="1:8" x14ac:dyDescent="0.2">
      <c r="A280" s="66" t="s">
        <v>1037</v>
      </c>
      <c r="B280" s="66">
        <f t="shared" si="531"/>
        <v>7</v>
      </c>
      <c r="C280" s="66">
        <f t="shared" si="532"/>
        <v>19</v>
      </c>
      <c r="E280" s="66">
        <f t="shared" ref="E280" si="567">plan_id</f>
        <v>1952</v>
      </c>
      <c r="F280" s="66">
        <f t="shared" ca="1" si="529"/>
        <v>2018</v>
      </c>
      <c r="G280" s="66">
        <f t="shared" ref="G280" ca="1" si="568">VLOOKUP(INDIRECT(CHAR(39)&amp;$A280&amp;CHAR(39)&amp;"!r2c"&amp;$C280,0),variables,2,0)</f>
        <v>10877</v>
      </c>
      <c r="H280" s="71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19368538000</v>
      </c>
    </row>
    <row r="281" spans="1:8" x14ac:dyDescent="0.2">
      <c r="A281" s="66" t="s">
        <v>1037</v>
      </c>
      <c r="B281" s="66">
        <f t="shared" si="531"/>
        <v>7</v>
      </c>
      <c r="C281" s="66">
        <f t="shared" si="532"/>
        <v>20</v>
      </c>
      <c r="E281" s="66">
        <f t="shared" ref="E281" si="569">plan_id</f>
        <v>1952</v>
      </c>
      <c r="F281" s="66">
        <f t="shared" ca="1" si="529"/>
        <v>2018</v>
      </c>
      <c r="G281" s="66">
        <f t="shared" ref="G281" ca="1" si="570">VLOOKUP(INDIRECT(CHAR(39)&amp;$A281&amp;CHAR(39)&amp;"!r2c"&amp;$C281,0),variables,2,0)</f>
        <v>10878</v>
      </c>
      <c r="H281" s="71" t="str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State: 77.39%; Teacher: 74.81%; Political Subdivision: 90.24%</v>
      </c>
    </row>
    <row r="282" spans="1:8" x14ac:dyDescent="0.2">
      <c r="A282" s="66" t="s">
        <v>1037</v>
      </c>
      <c r="B282" s="66">
        <f t="shared" si="531"/>
        <v>7</v>
      </c>
      <c r="C282" s="66">
        <f t="shared" si="532"/>
        <v>21</v>
      </c>
      <c r="E282" s="66">
        <f t="shared" ref="E282" si="571">plan_id</f>
        <v>1952</v>
      </c>
      <c r="F282" s="66">
        <f t="shared" ca="1" si="529"/>
        <v>2018</v>
      </c>
      <c r="G282" s="66">
        <f t="shared" ref="G282" ca="1" si="572">VLOOKUP(INDIRECT(CHAR(39)&amp;$A282&amp;CHAR(39)&amp;"!r2c"&amp;$C282,0),variables,2,0)</f>
        <v>10879</v>
      </c>
      <c r="H282" s="71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17171698000</v>
      </c>
    </row>
    <row r="283" spans="1:8" x14ac:dyDescent="0.2">
      <c r="A283" s="66" t="s">
        <v>1037</v>
      </c>
      <c r="B283" s="66">
        <f t="shared" si="531"/>
        <v>7</v>
      </c>
      <c r="C283" s="66">
        <f t="shared" si="532"/>
        <v>22</v>
      </c>
      <c r="E283" s="66">
        <f t="shared" ref="E283" si="573">plan_id</f>
        <v>1952</v>
      </c>
      <c r="F283" s="66">
        <f t="shared" ca="1" si="529"/>
        <v>2018</v>
      </c>
      <c r="G283" s="66">
        <f t="shared" ref="G283" ca="1" si="574">VLOOKUP(INDIRECT(CHAR(39)&amp;$A283&amp;CHAR(39)&amp;"!r2c"&amp;$C283,0),variables,2,0)</f>
        <v>10880</v>
      </c>
      <c r="H283" s="71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1097317000</v>
      </c>
    </row>
    <row r="284" spans="1:8" x14ac:dyDescent="0.2">
      <c r="A284" s="66" t="s">
        <v>1037</v>
      </c>
      <c r="B284" s="66">
        <f t="shared" si="531"/>
        <v>7</v>
      </c>
      <c r="C284" s="66">
        <f t="shared" si="532"/>
        <v>23</v>
      </c>
      <c r="E284" s="66">
        <f t="shared" ref="E284" si="575">plan_id</f>
        <v>1952</v>
      </c>
      <c r="F284" s="66">
        <f t="shared" ca="1" si="529"/>
        <v>2018</v>
      </c>
      <c r="G284" s="66">
        <f t="shared" ref="G284" ca="1" si="576">VLOOKUP(INDIRECT(CHAR(39)&amp;$A284&amp;CHAR(39)&amp;"!r2c"&amp;$C284,0),variables,2,0)</f>
        <v>10881</v>
      </c>
      <c r="H284" s="71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650070000</v>
      </c>
    </row>
    <row r="285" spans="1:8" x14ac:dyDescent="0.2">
      <c r="A285" s="66" t="s">
        <v>1037</v>
      </c>
      <c r="B285" s="66">
        <f t="shared" si="531"/>
        <v>7</v>
      </c>
      <c r="C285" s="66">
        <f t="shared" si="532"/>
        <v>24</v>
      </c>
      <c r="E285" s="66">
        <f t="shared" ref="E285" si="577">plan_id</f>
        <v>1952</v>
      </c>
      <c r="F285" s="66">
        <f t="shared" ca="1" si="529"/>
        <v>2018</v>
      </c>
      <c r="G285" s="66">
        <f t="shared" ref="G285" ca="1" si="578">VLOOKUP(INDIRECT(CHAR(39)&amp;$A285&amp;CHAR(39)&amp;"!r2c"&amp;$C285,0),variables,2,0)</f>
        <v>10882</v>
      </c>
      <c r="H285" s="71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2526161000</v>
      </c>
    </row>
    <row r="286" spans="1:8" x14ac:dyDescent="0.2">
      <c r="A286" s="66" t="s">
        <v>1037</v>
      </c>
      <c r="B286" s="66">
        <f t="shared" si="531"/>
        <v>7</v>
      </c>
      <c r="C286" s="66">
        <f t="shared" si="532"/>
        <v>25</v>
      </c>
      <c r="E286" s="66">
        <f t="shared" ref="E286" si="579">plan_id</f>
        <v>1952</v>
      </c>
      <c r="F286" s="66">
        <f t="shared" ca="1" si="529"/>
        <v>2018</v>
      </c>
      <c r="G286" s="66">
        <f t="shared" ref="G286" ca="1" si="580">VLOOKUP(INDIRECT(CHAR(39)&amp;$A286&amp;CHAR(39)&amp;"!r2c"&amp;$C286,0),variables,2,0)</f>
        <v>10883</v>
      </c>
      <c r="H286" s="7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0.13888579917955696</v>
      </c>
    </row>
    <row r="287" spans="1:8" x14ac:dyDescent="0.2">
      <c r="A287" s="66" t="s">
        <v>1037</v>
      </c>
      <c r="B287" s="66">
        <f t="shared" si="531"/>
        <v>7</v>
      </c>
      <c r="C287" s="66">
        <f t="shared" si="532"/>
        <v>26</v>
      </c>
      <c r="E287" s="66">
        <f t="shared" ref="E287" si="581">plan_id</f>
        <v>1952</v>
      </c>
      <c r="F287" s="66">
        <f t="shared" ca="1" si="529"/>
        <v>2018</v>
      </c>
      <c r="G287" s="66">
        <f t="shared" ref="G287" ca="1" si="582">VLOOKUP(INDIRECT(CHAR(39)&amp;$A287&amp;CHAR(39)&amp;"!r2c"&amp;$C287,0),variables,2,0)</f>
        <v>10884</v>
      </c>
      <c r="H287" s="7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0.14210033276848918</v>
      </c>
    </row>
    <row r="288" spans="1:8" x14ac:dyDescent="0.2">
      <c r="A288" s="66" t="s">
        <v>1037</v>
      </c>
      <c r="B288" s="66">
        <f t="shared" si="531"/>
        <v>7</v>
      </c>
      <c r="C288" s="66">
        <f t="shared" si="532"/>
        <v>27</v>
      </c>
      <c r="E288" s="66">
        <f t="shared" ref="E288" si="583">plan_id</f>
        <v>1952</v>
      </c>
      <c r="F288" s="66">
        <f t="shared" ca="1" si="529"/>
        <v>2018</v>
      </c>
      <c r="G288" s="66">
        <f t="shared" ref="G288" ca="1" si="584">VLOOKUP(INDIRECT(CHAR(39)&amp;$A288&amp;CHAR(39)&amp;"!r2c"&amp;$C288,0),variables,2,0)</f>
        <v>10885</v>
      </c>
      <c r="H288" s="71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2384905000</v>
      </c>
    </row>
    <row r="289" spans="1:8" x14ac:dyDescent="0.2">
      <c r="A289" s="66" t="s">
        <v>1037</v>
      </c>
      <c r="B289" s="66">
        <f t="shared" si="531"/>
        <v>7</v>
      </c>
      <c r="C289" s="66">
        <f t="shared" si="532"/>
        <v>28</v>
      </c>
      <c r="E289" s="66">
        <f t="shared" ref="E289" si="585">plan_id</f>
        <v>1952</v>
      </c>
      <c r="F289" s="66">
        <f t="shared" ca="1" si="529"/>
        <v>2018</v>
      </c>
      <c r="G289" s="66">
        <f t="shared" ref="G289" ca="1" si="586">VLOOKUP(INDIRECT(CHAR(39)&amp;$A289&amp;CHAR(39)&amp;"!r2c"&amp;$C289,0),variables,2,0)</f>
        <v>10886</v>
      </c>
      <c r="H289" s="71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2440104000</v>
      </c>
    </row>
    <row r="290" spans="1:8" x14ac:dyDescent="0.2">
      <c r="A290" s="66" t="s">
        <v>1037</v>
      </c>
      <c r="B290" s="66">
        <f t="shared" si="531"/>
        <v>7</v>
      </c>
      <c r="C290" s="66">
        <f t="shared" si="532"/>
        <v>29</v>
      </c>
      <c r="E290" s="66">
        <f t="shared" ref="E290" si="587">plan_id</f>
        <v>1952</v>
      </c>
      <c r="F290" s="66">
        <f t="shared" ca="1" si="529"/>
        <v>2018</v>
      </c>
      <c r="G290" s="66">
        <f t="shared" ref="G290" ca="1" si="588">VLOOKUP(INDIRECT(CHAR(39)&amp;$A290&amp;CHAR(39)&amp;"!r2c"&amp;$C290,0),variables,2,0)</f>
        <v>10887</v>
      </c>
      <c r="H290" s="71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-55199000</v>
      </c>
    </row>
    <row r="291" spans="1:8" x14ac:dyDescent="0.2">
      <c r="A291" s="66" t="s">
        <v>1037</v>
      </c>
      <c r="B291" s="66">
        <f t="shared" si="531"/>
        <v>7</v>
      </c>
      <c r="C291" s="66">
        <f t="shared" si="532"/>
        <v>30</v>
      </c>
      <c r="E291" s="66">
        <f t="shared" ref="E291" si="589">plan_id</f>
        <v>1952</v>
      </c>
      <c r="F291" s="66">
        <f t="shared" ca="1" si="529"/>
        <v>2018</v>
      </c>
      <c r="G291" s="66">
        <f t="shared" ref="G291" ca="1" si="590">VLOOKUP(INDIRECT(CHAR(39)&amp;$A291&amp;CHAR(39)&amp;"!r2c"&amp;$C291,0),variables,2,0)</f>
        <v>10883</v>
      </c>
      <c r="H291" s="7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1.0231451567253202</v>
      </c>
    </row>
    <row r="292" spans="1:8" x14ac:dyDescent="0.2">
      <c r="A292" s="66" t="s">
        <v>1037</v>
      </c>
      <c r="B292" s="66">
        <f t="shared" si="531"/>
        <v>7</v>
      </c>
      <c r="C292" s="66">
        <f t="shared" si="532"/>
        <v>31</v>
      </c>
      <c r="E292" s="66">
        <f t="shared" ref="E292" si="591">plan_id</f>
        <v>1952</v>
      </c>
      <c r="F292" s="66">
        <f t="shared" ca="1" si="529"/>
        <v>2018</v>
      </c>
      <c r="G292" s="66">
        <f t="shared" ref="G292" ca="1" si="592">VLOOKUP(INDIRECT(CHAR(39)&amp;$A292&amp;CHAR(39)&amp;"!r2c"&amp;$C292,0),variables,2,0)</f>
        <v>10889</v>
      </c>
      <c r="H292" s="71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1806237000</v>
      </c>
    </row>
    <row r="293" spans="1:8" x14ac:dyDescent="0.2">
      <c r="A293" s="66" t="s">
        <v>1037</v>
      </c>
      <c r="B293" s="66">
        <f t="shared" si="531"/>
        <v>7</v>
      </c>
      <c r="C293" s="66">
        <f t="shared" si="532"/>
        <v>32</v>
      </c>
      <c r="E293" s="66">
        <f t="shared" ref="E293" si="593">plan_id</f>
        <v>1952</v>
      </c>
      <c r="F293" s="66">
        <f t="shared" ca="1" si="529"/>
        <v>2018</v>
      </c>
      <c r="G293" s="66">
        <f t="shared" ref="G293" ca="1" si="594">VLOOKUP(INDIRECT(CHAR(39)&amp;$A293&amp;CHAR(39)&amp;"!r2c"&amp;$C293,0),variables,2,0)</f>
        <v>10890</v>
      </c>
      <c r="H293" s="71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6178790000</v>
      </c>
    </row>
    <row r="294" spans="1:8" x14ac:dyDescent="0.2">
      <c r="A294" s="66" t="s">
        <v>1037</v>
      </c>
      <c r="B294" s="66">
        <f t="shared" si="531"/>
        <v>7</v>
      </c>
      <c r="C294" s="66">
        <f t="shared" si="532"/>
        <v>33</v>
      </c>
      <c r="E294" s="66">
        <f t="shared" ref="E294" si="595">plan_id</f>
        <v>1952</v>
      </c>
      <c r="F294" s="66">
        <f t="shared" ca="1" si="529"/>
        <v>2018</v>
      </c>
      <c r="G294" s="66">
        <f t="shared" ref="G294" ca="1" si="596">VLOOKUP(INDIRECT(CHAR(39)&amp;$A294&amp;CHAR(39)&amp;"!r2c"&amp;$C294,0),variables,2,0)</f>
        <v>10891</v>
      </c>
      <c r="H294" s="71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10811000</v>
      </c>
    </row>
    <row r="295" spans="1:8" x14ac:dyDescent="0.2">
      <c r="A295" s="66" t="s">
        <v>1037</v>
      </c>
      <c r="B295" s="66">
        <f t="shared" si="531"/>
        <v>7</v>
      </c>
      <c r="C295" s="66">
        <f t="shared" si="532"/>
        <v>34</v>
      </c>
      <c r="E295" s="66">
        <f t="shared" ref="E295" si="597">plan_id</f>
        <v>1952</v>
      </c>
      <c r="F295" s="66">
        <f t="shared" ca="1" si="529"/>
        <v>2018</v>
      </c>
      <c r="G295" s="66">
        <f t="shared" ref="G295" ca="1" si="598">VLOOKUP(INDIRECT(CHAR(39)&amp;$A295&amp;CHAR(39)&amp;"!r2c"&amp;$C295,0),variables,2,0)</f>
        <v>10892</v>
      </c>
      <c r="H295" s="71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-184547000</v>
      </c>
    </row>
    <row r="296" spans="1:8" x14ac:dyDescent="0.2">
      <c r="A296" s="66" t="s">
        <v>1037</v>
      </c>
      <c r="B296" s="66">
        <f t="shared" si="531"/>
        <v>7</v>
      </c>
      <c r="C296" s="66">
        <f t="shared" si="532"/>
        <v>35</v>
      </c>
      <c r="E296" s="66">
        <f t="shared" ref="E296" si="599">plan_id</f>
        <v>1952</v>
      </c>
      <c r="F296" s="66">
        <f t="shared" ca="1" si="529"/>
        <v>2018</v>
      </c>
      <c r="G296" s="66">
        <f t="shared" ref="G296" ca="1" si="600">VLOOKUP(INDIRECT(CHAR(39)&amp;$A296&amp;CHAR(39)&amp;"!r2c"&amp;$C296,0),variables,2,0)</f>
        <v>10893</v>
      </c>
      <c r="H296" s="71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66" t="s">
        <v>1037</v>
      </c>
      <c r="B297" s="66">
        <f t="shared" si="531"/>
        <v>7</v>
      </c>
      <c r="C297" s="66">
        <f t="shared" si="532"/>
        <v>36</v>
      </c>
      <c r="E297" s="66">
        <f t="shared" ref="E297" si="601">plan_id</f>
        <v>1952</v>
      </c>
      <c r="F297" s="66">
        <f t="shared" ca="1" si="529"/>
        <v>2018</v>
      </c>
      <c r="G297" s="66">
        <f t="shared" ref="G297" ca="1" si="602">VLOOKUP(INDIRECT(CHAR(39)&amp;$A297&amp;CHAR(39)&amp;"!r2c"&amp;$C297,0),variables,2,0)</f>
        <v>10894</v>
      </c>
      <c r="H297" s="71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-834749000</v>
      </c>
    </row>
    <row r="298" spans="1:8" x14ac:dyDescent="0.2">
      <c r="A298" s="66" t="s">
        <v>1037</v>
      </c>
      <c r="B298" s="66">
        <f t="shared" si="531"/>
        <v>7</v>
      </c>
      <c r="C298" s="66">
        <f t="shared" si="532"/>
        <v>37</v>
      </c>
      <c r="E298" s="66">
        <f t="shared" ref="E298" si="603">plan_id</f>
        <v>1952</v>
      </c>
      <c r="F298" s="66">
        <f t="shared" ca="1" si="529"/>
        <v>2018</v>
      </c>
      <c r="G298" s="66">
        <f t="shared" ref="G298" ca="1" si="604">VLOOKUP(INDIRECT(CHAR(39)&amp;$A298&amp;CHAR(39)&amp;"!r2c"&amp;$C298,0),variables,2,0)</f>
        <v>10895</v>
      </c>
      <c r="H298" s="71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-4857139000</v>
      </c>
    </row>
    <row r="299" spans="1:8" x14ac:dyDescent="0.2">
      <c r="A299" s="66" t="s">
        <v>1037</v>
      </c>
      <c r="B299" s="66">
        <f t="shared" si="531"/>
        <v>7</v>
      </c>
      <c r="C299" s="66">
        <f t="shared" si="532"/>
        <v>38</v>
      </c>
      <c r="E299" s="66">
        <f t="shared" ref="E299" si="605">plan_id</f>
        <v>1952</v>
      </c>
      <c r="F299" s="66">
        <f t="shared" ca="1" si="529"/>
        <v>2018</v>
      </c>
      <c r="G299" s="66">
        <f t="shared" ref="G299" ca="1" si="606">VLOOKUP(INDIRECT(CHAR(39)&amp;$A299&amp;CHAR(39)&amp;"!r2c"&amp;$C299,0),variables,2,0)</f>
        <v>10896</v>
      </c>
      <c r="H299" s="71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-56343000</v>
      </c>
    </row>
    <row r="300" spans="1:8" x14ac:dyDescent="0.2">
      <c r="A300" s="66" t="s">
        <v>1037</v>
      </c>
      <c r="B300" s="66">
        <f t="shared" si="531"/>
        <v>7</v>
      </c>
      <c r="C300" s="66">
        <f t="shared" si="532"/>
        <v>39</v>
      </c>
      <c r="E300" s="66">
        <f t="shared" ref="E300" si="607">plan_id</f>
        <v>1952</v>
      </c>
      <c r="F300" s="66">
        <f t="shared" ca="1" si="529"/>
        <v>2018</v>
      </c>
      <c r="G300" s="66">
        <f t="shared" ref="G300" ca="1" si="608">VLOOKUP(INDIRECT(CHAR(39)&amp;$A300&amp;CHAR(39)&amp;"!r2c"&amp;$C300,0),variables,2,0)</f>
        <v>10897</v>
      </c>
      <c r="H300" s="71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44662000</v>
      </c>
    </row>
    <row r="301" spans="1:8" x14ac:dyDescent="0.2">
      <c r="A301" s="66" t="s">
        <v>1037</v>
      </c>
      <c r="B301" s="66">
        <f t="shared" si="531"/>
        <v>7</v>
      </c>
      <c r="C301" s="66">
        <f t="shared" si="532"/>
        <v>40</v>
      </c>
      <c r="E301" s="66">
        <f t="shared" ref="E301" si="609">plan_id</f>
        <v>1952</v>
      </c>
      <c r="F301" s="66">
        <f t="shared" ca="1" si="529"/>
        <v>2018</v>
      </c>
      <c r="G301" s="66">
        <f t="shared" ref="G301" ca="1" si="610">VLOOKUP(INDIRECT(CHAR(39)&amp;$A301&amp;CHAR(39)&amp;"!r2c"&amp;$C301,0),variables,2,0)</f>
        <v>10898</v>
      </c>
      <c r="H301" s="71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1072994000</v>
      </c>
    </row>
    <row r="302" spans="1:8" x14ac:dyDescent="0.2">
      <c r="A302" s="66" t="s">
        <v>1037</v>
      </c>
      <c r="B302" s="66">
        <f t="shared" si="531"/>
        <v>7</v>
      </c>
      <c r="C302" s="66">
        <f t="shared" si="532"/>
        <v>41</v>
      </c>
      <c r="E302" s="66">
        <f t="shared" ref="E302" si="611">plan_id</f>
        <v>1952</v>
      </c>
      <c r="F302" s="66">
        <f t="shared" ca="1" si="529"/>
        <v>2018</v>
      </c>
      <c r="G302" s="66">
        <f t="shared" ref="G302" ca="1" si="612">VLOOKUP(INDIRECT(CHAR(39)&amp;$A302&amp;CHAR(39)&amp;"!r2c"&amp;$C302,0),variables,2,0)</f>
        <v>10899</v>
      </c>
      <c r="H302" s="71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-2087988000</v>
      </c>
    </row>
    <row r="303" spans="1:8" x14ac:dyDescent="0.2">
      <c r="A303" s="66" t="s">
        <v>1037</v>
      </c>
      <c r="B303" s="66">
        <f t="shared" si="531"/>
        <v>7</v>
      </c>
      <c r="C303" s="66">
        <f t="shared" si="532"/>
        <v>42</v>
      </c>
      <c r="E303" s="66">
        <f t="shared" ref="E303" si="613">plan_id</f>
        <v>1952</v>
      </c>
      <c r="F303" s="66">
        <f t="shared" ca="1" si="529"/>
        <v>2018</v>
      </c>
      <c r="G303" s="66">
        <f t="shared" ref="G303" ca="1" si="614">VLOOKUP(INDIRECT(CHAR(39)&amp;$A303&amp;CHAR(39)&amp;"!r2c"&amp;$C303,0),variables,2,0)</f>
        <v>11006</v>
      </c>
      <c r="H303" s="71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4589000</v>
      </c>
    </row>
    <row r="304" spans="1:8" x14ac:dyDescent="0.2">
      <c r="A304" s="66" t="s">
        <v>1037</v>
      </c>
      <c r="B304" s="66">
        <f t="shared" si="531"/>
        <v>7</v>
      </c>
      <c r="C304" s="66">
        <f t="shared" si="532"/>
        <v>43</v>
      </c>
      <c r="E304" s="66">
        <f t="shared" ref="E304" si="615">plan_id</f>
        <v>1952</v>
      </c>
      <c r="F304" s="66">
        <f t="shared" ca="1" si="529"/>
        <v>2018</v>
      </c>
      <c r="G304" s="66">
        <f t="shared" ref="G304" ca="1" si="616">VLOOKUP(INDIRECT(CHAR(39)&amp;$A304&amp;CHAR(39)&amp;"!r2c"&amp;$C304,0),variables,2,0)</f>
        <v>10900</v>
      </c>
      <c r="H304" s="71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1097317000</v>
      </c>
    </row>
    <row r="305" spans="1:8" x14ac:dyDescent="0.2">
      <c r="A305" s="66" t="s">
        <v>1037</v>
      </c>
      <c r="B305" s="66">
        <f t="shared" si="531"/>
        <v>7</v>
      </c>
      <c r="C305" s="66">
        <f t="shared" si="532"/>
        <v>44</v>
      </c>
      <c r="E305" s="66">
        <f t="shared" ref="E305" si="617">plan_id</f>
        <v>1952</v>
      </c>
      <c r="F305" s="66">
        <f t="shared" ca="1" si="529"/>
        <v>2018</v>
      </c>
      <c r="G305" s="66">
        <f t="shared" ref="G305" ca="1" si="618">VLOOKUP(INDIRECT(CHAR(39)&amp;$A305&amp;CHAR(39)&amp;"!r2c"&amp;$C305,0),variables,2,0)</f>
        <v>10901</v>
      </c>
      <c r="H305" s="71" t="str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State Employees &amp; Teachers: 6%; Political Sub: 2.89%</v>
      </c>
    </row>
    <row r="306" spans="1:8" x14ac:dyDescent="0.2">
      <c r="A306" s="66" t="s">
        <v>1037</v>
      </c>
      <c r="B306" s="66">
        <f t="shared" si="531"/>
        <v>7</v>
      </c>
      <c r="C306" s="66">
        <f t="shared" si="532"/>
        <v>45</v>
      </c>
      <c r="E306" s="66">
        <f t="shared" ref="E306" si="619">plan_id</f>
        <v>1952</v>
      </c>
      <c r="F306" s="66">
        <f t="shared" ca="1" si="529"/>
        <v>2018</v>
      </c>
      <c r="G306" s="66">
        <f t="shared" ref="G306" ca="1" si="620">VLOOKUP(INDIRECT(CHAR(39)&amp;$A306&amp;CHAR(39)&amp;"!r2c"&amp;$C306,0),variables,2,0)</f>
        <v>10902</v>
      </c>
      <c r="H306" s="71" t="str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State Employees &amp; Teachers: 7%; Political Sub: 3.89%</v>
      </c>
    </row>
    <row r="307" spans="1:8" x14ac:dyDescent="0.2">
      <c r="A307" s="66" t="s">
        <v>1037</v>
      </c>
      <c r="B307" s="66">
        <f t="shared" si="531"/>
        <v>7</v>
      </c>
      <c r="C307" s="66">
        <f t="shared" si="532"/>
        <v>46</v>
      </c>
      <c r="E307" s="66">
        <f t="shared" ref="E307" si="621">plan_id</f>
        <v>1952</v>
      </c>
      <c r="F307" s="66">
        <f t="shared" ca="1" si="529"/>
        <v>2018</v>
      </c>
      <c r="G307" s="66">
        <f t="shared" ref="G307" ca="1" si="622">VLOOKUP(INDIRECT(CHAR(39)&amp;$A307&amp;CHAR(39)&amp;"!r2c"&amp;$C307,0),variables,2,0)</f>
        <v>10903</v>
      </c>
      <c r="H307" s="71" t="str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State Employees &amp; Teachers: 8%; Political Sub: 4.89%</v>
      </c>
    </row>
    <row r="308" spans="1:8" x14ac:dyDescent="0.2">
      <c r="A308" s="66" t="s">
        <v>1037</v>
      </c>
      <c r="B308" s="66">
        <f t="shared" si="531"/>
        <v>7</v>
      </c>
      <c r="C308" s="66">
        <f t="shared" si="532"/>
        <v>47</v>
      </c>
      <c r="E308" s="66">
        <f t="shared" ref="E308" si="623">plan_id</f>
        <v>1952</v>
      </c>
      <c r="F308" s="66">
        <f t="shared" ca="1" si="529"/>
        <v>2018</v>
      </c>
      <c r="G308" s="66">
        <f t="shared" ref="G308" ca="1" si="624">VLOOKUP(INDIRECT(CHAR(39)&amp;$A308&amp;CHAR(39)&amp;"!r2c"&amp;$C308,0),variables,2,0)</f>
        <v>10904</v>
      </c>
      <c r="H308" s="71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31233897000</v>
      </c>
    </row>
    <row r="309" spans="1:8" x14ac:dyDescent="0.2">
      <c r="A309" s="66" t="s">
        <v>1037</v>
      </c>
      <c r="B309" s="66">
        <f t="shared" si="531"/>
        <v>7</v>
      </c>
      <c r="C309" s="66">
        <f t="shared" si="532"/>
        <v>48</v>
      </c>
      <c r="E309" s="66">
        <f t="shared" ref="E309" si="625">plan_id</f>
        <v>1952</v>
      </c>
      <c r="F309" s="66">
        <f t="shared" ca="1" si="529"/>
        <v>2018</v>
      </c>
      <c r="G309" s="66">
        <f t="shared" ref="G309" ca="1" si="626">VLOOKUP(INDIRECT(CHAR(39)&amp;$A309&amp;CHAR(39)&amp;"!r2c"&amp;$C309,0),variables,2,0)</f>
        <v>10905</v>
      </c>
      <c r="H309" s="71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19368538000</v>
      </c>
    </row>
    <row r="310" spans="1:8" x14ac:dyDescent="0.2">
      <c r="A310" s="66" t="s">
        <v>1037</v>
      </c>
      <c r="B310" s="66">
        <f t="shared" si="531"/>
        <v>7</v>
      </c>
      <c r="C310" s="66">
        <f t="shared" si="532"/>
        <v>49</v>
      </c>
      <c r="E310" s="66">
        <f t="shared" ref="E310" si="627">plan_id</f>
        <v>1952</v>
      </c>
      <c r="F310" s="66">
        <f t="shared" ca="1" si="529"/>
        <v>2018</v>
      </c>
      <c r="G310" s="66">
        <f t="shared" ref="G310" ca="1" si="628">VLOOKUP(INDIRECT(CHAR(39)&amp;$A310&amp;CHAR(39)&amp;"!r2c"&amp;$C310,0),variables,2,0)</f>
        <v>10906</v>
      </c>
      <c r="H310" s="71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9467901000</v>
      </c>
    </row>
    <row r="311" spans="1:8" x14ac:dyDescent="0.2">
      <c r="A311" s="66" t="s">
        <v>1037</v>
      </c>
      <c r="B311" s="66">
        <f t="shared" si="531"/>
        <v>7</v>
      </c>
      <c r="C311" s="66">
        <f t="shared" si="532"/>
        <v>50</v>
      </c>
      <c r="E311" s="66">
        <f t="shared" ref="E311" si="629">plan_id</f>
        <v>1952</v>
      </c>
      <c r="F311" s="66">
        <f t="shared" ca="1" si="529"/>
        <v>2018</v>
      </c>
      <c r="G311" s="66">
        <f t="shared" ref="G311" ca="1" si="630">VLOOKUP(INDIRECT(CHAR(39)&amp;$A311&amp;CHAR(39)&amp;"!r2c"&amp;$C311,0),variables,2,0)</f>
        <v>10907</v>
      </c>
      <c r="H311" s="71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State Employees: 3.74; Teachers: 5.54</v>
      </c>
    </row>
    <row r="312" spans="1:8" x14ac:dyDescent="0.2">
      <c r="A312" s="66" t="s">
        <v>1037</v>
      </c>
      <c r="B312" s="66">
        <f t="shared" si="531"/>
        <v>7</v>
      </c>
      <c r="C312" s="66">
        <f t="shared" si="532"/>
        <v>51</v>
      </c>
      <c r="E312" s="66">
        <f t="shared" ref="E312" si="631">plan_id</f>
        <v>1952</v>
      </c>
      <c r="F312" s="66">
        <f t="shared" ca="1" si="529"/>
        <v>2018</v>
      </c>
      <c r="G312" s="66">
        <f t="shared" ref="G312" ca="1" si="632">VLOOKUP(INDIRECT(CHAR(39)&amp;$A312&amp;CHAR(39)&amp;"!r2c"&amp;$C312,0),variables,2,0)</f>
        <v>10860</v>
      </c>
      <c r="H312" s="71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90598936000</v>
      </c>
    </row>
    <row r="313" spans="1:8" x14ac:dyDescent="0.2">
      <c r="A313" s="66" t="s">
        <v>1037</v>
      </c>
      <c r="B313" s="66">
        <f t="shared" si="531"/>
        <v>7</v>
      </c>
      <c r="C313" s="66">
        <f t="shared" si="532"/>
        <v>52</v>
      </c>
      <c r="E313" s="66">
        <f t="shared" ref="E313" si="633">plan_id</f>
        <v>1952</v>
      </c>
      <c r="F313" s="66">
        <f t="shared" ca="1" si="529"/>
        <v>2018</v>
      </c>
      <c r="G313" s="66">
        <f t="shared" ref="G313" ca="1" si="634">VLOOKUP(INDIRECT(CHAR(39)&amp;$A313&amp;CHAR(39)&amp;"!r2c"&amp;$C313,0),variables,2,0)</f>
        <v>10909</v>
      </c>
      <c r="H313" s="71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1806237000</v>
      </c>
    </row>
    <row r="314" spans="1:8" x14ac:dyDescent="0.2">
      <c r="A314" s="66" t="s">
        <v>1037</v>
      </c>
      <c r="B314" s="66">
        <f t="shared" si="531"/>
        <v>7</v>
      </c>
      <c r="C314" s="66">
        <f t="shared" si="532"/>
        <v>53</v>
      </c>
      <c r="E314" s="66">
        <f t="shared" ref="E314" si="635">plan_id</f>
        <v>1952</v>
      </c>
      <c r="F314" s="66">
        <f t="shared" ca="1" si="529"/>
        <v>2018</v>
      </c>
      <c r="G314" s="66">
        <f t="shared" ref="G314" ca="1" si="636">VLOOKUP(INDIRECT(CHAR(39)&amp;$A314&amp;CHAR(39)&amp;"!r2c"&amp;$C314,0),variables,2,0)</f>
        <v>10910</v>
      </c>
      <c r="H314" s="71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6178790000</v>
      </c>
    </row>
    <row r="315" spans="1:8" x14ac:dyDescent="0.2">
      <c r="A315" s="66" t="s">
        <v>1037</v>
      </c>
      <c r="B315" s="66">
        <f t="shared" si="531"/>
        <v>7</v>
      </c>
      <c r="C315" s="66">
        <f t="shared" si="532"/>
        <v>54</v>
      </c>
      <c r="E315" s="66">
        <f t="shared" ref="E315" si="637">plan_id</f>
        <v>1952</v>
      </c>
      <c r="F315" s="66">
        <f t="shared" ca="1" si="529"/>
        <v>2018</v>
      </c>
      <c r="G315" s="66">
        <f t="shared" ref="G315" ca="1" si="638">VLOOKUP(INDIRECT(CHAR(39)&amp;$A315&amp;CHAR(39)&amp;"!r2c"&amp;$C315,0),variables,2,0)</f>
        <v>10911</v>
      </c>
      <c r="H315" s="71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10811000</v>
      </c>
    </row>
    <row r="316" spans="1:8" x14ac:dyDescent="0.2">
      <c r="A316" s="66" t="s">
        <v>1037</v>
      </c>
      <c r="B316" s="66">
        <f t="shared" si="531"/>
        <v>7</v>
      </c>
      <c r="C316" s="66">
        <f t="shared" si="532"/>
        <v>55</v>
      </c>
      <c r="E316" s="66">
        <f t="shared" ref="E316" si="639">plan_id</f>
        <v>1952</v>
      </c>
      <c r="F316" s="66">
        <f t="shared" ca="1" si="529"/>
        <v>2018</v>
      </c>
      <c r="G316" s="66">
        <f t="shared" ref="G316" ca="1" si="640">VLOOKUP(INDIRECT(CHAR(39)&amp;$A316&amp;CHAR(39)&amp;"!r2c"&amp;$C316,0),variables,2,0)</f>
        <v>10912</v>
      </c>
      <c r="H316" s="71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-810774000</v>
      </c>
    </row>
    <row r="317" spans="1:8" x14ac:dyDescent="0.2">
      <c r="A317" s="66" t="s">
        <v>1037</v>
      </c>
      <c r="B317" s="66">
        <f t="shared" si="531"/>
        <v>7</v>
      </c>
      <c r="C317" s="66">
        <f t="shared" si="532"/>
        <v>56</v>
      </c>
      <c r="E317" s="66">
        <f t="shared" ref="E317" si="641">plan_id</f>
        <v>1952</v>
      </c>
      <c r="F317" s="66">
        <f t="shared" ca="1" si="529"/>
        <v>2018</v>
      </c>
      <c r="G317" s="66">
        <f t="shared" ref="G317" ca="1" si="642">VLOOKUP(INDIRECT(CHAR(39)&amp;$A317&amp;CHAR(39)&amp;"!r2c"&amp;$C317,0),variables,2,0)</f>
        <v>10913</v>
      </c>
      <c r="H317" s="71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2">
      <c r="A318" s="66" t="s">
        <v>1037</v>
      </c>
      <c r="B318" s="66">
        <f t="shared" si="531"/>
        <v>7</v>
      </c>
      <c r="C318" s="66">
        <f t="shared" si="532"/>
        <v>57</v>
      </c>
      <c r="E318" s="66">
        <f t="shared" ref="E318" si="643">plan_id</f>
        <v>1952</v>
      </c>
      <c r="F318" s="66">
        <f t="shared" ca="1" si="529"/>
        <v>2018</v>
      </c>
      <c r="G318" s="66">
        <f t="shared" ref="G318" ca="1" si="644">VLOOKUP(INDIRECT(CHAR(39)&amp;$A318&amp;CHAR(39)&amp;"!r2c"&amp;$C318,0),variables,2,0)</f>
        <v>10914</v>
      </c>
      <c r="H318" s="71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2331432000</v>
      </c>
    </row>
    <row r="319" spans="1:8" x14ac:dyDescent="0.2">
      <c r="A319" s="66" t="s">
        <v>1037</v>
      </c>
      <c r="B319" s="66">
        <f t="shared" si="531"/>
        <v>7</v>
      </c>
      <c r="C319" s="66">
        <f t="shared" si="532"/>
        <v>58</v>
      </c>
      <c r="E319" s="66">
        <f t="shared" ref="E319" si="645">plan_id</f>
        <v>1952</v>
      </c>
      <c r="F319" s="66">
        <f t="shared" ca="1" si="529"/>
        <v>2018</v>
      </c>
      <c r="G319" s="66">
        <f t="shared" ref="G319" ca="1" si="646">VLOOKUP(INDIRECT(CHAR(39)&amp;$A319&amp;CHAR(39)&amp;"!r2c"&amp;$C319,0),variables,2,0)</f>
        <v>10915</v>
      </c>
      <c r="H319" s="71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834749000</v>
      </c>
    </row>
    <row r="320" spans="1:8" x14ac:dyDescent="0.2">
      <c r="A320" s="66" t="s">
        <v>1037</v>
      </c>
      <c r="B320" s="66">
        <f t="shared" si="531"/>
        <v>7</v>
      </c>
      <c r="C320" s="66">
        <f t="shared" si="532"/>
        <v>59</v>
      </c>
      <c r="E320" s="66">
        <f t="shared" ref="E320" si="647">plan_id</f>
        <v>1952</v>
      </c>
      <c r="F320" s="66">
        <f t="shared" ca="1" si="529"/>
        <v>2018</v>
      </c>
      <c r="G320" s="66">
        <f t="shared" ref="G320" ca="1" si="648">VLOOKUP(INDIRECT(CHAR(39)&amp;$A320&amp;CHAR(39)&amp;"!r2c"&amp;$C320,0),variables,2,0)</f>
        <v>10916</v>
      </c>
      <c r="H320" s="71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5138852000</v>
      </c>
    </row>
    <row r="321" spans="1:8" x14ac:dyDescent="0.2">
      <c r="A321" s="66" t="s">
        <v>1037</v>
      </c>
      <c r="B321" s="66">
        <f t="shared" si="531"/>
        <v>7</v>
      </c>
      <c r="C321" s="66">
        <f t="shared" si="532"/>
        <v>60</v>
      </c>
      <c r="E321" s="66">
        <f t="shared" ref="E321" si="649">plan_id</f>
        <v>1952</v>
      </c>
      <c r="F321" s="66">
        <f t="shared" ca="1" si="529"/>
        <v>2018</v>
      </c>
      <c r="G321" s="66">
        <f t="shared" ref="G321" ca="1" si="650">VLOOKUP(INDIRECT(CHAR(39)&amp;$A321&amp;CHAR(39)&amp;"!r2c"&amp;$C321,0),variables,2,0)</f>
        <v>10917</v>
      </c>
      <c r="H321" s="71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-4548751000</v>
      </c>
    </row>
    <row r="322" spans="1:8" x14ac:dyDescent="0.2">
      <c r="A322" s="66" t="s">
        <v>1037</v>
      </c>
      <c r="B322" s="66">
        <f t="shared" si="531"/>
        <v>7</v>
      </c>
      <c r="C322" s="66">
        <f t="shared" si="532"/>
        <v>61</v>
      </c>
      <c r="E322" s="66">
        <f t="shared" ref="E322" si="651">plan_id</f>
        <v>1952</v>
      </c>
      <c r="F322" s="66">
        <f t="shared" ca="1" si="529"/>
        <v>2018</v>
      </c>
      <c r="G322" s="66">
        <f t="shared" ref="G322" ca="1" si="652">VLOOKUP(INDIRECT(CHAR(39)&amp;$A322&amp;CHAR(39)&amp;"!r2c"&amp;$C322,0),variables,2,0)</f>
        <v>10918</v>
      </c>
      <c r="H322" s="71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-112138000</v>
      </c>
    </row>
    <row r="323" spans="1:8" x14ac:dyDescent="0.2">
      <c r="A323" s="66" t="s">
        <v>1037</v>
      </c>
      <c r="B323" s="66">
        <f t="shared" si="531"/>
        <v>7</v>
      </c>
      <c r="C323" s="66">
        <f t="shared" si="532"/>
        <v>62</v>
      </c>
      <c r="E323" s="66">
        <f t="shared" ref="E323" si="653">plan_id</f>
        <v>1952</v>
      </c>
      <c r="F323" s="66">
        <f t="shared" ca="1" si="529"/>
        <v>2018</v>
      </c>
      <c r="G323" s="66">
        <f t="shared" ref="G323" ca="1" si="654">VLOOKUP(INDIRECT(CHAR(39)&amp;$A323&amp;CHAR(39)&amp;"!r2c"&amp;$C323,0),variables,2,0)</f>
        <v>10919</v>
      </c>
      <c r="H323" s="71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-4660889000</v>
      </c>
    </row>
    <row r="324" spans="1:8" x14ac:dyDescent="0.2">
      <c r="A324" s="66" t="s">
        <v>1037</v>
      </c>
      <c r="B324" s="66">
        <f t="shared" si="531"/>
        <v>7</v>
      </c>
      <c r="C324" s="66">
        <f t="shared" si="532"/>
        <v>63</v>
      </c>
      <c r="E324" s="66">
        <f t="shared" ref="E324" si="655">plan_id</f>
        <v>1952</v>
      </c>
      <c r="F324" s="66">
        <f t="shared" ca="1" si="529"/>
        <v>2018</v>
      </c>
      <c r="G324" s="66">
        <f t="shared" ref="G324" ca="1" si="656">VLOOKUP(INDIRECT(CHAR(39)&amp;$A324&amp;CHAR(39)&amp;"!r2c"&amp;$C324,0),variables,2,0)</f>
        <v>10920</v>
      </c>
      <c r="H324" s="71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-44662000</v>
      </c>
    </row>
    <row r="325" spans="1:8" x14ac:dyDescent="0.2">
      <c r="A325" s="66" t="s">
        <v>1037</v>
      </c>
      <c r="B325" s="66">
        <f t="shared" si="531"/>
        <v>7</v>
      </c>
      <c r="C325" s="66">
        <f t="shared" si="532"/>
        <v>64</v>
      </c>
      <c r="E325" s="66">
        <f t="shared" ref="E325" si="657">plan_id</f>
        <v>1952</v>
      </c>
      <c r="F325" s="66">
        <f t="shared" ca="1" si="529"/>
        <v>2018</v>
      </c>
      <c r="G325" s="66">
        <f t="shared" ref="G325" ca="1" si="658">VLOOKUP(INDIRECT(CHAR(39)&amp;$A325&amp;CHAR(39)&amp;"!r2c"&amp;$C325,0),variables,2,0)</f>
        <v>10921</v>
      </c>
      <c r="H325" s="71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-4589000</v>
      </c>
    </row>
    <row r="326" spans="1:8" x14ac:dyDescent="0.2">
      <c r="A326" s="66" t="s">
        <v>1037</v>
      </c>
      <c r="B326" s="66">
        <f t="shared" si="531"/>
        <v>7</v>
      </c>
      <c r="C326" s="66">
        <f t="shared" si="532"/>
        <v>65</v>
      </c>
      <c r="E326" s="66">
        <f t="shared" ref="E326" si="659">plan_id</f>
        <v>1952</v>
      </c>
      <c r="F326" s="66">
        <f t="shared" ref="F326:F580" ca="1" si="660">INDIRECT(CHAR(39)&amp;$A326&amp;CHAR(39)&amp;"!r"&amp;$B326&amp;"c2",0)</f>
        <v>2018</v>
      </c>
      <c r="G326" s="66">
        <f t="shared" ref="G326" ca="1" si="661">VLOOKUP(INDIRECT(CHAR(39)&amp;$A326&amp;CHAR(39)&amp;"!r2c"&amp;$C326,0),variables,2,0)</f>
        <v>10922</v>
      </c>
      <c r="H326" s="71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66" t="s">
        <v>1037</v>
      </c>
      <c r="B327" s="66">
        <f t="shared" ref="B327:B390" si="662">B262+1</f>
        <v>7</v>
      </c>
      <c r="C327" s="66">
        <f t="shared" ref="C327:C390" si="663">C262</f>
        <v>66</v>
      </c>
      <c r="E327" s="66">
        <f t="shared" ref="E327" si="664">plan_id</f>
        <v>1952</v>
      </c>
      <c r="F327" s="66">
        <f t="shared" ca="1" si="660"/>
        <v>2018</v>
      </c>
      <c r="G327" s="66">
        <f t="shared" ref="G327" ca="1" si="665">VLOOKUP(INDIRECT(CHAR(39)&amp;$A327&amp;CHAR(39)&amp;"!r2c"&amp;$C327,0),variables,2,0)</f>
        <v>10860</v>
      </c>
      <c r="H327" s="71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70159680000</v>
      </c>
    </row>
    <row r="328" spans="1:8" x14ac:dyDescent="0.2">
      <c r="A328" s="66" t="s">
        <v>1037</v>
      </c>
      <c r="B328" s="66">
        <f t="shared" si="662"/>
        <v>7</v>
      </c>
      <c r="C328" s="66">
        <f t="shared" si="663"/>
        <v>67</v>
      </c>
      <c r="E328" s="66">
        <f t="shared" ref="E328" si="666">plan_id</f>
        <v>1952</v>
      </c>
      <c r="F328" s="66">
        <f t="shared" ca="1" si="660"/>
        <v>2018</v>
      </c>
      <c r="G328" s="66">
        <f t="shared" ref="G328" ca="1" si="667">VLOOKUP(INDIRECT(CHAR(39)&amp;$A328&amp;CHAR(39)&amp;"!r2c"&amp;$C328,0),variables,2,0)</f>
        <v>10923</v>
      </c>
      <c r="H328" s="71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19368538000</v>
      </c>
    </row>
    <row r="329" spans="1:8" x14ac:dyDescent="0.2">
      <c r="A329" s="66" t="s">
        <v>1037</v>
      </c>
      <c r="B329" s="66">
        <f t="shared" si="662"/>
        <v>8</v>
      </c>
      <c r="C329" s="66">
        <f t="shared" si="663"/>
        <v>3</v>
      </c>
      <c r="E329" s="66">
        <f t="shared" ref="E329" si="668">plan_id</f>
        <v>1952</v>
      </c>
      <c r="F329" s="66">
        <f t="shared" ca="1" si="660"/>
        <v>2019</v>
      </c>
      <c r="G329" s="66">
        <f t="shared" ref="G329" ca="1" si="669">VLOOKUP(INDIRECT(CHAR(39)&amp;$A329&amp;CHAR(39)&amp;"!r2c"&amp;$C329,0),variables,2,0)</f>
        <v>10861</v>
      </c>
      <c r="H329" s="71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2">
      <c r="A330" s="66" t="s">
        <v>1037</v>
      </c>
      <c r="B330" s="66">
        <f t="shared" si="662"/>
        <v>8</v>
      </c>
      <c r="C330" s="66">
        <f t="shared" si="663"/>
        <v>4</v>
      </c>
      <c r="E330" s="66">
        <f t="shared" ref="E330" si="670">plan_id</f>
        <v>1952</v>
      </c>
      <c r="F330" s="66">
        <f t="shared" ca="1" si="660"/>
        <v>2019</v>
      </c>
      <c r="G330" s="66">
        <f t="shared" ref="G330" ca="1" si="671">VLOOKUP(INDIRECT(CHAR(39)&amp;$A330&amp;CHAR(39)&amp;"!r2c"&amp;$C330,0),variables,2,0)</f>
        <v>10862</v>
      </c>
      <c r="H330" s="71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66" t="s">
        <v>1037</v>
      </c>
      <c r="B331" s="66">
        <f t="shared" si="662"/>
        <v>8</v>
      </c>
      <c r="C331" s="66">
        <f t="shared" si="663"/>
        <v>5</v>
      </c>
      <c r="E331" s="66">
        <f t="shared" ref="E331" si="672">plan_id</f>
        <v>1952</v>
      </c>
      <c r="F331" s="66">
        <f t="shared" ca="1" si="660"/>
        <v>2019</v>
      </c>
      <c r="G331" s="66">
        <f t="shared" ref="G331" ca="1" si="673">VLOOKUP(INDIRECT(CHAR(39)&amp;$A331&amp;CHAR(39)&amp;"!r2c"&amp;$C331,0),variables,2,0)</f>
        <v>10863</v>
      </c>
      <c r="H331" s="71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66" t="s">
        <v>1037</v>
      </c>
      <c r="B332" s="66">
        <f t="shared" si="662"/>
        <v>8</v>
      </c>
      <c r="C332" s="66">
        <f t="shared" si="663"/>
        <v>6</v>
      </c>
      <c r="E332" s="66">
        <f t="shared" ref="E332" si="674">plan_id</f>
        <v>1952</v>
      </c>
      <c r="F332" s="66">
        <f t="shared" ca="1" si="660"/>
        <v>2019</v>
      </c>
      <c r="G332" s="66">
        <f t="shared" ref="G332" ca="1" si="675">VLOOKUP(INDIRECT(CHAR(39)&amp;$A332&amp;CHAR(39)&amp;"!r2c"&amp;$C332,0),variables,2,0)</f>
        <v>10864</v>
      </c>
      <c r="H332" s="71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230325</v>
      </c>
    </row>
    <row r="333" spans="1:8" x14ac:dyDescent="0.2">
      <c r="A333" s="66" t="s">
        <v>1037</v>
      </c>
      <c r="B333" s="66">
        <f t="shared" si="662"/>
        <v>8</v>
      </c>
      <c r="C333" s="66">
        <f t="shared" si="663"/>
        <v>7</v>
      </c>
      <c r="E333" s="66">
        <f t="shared" ref="E333" si="676">plan_id</f>
        <v>1952</v>
      </c>
      <c r="F333" s="66">
        <f t="shared" ca="1" si="660"/>
        <v>2019</v>
      </c>
      <c r="G333" s="66">
        <f t="shared" ref="G333" ca="1" si="677">VLOOKUP(INDIRECT(CHAR(39)&amp;$A333&amp;CHAR(39)&amp;"!r2c"&amp;$C333,0),variables,2,0)</f>
        <v>10865</v>
      </c>
      <c r="H333" s="71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54440</v>
      </c>
    </row>
    <row r="334" spans="1:8" x14ac:dyDescent="0.2">
      <c r="A334" s="66" t="s">
        <v>1037</v>
      </c>
      <c r="B334" s="66">
        <f t="shared" si="662"/>
        <v>8</v>
      </c>
      <c r="C334" s="66">
        <f t="shared" si="663"/>
        <v>8</v>
      </c>
      <c r="E334" s="66">
        <f t="shared" ref="E334" si="678">plan_id</f>
        <v>1952</v>
      </c>
      <c r="F334" s="66">
        <f t="shared" ca="1" si="660"/>
        <v>2019</v>
      </c>
      <c r="G334" s="66">
        <f t="shared" ref="G334" ca="1" si="679">VLOOKUP(INDIRECT(CHAR(39)&amp;$A334&amp;CHAR(39)&amp;"!r2c"&amp;$C334,0),variables,2,0)</f>
        <v>10866</v>
      </c>
      <c r="H334" s="71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95523</v>
      </c>
    </row>
    <row r="335" spans="1:8" x14ac:dyDescent="0.2">
      <c r="A335" s="66" t="s">
        <v>1037</v>
      </c>
      <c r="B335" s="66">
        <f t="shared" si="662"/>
        <v>8</v>
      </c>
      <c r="C335" s="66">
        <f t="shared" si="663"/>
        <v>9</v>
      </c>
      <c r="E335" s="66">
        <f t="shared" ref="E335" si="680">plan_id</f>
        <v>1952</v>
      </c>
      <c r="F335" s="66">
        <f t="shared" ca="1" si="660"/>
        <v>2019</v>
      </c>
      <c r="G335" s="66">
        <f t="shared" ref="G335" ca="1" si="681">VLOOKUP(INDIRECT(CHAR(39)&amp;$A335&amp;CHAR(39)&amp;"!r2c"&amp;$C335,0),variables,2,0)</f>
        <v>10867</v>
      </c>
      <c r="H335" s="71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383638</v>
      </c>
    </row>
    <row r="336" spans="1:8" x14ac:dyDescent="0.2">
      <c r="A336" s="66" t="s">
        <v>1037</v>
      </c>
      <c r="B336" s="66">
        <f t="shared" si="662"/>
        <v>8</v>
      </c>
      <c r="C336" s="66">
        <f t="shared" si="663"/>
        <v>10</v>
      </c>
      <c r="E336" s="66">
        <f t="shared" ref="E336" si="682">plan_id</f>
        <v>1952</v>
      </c>
      <c r="F336" s="66">
        <f t="shared" ca="1" si="660"/>
        <v>2019</v>
      </c>
      <c r="G336" s="66">
        <f t="shared" ref="G336" ca="1" si="683">VLOOKUP(INDIRECT(CHAR(39)&amp;$A336&amp;CHAR(39)&amp;"!r2c"&amp;$C336,0),variables,2,0)</f>
        <v>10868</v>
      </c>
      <c r="H336" s="71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763926</v>
      </c>
    </row>
    <row r="337" spans="1:8" x14ac:dyDescent="0.2">
      <c r="A337" s="66" t="s">
        <v>1037</v>
      </c>
      <c r="B337" s="66">
        <f t="shared" si="662"/>
        <v>8</v>
      </c>
      <c r="C337" s="66">
        <f t="shared" si="663"/>
        <v>11</v>
      </c>
      <c r="E337" s="66">
        <f t="shared" ref="E337" si="684">plan_id</f>
        <v>1952</v>
      </c>
      <c r="F337" s="66">
        <f t="shared" ca="1" si="660"/>
        <v>2019</v>
      </c>
      <c r="G337" s="66">
        <f t="shared" ref="G337" ca="1" si="685">VLOOKUP(INDIRECT(CHAR(39)&amp;$A337&amp;CHAR(39)&amp;"!r2c"&amp;$C337,0),variables,2,0)</f>
        <v>10869</v>
      </c>
      <c r="H337" s="7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2">
      <c r="A338" s="66" t="s">
        <v>1037</v>
      </c>
      <c r="B338" s="66">
        <f t="shared" si="662"/>
        <v>8</v>
      </c>
      <c r="C338" s="66">
        <f t="shared" si="663"/>
        <v>12</v>
      </c>
      <c r="E338" s="66">
        <f t="shared" ref="E338" si="686">plan_id</f>
        <v>1952</v>
      </c>
      <c r="F338" s="66">
        <f t="shared" ca="1" si="660"/>
        <v>2019</v>
      </c>
      <c r="G338" s="66">
        <f t="shared" ref="G338" ca="1" si="687">VLOOKUP(INDIRECT(CHAR(39)&amp;$A338&amp;CHAR(39)&amp;"!r2c"&amp;$C338,0),variables,2,0)</f>
        <v>10870</v>
      </c>
      <c r="H338" s="7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2">
      <c r="A339" s="66" t="s">
        <v>1037</v>
      </c>
      <c r="B339" s="66">
        <f t="shared" si="662"/>
        <v>8</v>
      </c>
      <c r="C339" s="66">
        <f t="shared" si="663"/>
        <v>13</v>
      </c>
      <c r="E339" s="66">
        <f t="shared" ref="E339" si="688">plan_id</f>
        <v>1952</v>
      </c>
      <c r="F339" s="66">
        <f t="shared" ca="1" si="660"/>
        <v>2019</v>
      </c>
      <c r="G339" s="66">
        <f t="shared" ref="G339" ca="1" si="689">VLOOKUP(INDIRECT(CHAR(39)&amp;$A339&amp;CHAR(39)&amp;"!r2c"&amp;$C339,0),variables,2,0)</f>
        <v>10871</v>
      </c>
      <c r="H339" s="7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2">
      <c r="A340" s="66" t="s">
        <v>1037</v>
      </c>
      <c r="B340" s="66">
        <f t="shared" si="662"/>
        <v>8</v>
      </c>
      <c r="C340" s="66">
        <f t="shared" si="663"/>
        <v>14</v>
      </c>
      <c r="E340" s="66">
        <f t="shared" ref="E340" si="690">plan_id</f>
        <v>1952</v>
      </c>
      <c r="F340" s="66">
        <f t="shared" ca="1" si="660"/>
        <v>2019</v>
      </c>
      <c r="G340" s="66">
        <f t="shared" ref="G340" ca="1" si="691">VLOOKUP(INDIRECT(CHAR(39)&amp;$A340&amp;CHAR(39)&amp;"!r2c"&amp;$C340,0),variables,2,0)</f>
        <v>10872</v>
      </c>
      <c r="H340" s="71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2">
      <c r="A341" s="66" t="s">
        <v>1037</v>
      </c>
      <c r="B341" s="66">
        <f t="shared" si="662"/>
        <v>8</v>
      </c>
      <c r="C341" s="66">
        <f t="shared" si="663"/>
        <v>15</v>
      </c>
      <c r="E341" s="66">
        <f t="shared" ref="E341" si="692">plan_id</f>
        <v>1952</v>
      </c>
      <c r="F341" s="66">
        <f t="shared" ca="1" si="660"/>
        <v>2019</v>
      </c>
      <c r="G341" s="66">
        <f t="shared" ref="G341" ca="1" si="693">VLOOKUP(INDIRECT(CHAR(39)&amp;$A341&amp;CHAR(39)&amp;"!r2c"&amp;$C341,0),variables,2,0)</f>
        <v>10873</v>
      </c>
      <c r="H341" s="7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2">
      <c r="A342" s="66" t="s">
        <v>1037</v>
      </c>
      <c r="B342" s="66">
        <f t="shared" si="662"/>
        <v>8</v>
      </c>
      <c r="C342" s="66">
        <f t="shared" si="663"/>
        <v>16</v>
      </c>
      <c r="E342" s="66">
        <f t="shared" ref="E342" si="694">plan_id</f>
        <v>1952</v>
      </c>
      <c r="F342" s="66">
        <f t="shared" ca="1" si="660"/>
        <v>2019</v>
      </c>
      <c r="G342" s="66">
        <f t="shared" ref="G342" ca="1" si="695">VLOOKUP(INDIRECT(CHAR(39)&amp;$A342&amp;CHAR(39)&amp;"!r2c"&amp;$C342,0),variables,2,0)</f>
        <v>10874</v>
      </c>
      <c r="H342" s="7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</row>
    <row r="343" spans="1:8" x14ac:dyDescent="0.2">
      <c r="A343" s="66" t="s">
        <v>1037</v>
      </c>
      <c r="B343" s="66">
        <f t="shared" si="662"/>
        <v>8</v>
      </c>
      <c r="C343" s="66">
        <f t="shared" si="663"/>
        <v>17</v>
      </c>
      <c r="E343" s="66">
        <f t="shared" ref="E343" si="696">plan_id</f>
        <v>1952</v>
      </c>
      <c r="F343" s="66">
        <f t="shared" ca="1" si="660"/>
        <v>2019</v>
      </c>
      <c r="G343" s="66">
        <f t="shared" ref="G343" ca="1" si="697">VLOOKUP(INDIRECT(CHAR(39)&amp;$A343&amp;CHAR(39)&amp;"!r2c"&amp;$C343,0),variables,2,0)</f>
        <v>10875</v>
      </c>
      <c r="H343" s="71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99299941000</v>
      </c>
    </row>
    <row r="344" spans="1:8" x14ac:dyDescent="0.2">
      <c r="A344" s="66" t="s">
        <v>1037</v>
      </c>
      <c r="B344" s="66">
        <f t="shared" si="662"/>
        <v>8</v>
      </c>
      <c r="C344" s="66">
        <f t="shared" si="663"/>
        <v>18</v>
      </c>
      <c r="E344" s="66">
        <f t="shared" ref="E344" si="698">plan_id</f>
        <v>1952</v>
      </c>
      <c r="F344" s="66">
        <f t="shared" ca="1" si="660"/>
        <v>2019</v>
      </c>
      <c r="G344" s="66">
        <f t="shared" ref="G344" ca="1" si="699">VLOOKUP(INDIRECT(CHAR(39)&amp;$A344&amp;CHAR(39)&amp;"!r2c"&amp;$C344,0),variables,2,0)</f>
        <v>10876</v>
      </c>
      <c r="H344" s="71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76871911000</v>
      </c>
    </row>
    <row r="345" spans="1:8" x14ac:dyDescent="0.2">
      <c r="A345" s="66" t="s">
        <v>1037</v>
      </c>
      <c r="B345" s="66">
        <f t="shared" si="662"/>
        <v>8</v>
      </c>
      <c r="C345" s="66">
        <f t="shared" si="663"/>
        <v>19</v>
      </c>
      <c r="E345" s="66">
        <f t="shared" ref="E345" si="700">plan_id</f>
        <v>1952</v>
      </c>
      <c r="F345" s="66">
        <f t="shared" ca="1" si="660"/>
        <v>2019</v>
      </c>
      <c r="G345" s="66">
        <f t="shared" ref="G345" ca="1" si="701">VLOOKUP(INDIRECT(CHAR(39)&amp;$A345&amp;CHAR(39)&amp;"!r2c"&amp;$C345,0),variables,2,0)</f>
        <v>10877</v>
      </c>
      <c r="H345" s="71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22428030000</v>
      </c>
    </row>
    <row r="346" spans="1:8" x14ac:dyDescent="0.2">
      <c r="A346" s="66" t="s">
        <v>1037</v>
      </c>
      <c r="B346" s="66">
        <f t="shared" si="662"/>
        <v>8</v>
      </c>
      <c r="C346" s="66">
        <f t="shared" si="663"/>
        <v>20</v>
      </c>
      <c r="E346" s="66">
        <f t="shared" ref="E346" si="702">plan_id</f>
        <v>1952</v>
      </c>
      <c r="F346" s="66">
        <f t="shared" ca="1" si="660"/>
        <v>2019</v>
      </c>
      <c r="G346" s="66">
        <f t="shared" ref="G346" ca="1" si="703">VLOOKUP(INDIRECT(CHAR(39)&amp;$A346&amp;CHAR(39)&amp;"!r2c"&amp;$C346,0),variables,2,0)</f>
        <v>10878</v>
      </c>
      <c r="H346" s="71" t="str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State: 75.13%; Teacher: 73.51%; Political Subdivision: 87.82%</v>
      </c>
    </row>
    <row r="347" spans="1:8" x14ac:dyDescent="0.2">
      <c r="A347" s="66" t="s">
        <v>1037</v>
      </c>
      <c r="B347" s="66">
        <f t="shared" si="662"/>
        <v>8</v>
      </c>
      <c r="C347" s="66">
        <f t="shared" si="663"/>
        <v>21</v>
      </c>
      <c r="E347" s="66">
        <f t="shared" ref="E347" si="704">plan_id</f>
        <v>1952</v>
      </c>
      <c r="F347" s="66">
        <f t="shared" ca="1" si="660"/>
        <v>2019</v>
      </c>
      <c r="G347" s="66">
        <f t="shared" ref="G347" ca="1" si="705">VLOOKUP(INDIRECT(CHAR(39)&amp;$A347&amp;CHAR(39)&amp;"!r2c"&amp;$C347,0),variables,2,0)</f>
        <v>10879</v>
      </c>
      <c r="H347" s="71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17703609000</v>
      </c>
    </row>
    <row r="348" spans="1:8" x14ac:dyDescent="0.2">
      <c r="A348" s="66" t="s">
        <v>1037</v>
      </c>
      <c r="B348" s="66">
        <f t="shared" si="662"/>
        <v>8</v>
      </c>
      <c r="C348" s="66">
        <f t="shared" si="663"/>
        <v>22</v>
      </c>
      <c r="E348" s="66">
        <f t="shared" ref="E348" si="706">plan_id</f>
        <v>1952</v>
      </c>
      <c r="F348" s="66">
        <f t="shared" ca="1" si="660"/>
        <v>2019</v>
      </c>
      <c r="G348" s="66">
        <f t="shared" ref="G348" ca="1" si="707">VLOOKUP(INDIRECT(CHAR(39)&amp;$A348&amp;CHAR(39)&amp;"!r2c"&amp;$C348,0),variables,2,0)</f>
        <v>10880</v>
      </c>
      <c r="H348" s="71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2739809974</v>
      </c>
    </row>
    <row r="349" spans="1:8" x14ac:dyDescent="0.2">
      <c r="A349" s="66" t="s">
        <v>1037</v>
      </c>
      <c r="B349" s="66">
        <f t="shared" si="662"/>
        <v>8</v>
      </c>
      <c r="C349" s="66">
        <f t="shared" si="663"/>
        <v>23</v>
      </c>
      <c r="E349" s="66">
        <f t="shared" ref="E349" si="708">plan_id</f>
        <v>1952</v>
      </c>
      <c r="F349" s="66">
        <f t="shared" ca="1" si="660"/>
        <v>2019</v>
      </c>
      <c r="G349" s="66">
        <f t="shared" ref="G349" ca="1" si="709">VLOOKUP(INDIRECT(CHAR(39)&amp;$A349&amp;CHAR(39)&amp;"!r2c"&amp;$C349,0),variables,2,0)</f>
        <v>10881</v>
      </c>
      <c r="H349" s="71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2927664378</v>
      </c>
    </row>
    <row r="350" spans="1:8" x14ac:dyDescent="0.2">
      <c r="A350" s="66" t="s">
        <v>1037</v>
      </c>
      <c r="B350" s="66">
        <f t="shared" si="662"/>
        <v>8</v>
      </c>
      <c r="C350" s="66">
        <f t="shared" si="663"/>
        <v>24</v>
      </c>
      <c r="E350" s="66">
        <f t="shared" ref="E350" si="710">plan_id</f>
        <v>1952</v>
      </c>
      <c r="F350" s="66">
        <f t="shared" ca="1" si="660"/>
        <v>2019</v>
      </c>
      <c r="G350" s="66">
        <f t="shared" ref="G350" ca="1" si="711">VLOOKUP(INDIRECT(CHAR(39)&amp;$A350&amp;CHAR(39)&amp;"!r2c"&amp;$C350,0),variables,2,0)</f>
        <v>10882</v>
      </c>
      <c r="H350" s="71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2158233704</v>
      </c>
    </row>
    <row r="351" spans="1:8" x14ac:dyDescent="0.2">
      <c r="A351" s="66" t="s">
        <v>1037</v>
      </c>
      <c r="B351" s="66">
        <f t="shared" si="662"/>
        <v>8</v>
      </c>
      <c r="C351" s="66">
        <f t="shared" si="663"/>
        <v>25</v>
      </c>
      <c r="E351" s="66">
        <f t="shared" ref="E351" si="712">plan_id</f>
        <v>1952</v>
      </c>
      <c r="F351" s="66">
        <f t="shared" ca="1" si="660"/>
        <v>2019</v>
      </c>
      <c r="G351" s="66">
        <f t="shared" ref="G351" ca="1" si="713">VLOOKUP(INDIRECT(CHAR(39)&amp;$A351&amp;CHAR(39)&amp;"!r2c"&amp;$C351,0),variables,2,0)</f>
        <v>10883</v>
      </c>
      <c r="H351" s="7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0.13548446534263156</v>
      </c>
    </row>
    <row r="352" spans="1:8" x14ac:dyDescent="0.2">
      <c r="A352" s="66" t="s">
        <v>1037</v>
      </c>
      <c r="B352" s="66">
        <f t="shared" si="662"/>
        <v>8</v>
      </c>
      <c r="C352" s="66">
        <f t="shared" si="663"/>
        <v>26</v>
      </c>
      <c r="E352" s="66">
        <f t="shared" ref="E352" si="714">plan_id</f>
        <v>1952</v>
      </c>
      <c r="F352" s="66">
        <f t="shared" ca="1" si="660"/>
        <v>2019</v>
      </c>
      <c r="G352" s="66">
        <f t="shared" ref="G352" ca="1" si="715">VLOOKUP(INDIRECT(CHAR(39)&amp;$A352&amp;CHAR(39)&amp;"!r2c"&amp;$C352,0),variables,2,0)</f>
        <v>10884</v>
      </c>
      <c r="H352" s="7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0.13563183642386137</v>
      </c>
    </row>
    <row r="353" spans="1:8" x14ac:dyDescent="0.2">
      <c r="A353" s="66" t="s">
        <v>1037</v>
      </c>
      <c r="B353" s="66">
        <f t="shared" si="662"/>
        <v>8</v>
      </c>
      <c r="C353" s="66">
        <f t="shared" si="663"/>
        <v>27</v>
      </c>
      <c r="E353" s="66">
        <f t="shared" ref="E353" si="716">plan_id</f>
        <v>1952</v>
      </c>
      <c r="F353" s="66">
        <f t="shared" ca="1" si="660"/>
        <v>2019</v>
      </c>
      <c r="G353" s="66">
        <f t="shared" ref="G353" ca="1" si="717">VLOOKUP(INDIRECT(CHAR(39)&amp;$A353&amp;CHAR(39)&amp;"!r2c"&amp;$C353,0),variables,2,0)</f>
        <v>10885</v>
      </c>
      <c r="H353" s="71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2398564000</v>
      </c>
    </row>
    <row r="354" spans="1:8" x14ac:dyDescent="0.2">
      <c r="A354" s="66" t="s">
        <v>1037</v>
      </c>
      <c r="B354" s="66">
        <f t="shared" si="662"/>
        <v>8</v>
      </c>
      <c r="C354" s="66">
        <f t="shared" si="663"/>
        <v>28</v>
      </c>
      <c r="E354" s="66">
        <f t="shared" ref="E354" si="718">plan_id</f>
        <v>1952</v>
      </c>
      <c r="F354" s="66">
        <f t="shared" ca="1" si="660"/>
        <v>2019</v>
      </c>
      <c r="G354" s="66">
        <f t="shared" ref="G354" ca="1" si="719">VLOOKUP(INDIRECT(CHAR(39)&amp;$A354&amp;CHAR(39)&amp;"!r2c"&amp;$C354,0),variables,2,0)</f>
        <v>10886</v>
      </c>
      <c r="H354" s="71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2401173000</v>
      </c>
    </row>
    <row r="355" spans="1:8" x14ac:dyDescent="0.2">
      <c r="A355" s="66" t="s">
        <v>1037</v>
      </c>
      <c r="B355" s="66">
        <f t="shared" si="662"/>
        <v>8</v>
      </c>
      <c r="C355" s="66">
        <f t="shared" si="663"/>
        <v>29</v>
      </c>
      <c r="E355" s="66">
        <f t="shared" ref="E355" si="720">plan_id</f>
        <v>1952</v>
      </c>
      <c r="F355" s="66">
        <f t="shared" ca="1" si="660"/>
        <v>2019</v>
      </c>
      <c r="G355" s="66">
        <f t="shared" ref="G355" ca="1" si="721">VLOOKUP(INDIRECT(CHAR(39)&amp;$A355&amp;CHAR(39)&amp;"!r2c"&amp;$C355,0),variables,2,0)</f>
        <v>10887</v>
      </c>
      <c r="H355" s="71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-2609000</v>
      </c>
    </row>
    <row r="356" spans="1:8" x14ac:dyDescent="0.2">
      <c r="A356" s="66" t="s">
        <v>1037</v>
      </c>
      <c r="B356" s="66">
        <f t="shared" si="662"/>
        <v>8</v>
      </c>
      <c r="C356" s="66">
        <f t="shared" si="663"/>
        <v>30</v>
      </c>
      <c r="E356" s="66">
        <f t="shared" ref="E356" si="722">plan_id</f>
        <v>1952</v>
      </c>
      <c r="F356" s="66">
        <f t="shared" ca="1" si="660"/>
        <v>2019</v>
      </c>
      <c r="G356" s="66">
        <f t="shared" ref="G356" ca="1" si="723">VLOOKUP(INDIRECT(CHAR(39)&amp;$A356&amp;CHAR(39)&amp;"!r2c"&amp;$C356,0),variables,2,0)</f>
        <v>10883</v>
      </c>
      <c r="H356" s="7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1.0010877341609397</v>
      </c>
    </row>
    <row r="357" spans="1:8" x14ac:dyDescent="0.2">
      <c r="A357" s="66" t="s">
        <v>1037</v>
      </c>
      <c r="B357" s="66">
        <f t="shared" si="662"/>
        <v>8</v>
      </c>
      <c r="C357" s="66">
        <f t="shared" si="663"/>
        <v>31</v>
      </c>
      <c r="E357" s="66">
        <f t="shared" ref="E357" si="724">plan_id</f>
        <v>1952</v>
      </c>
      <c r="F357" s="66">
        <f t="shared" ca="1" si="660"/>
        <v>2019</v>
      </c>
      <c r="G357" s="66">
        <f t="shared" ref="G357" ca="1" si="725">VLOOKUP(INDIRECT(CHAR(39)&amp;$A357&amp;CHAR(39)&amp;"!r2c"&amp;$C357,0),variables,2,0)</f>
        <v>10889</v>
      </c>
      <c r="H357" s="71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1824512017</v>
      </c>
    </row>
    <row r="358" spans="1:8" x14ac:dyDescent="0.2">
      <c r="A358" s="66" t="s">
        <v>1037</v>
      </c>
      <c r="B358" s="66">
        <f t="shared" si="662"/>
        <v>8</v>
      </c>
      <c r="C358" s="66">
        <f t="shared" si="663"/>
        <v>32</v>
      </c>
      <c r="E358" s="66">
        <f t="shared" ref="E358" si="726">plan_id</f>
        <v>1952</v>
      </c>
      <c r="F358" s="66">
        <f t="shared" ca="1" si="660"/>
        <v>2019</v>
      </c>
      <c r="G358" s="66">
        <f t="shared" ref="G358" ca="1" si="727">VLOOKUP(INDIRECT(CHAR(39)&amp;$A358&amp;CHAR(39)&amp;"!r2c"&amp;$C358,0),variables,2,0)</f>
        <v>10890</v>
      </c>
      <c r="H358" s="71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6347866845</v>
      </c>
    </row>
    <row r="359" spans="1:8" x14ac:dyDescent="0.2">
      <c r="A359" s="66" t="s">
        <v>1037</v>
      </c>
      <c r="B359" s="66">
        <f t="shared" si="662"/>
        <v>8</v>
      </c>
      <c r="C359" s="66">
        <f t="shared" si="663"/>
        <v>33</v>
      </c>
      <c r="E359" s="66">
        <f t="shared" ref="E359" si="728">plan_id</f>
        <v>1952</v>
      </c>
      <c r="F359" s="66">
        <f t="shared" ca="1" si="660"/>
        <v>2019</v>
      </c>
      <c r="G359" s="66">
        <f t="shared" ref="G359" ca="1" si="729">VLOOKUP(INDIRECT(CHAR(39)&amp;$A359&amp;CHAR(39)&amp;"!r2c"&amp;$C359,0),variables,2,0)</f>
        <v>10891</v>
      </c>
      <c r="H359" s="71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3948465</v>
      </c>
    </row>
    <row r="360" spans="1:8" x14ac:dyDescent="0.2">
      <c r="A360" s="66" t="s">
        <v>1037</v>
      </c>
      <c r="B360" s="66">
        <f t="shared" si="662"/>
        <v>8</v>
      </c>
      <c r="C360" s="66">
        <f t="shared" si="663"/>
        <v>34</v>
      </c>
      <c r="E360" s="66">
        <f t="shared" ref="E360" si="730">plan_id</f>
        <v>1952</v>
      </c>
      <c r="F360" s="66">
        <f t="shared" ca="1" si="660"/>
        <v>2019</v>
      </c>
      <c r="G360" s="66">
        <f t="shared" ref="G360" ca="1" si="731">VLOOKUP(INDIRECT(CHAR(39)&amp;$A360&amp;CHAR(39)&amp;"!r2c"&amp;$C360,0),variables,2,0)</f>
        <v>10892</v>
      </c>
      <c r="H360" s="71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22534125</v>
      </c>
    </row>
    <row r="361" spans="1:8" x14ac:dyDescent="0.2">
      <c r="A361" s="66" t="s">
        <v>1037</v>
      </c>
      <c r="B361" s="66">
        <f t="shared" si="662"/>
        <v>8</v>
      </c>
      <c r="C361" s="66">
        <f t="shared" si="663"/>
        <v>35</v>
      </c>
      <c r="E361" s="66">
        <f t="shared" ref="E361" si="732">plan_id</f>
        <v>1952</v>
      </c>
      <c r="F361" s="66">
        <f t="shared" ca="1" si="660"/>
        <v>2019</v>
      </c>
      <c r="G361" s="66">
        <f t="shared" ref="G361" ca="1" si="733">VLOOKUP(INDIRECT(CHAR(39)&amp;$A361&amp;CHAR(39)&amp;"!r2c"&amp;$C361,0),variables,2,0)</f>
        <v>10893</v>
      </c>
      <c r="H361" s="71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652831777</v>
      </c>
    </row>
    <row r="362" spans="1:8" x14ac:dyDescent="0.2">
      <c r="A362" s="66" t="s">
        <v>1037</v>
      </c>
      <c r="B362" s="66">
        <f t="shared" si="662"/>
        <v>8</v>
      </c>
      <c r="C362" s="66">
        <f t="shared" si="663"/>
        <v>36</v>
      </c>
      <c r="E362" s="66">
        <f t="shared" ref="E362" si="734">plan_id</f>
        <v>1952</v>
      </c>
      <c r="F362" s="66">
        <f t="shared" ca="1" si="660"/>
        <v>2019</v>
      </c>
      <c r="G362" s="66">
        <f t="shared" ref="G362" ca="1" si="735">VLOOKUP(INDIRECT(CHAR(39)&amp;$A362&amp;CHAR(39)&amp;"!r2c"&amp;$C362,0),variables,2,0)</f>
        <v>10894</v>
      </c>
      <c r="H362" s="71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-853160635</v>
      </c>
    </row>
    <row r="363" spans="1:8" x14ac:dyDescent="0.2">
      <c r="A363" s="66" t="s">
        <v>1037</v>
      </c>
      <c r="B363" s="66">
        <f t="shared" si="662"/>
        <v>8</v>
      </c>
      <c r="C363" s="66">
        <f t="shared" si="663"/>
        <v>37</v>
      </c>
      <c r="E363" s="66">
        <f t="shared" ref="E363" si="736">plan_id</f>
        <v>1952</v>
      </c>
      <c r="F363" s="66">
        <f t="shared" ca="1" si="660"/>
        <v>2019</v>
      </c>
      <c r="G363" s="66">
        <f t="shared" ref="G363" ca="1" si="737">VLOOKUP(INDIRECT(CHAR(39)&amp;$A363&amp;CHAR(39)&amp;"!r2c"&amp;$C363,0),variables,2,0)</f>
        <v>10895</v>
      </c>
      <c r="H363" s="71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-5101529098</v>
      </c>
    </row>
    <row r="364" spans="1:8" x14ac:dyDescent="0.2">
      <c r="A364" s="66" t="s">
        <v>1037</v>
      </c>
      <c r="B364" s="66">
        <f t="shared" si="662"/>
        <v>8</v>
      </c>
      <c r="C364" s="66">
        <f t="shared" si="663"/>
        <v>38</v>
      </c>
      <c r="E364" s="66">
        <f t="shared" ref="E364" si="738">plan_id</f>
        <v>1952</v>
      </c>
      <c r="F364" s="66">
        <f t="shared" ca="1" si="660"/>
        <v>2019</v>
      </c>
      <c r="G364" s="66">
        <f t="shared" ref="G364" ca="1" si="739">VLOOKUP(INDIRECT(CHAR(39)&amp;$A364&amp;CHAR(39)&amp;"!r2c"&amp;$C364,0),variables,2,0)</f>
        <v>10896</v>
      </c>
      <c r="H364" s="71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46603801</v>
      </c>
    </row>
    <row r="365" spans="1:8" x14ac:dyDescent="0.2">
      <c r="A365" s="66" t="s">
        <v>1037</v>
      </c>
      <c r="B365" s="66">
        <f t="shared" si="662"/>
        <v>8</v>
      </c>
      <c r="C365" s="66">
        <f t="shared" si="663"/>
        <v>39</v>
      </c>
      <c r="E365" s="66">
        <f t="shared" ref="E365" si="740">plan_id</f>
        <v>1952</v>
      </c>
      <c r="F365" s="66">
        <f t="shared" ca="1" si="660"/>
        <v>2019</v>
      </c>
      <c r="G365" s="66">
        <f t="shared" ref="G365" ca="1" si="741">VLOOKUP(INDIRECT(CHAR(39)&amp;$A365&amp;CHAR(39)&amp;"!r2c"&amp;$C365,0),variables,2,0)</f>
        <v>10897</v>
      </c>
      <c r="H365" s="71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48585458</v>
      </c>
    </row>
    <row r="366" spans="1:8" x14ac:dyDescent="0.2">
      <c r="A366" s="66" t="s">
        <v>1037</v>
      </c>
      <c r="B366" s="66">
        <f t="shared" si="662"/>
        <v>8</v>
      </c>
      <c r="C366" s="66">
        <f t="shared" si="663"/>
        <v>40</v>
      </c>
      <c r="E366" s="66">
        <f t="shared" ref="E366" si="742">plan_id</f>
        <v>1952</v>
      </c>
      <c r="F366" s="66">
        <f t="shared" ca="1" si="660"/>
        <v>2019</v>
      </c>
      <c r="G366" s="66">
        <f t="shared" ref="G366" ca="1" si="743">VLOOKUP(INDIRECT(CHAR(39)&amp;$A366&amp;CHAR(39)&amp;"!r2c"&amp;$C366,0),variables,2,0)</f>
        <v>10898</v>
      </c>
      <c r="H366" s="71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1072966780</v>
      </c>
    </row>
    <row r="367" spans="1:8" x14ac:dyDescent="0.2">
      <c r="A367" s="66" t="s">
        <v>1037</v>
      </c>
      <c r="B367" s="66">
        <f t="shared" si="662"/>
        <v>8</v>
      </c>
      <c r="C367" s="66">
        <f t="shared" si="663"/>
        <v>41</v>
      </c>
      <c r="E367" s="66">
        <f t="shared" ref="E367" si="744">plan_id</f>
        <v>1952</v>
      </c>
      <c r="F367" s="66">
        <f t="shared" ca="1" si="660"/>
        <v>2019</v>
      </c>
      <c r="G367" s="66">
        <f t="shared" ref="G367" ca="1" si="745">VLOOKUP(INDIRECT(CHAR(39)&amp;$A367&amp;CHAR(39)&amp;"!r2c"&amp;$C367,0),variables,2,0)</f>
        <v>10899</v>
      </c>
      <c r="H367" s="71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-1328411947</v>
      </c>
    </row>
    <row r="368" spans="1:8" x14ac:dyDescent="0.2">
      <c r="A368" s="66" t="s">
        <v>1037</v>
      </c>
      <c r="B368" s="66">
        <f t="shared" si="662"/>
        <v>8</v>
      </c>
      <c r="C368" s="66">
        <f t="shared" si="663"/>
        <v>42</v>
      </c>
      <c r="E368" s="66">
        <f t="shared" ref="E368" si="746">plan_id</f>
        <v>1952</v>
      </c>
      <c r="F368" s="66">
        <f t="shared" ca="1" si="660"/>
        <v>2019</v>
      </c>
      <c r="G368" s="66">
        <f t="shared" ref="G368" ca="1" si="747">VLOOKUP(INDIRECT(CHAR(39)&amp;$A368&amp;CHAR(39)&amp;"!r2c"&amp;$C368,0),variables,2,0)</f>
        <v>11006</v>
      </c>
      <c r="H368" s="71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3062386</v>
      </c>
    </row>
    <row r="369" spans="1:8" x14ac:dyDescent="0.2">
      <c r="A369" s="66" t="s">
        <v>1037</v>
      </c>
      <c r="B369" s="66">
        <f t="shared" si="662"/>
        <v>8</v>
      </c>
      <c r="C369" s="66">
        <f t="shared" si="663"/>
        <v>43</v>
      </c>
      <c r="E369" s="66">
        <f t="shared" ref="E369" si="748">plan_id</f>
        <v>1952</v>
      </c>
      <c r="F369" s="66">
        <f t="shared" ca="1" si="660"/>
        <v>2019</v>
      </c>
      <c r="G369" s="66">
        <f t="shared" ref="G369" ca="1" si="749">VLOOKUP(INDIRECT(CHAR(39)&amp;$A369&amp;CHAR(39)&amp;"!r2c"&amp;$C369,0),variables,2,0)</f>
        <v>10900</v>
      </c>
      <c r="H369" s="71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2739809974</v>
      </c>
    </row>
    <row r="370" spans="1:8" x14ac:dyDescent="0.2">
      <c r="A370" s="66" t="s">
        <v>1037</v>
      </c>
      <c r="B370" s="66">
        <f t="shared" si="662"/>
        <v>8</v>
      </c>
      <c r="C370" s="66">
        <f t="shared" si="663"/>
        <v>44</v>
      </c>
      <c r="E370" s="66">
        <f t="shared" ref="E370" si="750">plan_id</f>
        <v>1952</v>
      </c>
      <c r="F370" s="66">
        <f t="shared" ca="1" si="660"/>
        <v>2019</v>
      </c>
      <c r="G370" s="66">
        <f t="shared" ref="G370" ca="1" si="751">VLOOKUP(INDIRECT(CHAR(39)&amp;$A370&amp;CHAR(39)&amp;"!r2c"&amp;$C370,0),variables,2,0)</f>
        <v>10901</v>
      </c>
      <c r="H370" s="71" t="str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State Employees &amp; Teachers: 5.75%; Political Sub: 2.5%</v>
      </c>
    </row>
    <row r="371" spans="1:8" x14ac:dyDescent="0.2">
      <c r="A371" s="66" t="s">
        <v>1037</v>
      </c>
      <c r="B371" s="66">
        <f t="shared" si="662"/>
        <v>8</v>
      </c>
      <c r="C371" s="66">
        <f t="shared" si="663"/>
        <v>45</v>
      </c>
      <c r="E371" s="66">
        <f t="shared" ref="E371" si="752">plan_id</f>
        <v>1952</v>
      </c>
      <c r="F371" s="66">
        <f t="shared" ca="1" si="660"/>
        <v>2019</v>
      </c>
      <c r="G371" s="66">
        <f t="shared" ref="G371" ca="1" si="753">VLOOKUP(INDIRECT(CHAR(39)&amp;$A371&amp;CHAR(39)&amp;"!r2c"&amp;$C371,0),variables,2,0)</f>
        <v>10902</v>
      </c>
      <c r="H371" s="71" t="str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State Employees &amp; Teachers: 6.75%; Political Sub: 3.5%</v>
      </c>
    </row>
    <row r="372" spans="1:8" x14ac:dyDescent="0.2">
      <c r="A372" s="66" t="s">
        <v>1037</v>
      </c>
      <c r="B372" s="66">
        <f t="shared" si="662"/>
        <v>8</v>
      </c>
      <c r="C372" s="66">
        <f t="shared" si="663"/>
        <v>46</v>
      </c>
      <c r="E372" s="66">
        <f t="shared" ref="E372" si="754">plan_id</f>
        <v>1952</v>
      </c>
      <c r="F372" s="66">
        <f t="shared" ca="1" si="660"/>
        <v>2019</v>
      </c>
      <c r="G372" s="66">
        <f t="shared" ref="G372" ca="1" si="755">VLOOKUP(INDIRECT(CHAR(39)&amp;$A372&amp;CHAR(39)&amp;"!r2c"&amp;$C372,0),variables,2,0)</f>
        <v>10903</v>
      </c>
      <c r="H372" s="71" t="str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State Employees &amp; Teachers: 7.75%; Political Sub: 4.5%</v>
      </c>
    </row>
    <row r="373" spans="1:8" x14ac:dyDescent="0.2">
      <c r="A373" s="66" t="s">
        <v>1037</v>
      </c>
      <c r="B373" s="66">
        <f t="shared" si="662"/>
        <v>8</v>
      </c>
      <c r="C373" s="66">
        <f t="shared" si="663"/>
        <v>47</v>
      </c>
      <c r="E373" s="66">
        <f t="shared" ref="E373" si="756">plan_id</f>
        <v>1952</v>
      </c>
      <c r="F373" s="66">
        <f t="shared" ca="1" si="660"/>
        <v>2019</v>
      </c>
      <c r="G373" s="66">
        <f t="shared" ref="G373" ca="1" si="757">VLOOKUP(INDIRECT(CHAR(39)&amp;$A373&amp;CHAR(39)&amp;"!r2c"&amp;$C373,0),variables,2,0)</f>
        <v>10904</v>
      </c>
      <c r="H373" s="71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35159123000</v>
      </c>
    </row>
    <row r="374" spans="1:8" x14ac:dyDescent="0.2">
      <c r="A374" s="66" t="s">
        <v>1037</v>
      </c>
      <c r="B374" s="66">
        <f t="shared" si="662"/>
        <v>8</v>
      </c>
      <c r="C374" s="66">
        <f t="shared" si="663"/>
        <v>48</v>
      </c>
      <c r="E374" s="66">
        <f t="shared" ref="E374" si="758">plan_id</f>
        <v>1952</v>
      </c>
      <c r="F374" s="66">
        <f t="shared" ca="1" si="660"/>
        <v>2019</v>
      </c>
      <c r="G374" s="66">
        <f t="shared" ref="G374" ca="1" si="759">VLOOKUP(INDIRECT(CHAR(39)&amp;$A374&amp;CHAR(39)&amp;"!r2c"&amp;$C374,0),variables,2,0)</f>
        <v>10905</v>
      </c>
      <c r="H374" s="71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22428030000</v>
      </c>
    </row>
    <row r="375" spans="1:8" x14ac:dyDescent="0.2">
      <c r="A375" s="66" t="s">
        <v>1037</v>
      </c>
      <c r="B375" s="66">
        <f t="shared" si="662"/>
        <v>8</v>
      </c>
      <c r="C375" s="66">
        <f t="shared" si="663"/>
        <v>49</v>
      </c>
      <c r="E375" s="66">
        <f t="shared" ref="E375" si="760">plan_id</f>
        <v>1952</v>
      </c>
      <c r="F375" s="66">
        <f t="shared" ca="1" si="660"/>
        <v>2019</v>
      </c>
      <c r="G375" s="66">
        <f t="shared" ref="G375" ca="1" si="761">VLOOKUP(INDIRECT(CHAR(39)&amp;$A375&amp;CHAR(39)&amp;"!r2c"&amp;$C375,0),variables,2,0)</f>
        <v>10906</v>
      </c>
      <c r="H375" s="71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11951647000</v>
      </c>
    </row>
    <row r="376" spans="1:8" x14ac:dyDescent="0.2">
      <c r="A376" s="66" t="s">
        <v>1037</v>
      </c>
      <c r="B376" s="66">
        <f t="shared" si="662"/>
        <v>8</v>
      </c>
      <c r="C376" s="66">
        <f t="shared" si="663"/>
        <v>50</v>
      </c>
      <c r="E376" s="66">
        <f t="shared" ref="E376" si="762">plan_id</f>
        <v>1952</v>
      </c>
      <c r="F376" s="66">
        <f t="shared" ca="1" si="660"/>
        <v>2019</v>
      </c>
      <c r="G376" s="66">
        <f t="shared" ref="G376" ca="1" si="763">VLOOKUP(INDIRECT(CHAR(39)&amp;$A376&amp;CHAR(39)&amp;"!r2c"&amp;$C376,0),variables,2,0)</f>
        <v>10907</v>
      </c>
      <c r="H376" s="71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State Employees: 3.66; Teachers: 5.44</v>
      </c>
    </row>
    <row r="377" spans="1:8" x14ac:dyDescent="0.2">
      <c r="A377" s="66" t="s">
        <v>1037</v>
      </c>
      <c r="B377" s="66">
        <f t="shared" si="662"/>
        <v>8</v>
      </c>
      <c r="C377" s="66">
        <f t="shared" si="663"/>
        <v>51</v>
      </c>
      <c r="E377" s="66">
        <f t="shared" ref="E377" si="764">plan_id</f>
        <v>1952</v>
      </c>
      <c r="F377" s="66">
        <f t="shared" ca="1" si="660"/>
        <v>2019</v>
      </c>
      <c r="G377" s="66">
        <f t="shared" ref="G377" ca="1" si="765">VLOOKUP(INDIRECT(CHAR(39)&amp;$A377&amp;CHAR(39)&amp;"!r2c"&amp;$C377,0),variables,2,0)</f>
        <v>10860</v>
      </c>
      <c r="H377" s="71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93123111000</v>
      </c>
    </row>
    <row r="378" spans="1:8" x14ac:dyDescent="0.2">
      <c r="A378" s="66" t="s">
        <v>1037</v>
      </c>
      <c r="B378" s="66">
        <f t="shared" si="662"/>
        <v>8</v>
      </c>
      <c r="C378" s="66">
        <f t="shared" si="663"/>
        <v>52</v>
      </c>
      <c r="E378" s="66">
        <f t="shared" ref="E378" si="766">plan_id</f>
        <v>1952</v>
      </c>
      <c r="F378" s="66">
        <f t="shared" ca="1" si="660"/>
        <v>2019</v>
      </c>
      <c r="G378" s="66">
        <f t="shared" ref="G378" ca="1" si="767">VLOOKUP(INDIRECT(CHAR(39)&amp;$A378&amp;CHAR(39)&amp;"!r2c"&amp;$C378,0),variables,2,0)</f>
        <v>10909</v>
      </c>
      <c r="H378" s="71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1824511000</v>
      </c>
    </row>
    <row r="379" spans="1:8" x14ac:dyDescent="0.2">
      <c r="A379" s="66" t="s">
        <v>1037</v>
      </c>
      <c r="B379" s="66">
        <f t="shared" si="662"/>
        <v>8</v>
      </c>
      <c r="C379" s="66">
        <f t="shared" si="663"/>
        <v>53</v>
      </c>
      <c r="E379" s="66">
        <f t="shared" ref="E379" si="768">plan_id</f>
        <v>1952</v>
      </c>
      <c r="F379" s="66">
        <f t="shared" ca="1" si="660"/>
        <v>2019</v>
      </c>
      <c r="G379" s="66">
        <f t="shared" ref="G379" ca="1" si="769">VLOOKUP(INDIRECT(CHAR(39)&amp;$A379&amp;CHAR(39)&amp;"!r2c"&amp;$C379,0),variables,2,0)</f>
        <v>10910</v>
      </c>
      <c r="H379" s="71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6347866000</v>
      </c>
    </row>
    <row r="380" spans="1:8" x14ac:dyDescent="0.2">
      <c r="A380" s="66" t="s">
        <v>1037</v>
      </c>
      <c r="B380" s="66">
        <f t="shared" si="662"/>
        <v>8</v>
      </c>
      <c r="C380" s="66">
        <f t="shared" si="663"/>
        <v>54</v>
      </c>
      <c r="E380" s="66">
        <f t="shared" ref="E380" si="770">plan_id</f>
        <v>1952</v>
      </c>
      <c r="F380" s="66">
        <f t="shared" ca="1" si="660"/>
        <v>2019</v>
      </c>
      <c r="G380" s="66">
        <f t="shared" ref="G380" ca="1" si="771">VLOOKUP(INDIRECT(CHAR(39)&amp;$A380&amp;CHAR(39)&amp;"!r2c"&amp;$C380,0),variables,2,0)</f>
        <v>10911</v>
      </c>
      <c r="H380" s="71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3948000</v>
      </c>
    </row>
    <row r="381" spans="1:8" x14ac:dyDescent="0.2">
      <c r="A381" s="66" t="s">
        <v>1037</v>
      </c>
      <c r="B381" s="66">
        <f t="shared" si="662"/>
        <v>8</v>
      </c>
      <c r="C381" s="66">
        <f t="shared" si="663"/>
        <v>55</v>
      </c>
      <c r="E381" s="66">
        <f t="shared" ref="E381" si="772">plan_id</f>
        <v>1952</v>
      </c>
      <c r="F381" s="66">
        <f t="shared" ca="1" si="660"/>
        <v>2019</v>
      </c>
      <c r="G381" s="66">
        <f t="shared" ref="G381" ca="1" si="773">VLOOKUP(INDIRECT(CHAR(39)&amp;$A381&amp;CHAR(39)&amp;"!r2c"&amp;$C381,0),variables,2,0)</f>
        <v>10912</v>
      </c>
      <c r="H381" s="71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51406000</v>
      </c>
    </row>
    <row r="382" spans="1:8" x14ac:dyDescent="0.2">
      <c r="A382" s="66" t="s">
        <v>1037</v>
      </c>
      <c r="B382" s="66">
        <f t="shared" si="662"/>
        <v>8</v>
      </c>
      <c r="C382" s="66">
        <f t="shared" si="663"/>
        <v>56</v>
      </c>
      <c r="E382" s="66">
        <f t="shared" ref="E382" si="774">plan_id</f>
        <v>1952</v>
      </c>
      <c r="F382" s="66">
        <f t="shared" ca="1" si="660"/>
        <v>2019</v>
      </c>
      <c r="G382" s="66">
        <f t="shared" ref="G382" ca="1" si="775">VLOOKUP(INDIRECT(CHAR(39)&amp;$A382&amp;CHAR(39)&amp;"!r2c"&amp;$C382,0),variables,2,0)</f>
        <v>10913</v>
      </c>
      <c r="H382" s="71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2827622000</v>
      </c>
    </row>
    <row r="383" spans="1:8" x14ac:dyDescent="0.2">
      <c r="A383" s="66" t="s">
        <v>1037</v>
      </c>
      <c r="B383" s="66">
        <f t="shared" si="662"/>
        <v>8</v>
      </c>
      <c r="C383" s="66">
        <f t="shared" si="663"/>
        <v>57</v>
      </c>
      <c r="E383" s="66">
        <f t="shared" ref="E383" si="776">plan_id</f>
        <v>1952</v>
      </c>
      <c r="F383" s="66">
        <f t="shared" ca="1" si="660"/>
        <v>2019</v>
      </c>
      <c r="G383" s="66">
        <f t="shared" ref="G383" ca="1" si="777">VLOOKUP(INDIRECT(CHAR(39)&amp;$A383&amp;CHAR(39)&amp;"!r2c"&amp;$C383,0),variables,2,0)</f>
        <v>10914</v>
      </c>
      <c r="H383" s="71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2325841000</v>
      </c>
    </row>
    <row r="384" spans="1:8" x14ac:dyDescent="0.2">
      <c r="A384" s="66" t="s">
        <v>1037</v>
      </c>
      <c r="B384" s="66">
        <f t="shared" si="662"/>
        <v>8</v>
      </c>
      <c r="C384" s="66">
        <f t="shared" si="663"/>
        <v>58</v>
      </c>
      <c r="E384" s="66">
        <f t="shared" ref="E384" si="778">plan_id</f>
        <v>1952</v>
      </c>
      <c r="F384" s="66">
        <f t="shared" ca="1" si="660"/>
        <v>2019</v>
      </c>
      <c r="G384" s="66">
        <f t="shared" ref="G384" ca="1" si="779">VLOOKUP(INDIRECT(CHAR(39)&amp;$A384&amp;CHAR(39)&amp;"!r2c"&amp;$C384,0),variables,2,0)</f>
        <v>10915</v>
      </c>
      <c r="H384" s="71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853160000</v>
      </c>
    </row>
    <row r="385" spans="1:8" x14ac:dyDescent="0.2">
      <c r="A385" s="66" t="s">
        <v>1037</v>
      </c>
      <c r="B385" s="66">
        <f t="shared" si="662"/>
        <v>8</v>
      </c>
      <c r="C385" s="66">
        <f t="shared" si="663"/>
        <v>59</v>
      </c>
      <c r="E385" s="66">
        <f t="shared" ref="E385" si="780">plan_id</f>
        <v>1952</v>
      </c>
      <c r="F385" s="66">
        <f t="shared" ca="1" si="660"/>
        <v>2019</v>
      </c>
      <c r="G385" s="66">
        <f t="shared" ref="G385" ca="1" si="781">VLOOKUP(INDIRECT(CHAR(39)&amp;$A385&amp;CHAR(39)&amp;"!r2c"&amp;$C385,0),variables,2,0)</f>
        <v>10916</v>
      </c>
      <c r="H385" s="71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4868509000</v>
      </c>
    </row>
    <row r="386" spans="1:8" x14ac:dyDescent="0.2">
      <c r="A386" s="66" t="s">
        <v>1037</v>
      </c>
      <c r="B386" s="66">
        <f t="shared" si="662"/>
        <v>8</v>
      </c>
      <c r="C386" s="66">
        <f t="shared" si="663"/>
        <v>60</v>
      </c>
      <c r="E386" s="66">
        <f t="shared" ref="E386" si="782">plan_id</f>
        <v>1952</v>
      </c>
      <c r="F386" s="66">
        <f t="shared" ca="1" si="660"/>
        <v>2019</v>
      </c>
      <c r="G386" s="66">
        <f t="shared" ref="G386" ca="1" si="783">VLOOKUP(INDIRECT(CHAR(39)&amp;$A386&amp;CHAR(39)&amp;"!r2c"&amp;$C386,0),variables,2,0)</f>
        <v>10917</v>
      </c>
      <c r="H386" s="71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-4774662000</v>
      </c>
    </row>
    <row r="387" spans="1:8" x14ac:dyDescent="0.2">
      <c r="A387" s="66" t="s">
        <v>1037</v>
      </c>
      <c r="B387" s="66">
        <f t="shared" si="662"/>
        <v>8</v>
      </c>
      <c r="C387" s="66">
        <f t="shared" si="663"/>
        <v>61</v>
      </c>
      <c r="E387" s="66">
        <f t="shared" ref="E387" si="784">plan_id</f>
        <v>1952</v>
      </c>
      <c r="F387" s="66">
        <f t="shared" ca="1" si="660"/>
        <v>2019</v>
      </c>
      <c r="G387" s="66">
        <f t="shared" ref="G387" ca="1" si="785">VLOOKUP(INDIRECT(CHAR(39)&amp;$A387&amp;CHAR(39)&amp;"!r2c"&amp;$C387,0),variables,2,0)</f>
        <v>10918</v>
      </c>
      <c r="H387" s="71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-103861000</v>
      </c>
    </row>
    <row r="388" spans="1:8" x14ac:dyDescent="0.2">
      <c r="A388" s="66" t="s">
        <v>1037</v>
      </c>
      <c r="B388" s="66">
        <f t="shared" si="662"/>
        <v>8</v>
      </c>
      <c r="C388" s="66">
        <f t="shared" si="663"/>
        <v>62</v>
      </c>
      <c r="E388" s="66">
        <f t="shared" ref="E388" si="786">plan_id</f>
        <v>1952</v>
      </c>
      <c r="F388" s="66">
        <f t="shared" ca="1" si="660"/>
        <v>2019</v>
      </c>
      <c r="G388" s="66">
        <f t="shared" ref="G388" ca="1" si="787">VLOOKUP(INDIRECT(CHAR(39)&amp;$A388&amp;CHAR(39)&amp;"!r2c"&amp;$C388,0),variables,2,0)</f>
        <v>10919</v>
      </c>
      <c r="H388" s="71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-4878523000</v>
      </c>
    </row>
    <row r="389" spans="1:8" x14ac:dyDescent="0.2">
      <c r="A389" s="66" t="s">
        <v>1037</v>
      </c>
      <c r="B389" s="66">
        <f t="shared" si="662"/>
        <v>8</v>
      </c>
      <c r="C389" s="66">
        <f t="shared" si="663"/>
        <v>63</v>
      </c>
      <c r="E389" s="66">
        <f t="shared" ref="E389" si="788">plan_id</f>
        <v>1952</v>
      </c>
      <c r="F389" s="66">
        <f t="shared" ca="1" si="660"/>
        <v>2019</v>
      </c>
      <c r="G389" s="66">
        <f t="shared" ref="G389" ca="1" si="789">VLOOKUP(INDIRECT(CHAR(39)&amp;$A389&amp;CHAR(39)&amp;"!r2c"&amp;$C389,0),variables,2,0)</f>
        <v>10920</v>
      </c>
      <c r="H389" s="71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-48586000</v>
      </c>
    </row>
    <row r="390" spans="1:8" x14ac:dyDescent="0.2">
      <c r="A390" s="66" t="s">
        <v>1037</v>
      </c>
      <c r="B390" s="66">
        <f t="shared" si="662"/>
        <v>8</v>
      </c>
      <c r="C390" s="66">
        <f t="shared" si="663"/>
        <v>64</v>
      </c>
      <c r="E390" s="66">
        <f t="shared" ref="E390" si="790">plan_id</f>
        <v>1952</v>
      </c>
      <c r="F390" s="66">
        <f t="shared" ca="1" si="660"/>
        <v>2019</v>
      </c>
      <c r="G390" s="66">
        <f t="shared" ref="G390" ca="1" si="791">VLOOKUP(INDIRECT(CHAR(39)&amp;$A390&amp;CHAR(39)&amp;"!r2c"&amp;$C390,0),variables,2,0)</f>
        <v>10921</v>
      </c>
      <c r="H390" s="71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-3063000</v>
      </c>
    </row>
    <row r="391" spans="1:8" x14ac:dyDescent="0.2">
      <c r="A391" s="66" t="s">
        <v>1037</v>
      </c>
      <c r="B391" s="66">
        <f t="shared" ref="B391:B454" si="792">B326+1</f>
        <v>8</v>
      </c>
      <c r="C391" s="66">
        <f t="shared" ref="C391:C454" si="793">C326</f>
        <v>65</v>
      </c>
      <c r="E391" s="66">
        <f t="shared" ref="E391" si="794">plan_id</f>
        <v>1952</v>
      </c>
      <c r="F391" s="66">
        <f t="shared" ca="1" si="660"/>
        <v>2019</v>
      </c>
      <c r="G391" s="66">
        <f t="shared" ref="G391" ca="1" si="795">VLOOKUP(INDIRECT(CHAR(39)&amp;$A391&amp;CHAR(39)&amp;"!r2c"&amp;$C391,0),variables,2,0)</f>
        <v>10922</v>
      </c>
      <c r="H391" s="71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66" t="s">
        <v>1037</v>
      </c>
      <c r="B392" s="66">
        <f t="shared" si="792"/>
        <v>8</v>
      </c>
      <c r="C392" s="66">
        <f t="shared" si="793"/>
        <v>66</v>
      </c>
      <c r="E392" s="66">
        <f t="shared" ref="E392" si="796">plan_id</f>
        <v>1952</v>
      </c>
      <c r="F392" s="66">
        <f t="shared" ca="1" si="660"/>
        <v>2019</v>
      </c>
      <c r="G392" s="66">
        <f t="shared" ref="G392" ca="1" si="797">VLOOKUP(INDIRECT(CHAR(39)&amp;$A392&amp;CHAR(39)&amp;"!r2c"&amp;$C392,0),variables,2,0)</f>
        <v>10860</v>
      </c>
      <c r="H392" s="71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73754573000</v>
      </c>
    </row>
    <row r="393" spans="1:8" x14ac:dyDescent="0.2">
      <c r="A393" s="66" t="s">
        <v>1037</v>
      </c>
      <c r="B393" s="66">
        <f t="shared" si="792"/>
        <v>8</v>
      </c>
      <c r="C393" s="66">
        <f t="shared" si="793"/>
        <v>67</v>
      </c>
      <c r="E393" s="66">
        <f t="shared" ref="E393" si="798">plan_id</f>
        <v>1952</v>
      </c>
      <c r="F393" s="66">
        <f t="shared" ca="1" si="660"/>
        <v>2019</v>
      </c>
      <c r="G393" s="66">
        <f t="shared" ref="G393" ca="1" si="799">VLOOKUP(INDIRECT(CHAR(39)&amp;$A393&amp;CHAR(39)&amp;"!r2c"&amp;$C393,0),variables,2,0)</f>
        <v>10923</v>
      </c>
      <c r="H393" s="71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22428030000</v>
      </c>
    </row>
    <row r="394" spans="1:8" x14ac:dyDescent="0.2">
      <c r="A394" s="66" t="s">
        <v>1037</v>
      </c>
      <c r="B394" s="66">
        <f t="shared" si="792"/>
        <v>9</v>
      </c>
      <c r="C394" s="66">
        <f t="shared" si="793"/>
        <v>3</v>
      </c>
      <c r="E394" s="66">
        <f t="shared" ref="E394" si="800">plan_id</f>
        <v>1952</v>
      </c>
      <c r="F394" s="66">
        <f t="shared" ca="1" si="660"/>
        <v>2020</v>
      </c>
      <c r="G394" s="66">
        <f t="shared" ref="G394" ca="1" si="801">VLOOKUP(INDIRECT(CHAR(39)&amp;$A394&amp;CHAR(39)&amp;"!r2c"&amp;$C394,0),variables,2,0)</f>
        <v>10861</v>
      </c>
      <c r="H394" s="71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2">
      <c r="A395" s="66" t="s">
        <v>1037</v>
      </c>
      <c r="B395" s="66">
        <f t="shared" si="792"/>
        <v>9</v>
      </c>
      <c r="C395" s="66">
        <f t="shared" si="793"/>
        <v>4</v>
      </c>
      <c r="E395" s="66">
        <f t="shared" ref="E395" si="802">plan_id</f>
        <v>1952</v>
      </c>
      <c r="F395" s="66">
        <f t="shared" ca="1" si="660"/>
        <v>2020</v>
      </c>
      <c r="G395" s="66">
        <f t="shared" ref="G395" ca="1" si="803">VLOOKUP(INDIRECT(CHAR(39)&amp;$A395&amp;CHAR(39)&amp;"!r2c"&amp;$C395,0),variables,2,0)</f>
        <v>10862</v>
      </c>
      <c r="H395" s="71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66" t="s">
        <v>1037</v>
      </c>
      <c r="B396" s="66">
        <f t="shared" si="792"/>
        <v>9</v>
      </c>
      <c r="C396" s="66">
        <f t="shared" si="793"/>
        <v>5</v>
      </c>
      <c r="E396" s="66">
        <f t="shared" ref="E396" si="804">plan_id</f>
        <v>1952</v>
      </c>
      <c r="F396" s="66">
        <f t="shared" ca="1" si="660"/>
        <v>2020</v>
      </c>
      <c r="G396" s="66">
        <f t="shared" ref="G396" ca="1" si="805">VLOOKUP(INDIRECT(CHAR(39)&amp;$A396&amp;CHAR(39)&amp;"!r2c"&amp;$C396,0),variables,2,0)</f>
        <v>10863</v>
      </c>
      <c r="H396" s="71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66" t="s">
        <v>1037</v>
      </c>
      <c r="B397" s="66">
        <f t="shared" si="792"/>
        <v>9</v>
      </c>
      <c r="C397" s="66">
        <f t="shared" si="793"/>
        <v>6</v>
      </c>
      <c r="E397" s="66">
        <f t="shared" ref="E397" si="806">plan_id</f>
        <v>1952</v>
      </c>
      <c r="F397" s="66">
        <f t="shared" ca="1" si="660"/>
        <v>2020</v>
      </c>
      <c r="G397" s="66">
        <f t="shared" ref="G397" ca="1" si="807">VLOOKUP(INDIRECT(CHAR(39)&amp;$A397&amp;CHAR(39)&amp;"!r2c"&amp;$C397,0),variables,2,0)</f>
        <v>10864</v>
      </c>
      <c r="H397" s="7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240042</v>
      </c>
    </row>
    <row r="398" spans="1:8" x14ac:dyDescent="0.2">
      <c r="A398" s="66" t="s">
        <v>1037</v>
      </c>
      <c r="B398" s="66">
        <f t="shared" si="792"/>
        <v>9</v>
      </c>
      <c r="C398" s="66">
        <f t="shared" si="793"/>
        <v>7</v>
      </c>
      <c r="E398" s="66">
        <f t="shared" ref="E398" si="808">plan_id</f>
        <v>1952</v>
      </c>
      <c r="F398" s="66">
        <f t="shared" ca="1" si="660"/>
        <v>2020</v>
      </c>
      <c r="G398" s="66">
        <f t="shared" ref="G398" ca="1" si="809">VLOOKUP(INDIRECT(CHAR(39)&amp;$A398&amp;CHAR(39)&amp;"!r2c"&amp;$C398,0),variables,2,0)</f>
        <v>10865</v>
      </c>
      <c r="H398" s="7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59183</v>
      </c>
    </row>
    <row r="399" spans="1:8" x14ac:dyDescent="0.2">
      <c r="A399" s="66" t="s">
        <v>1037</v>
      </c>
      <c r="B399" s="66">
        <f t="shared" si="792"/>
        <v>9</v>
      </c>
      <c r="C399" s="66">
        <f t="shared" si="793"/>
        <v>8</v>
      </c>
      <c r="E399" s="66">
        <f t="shared" ref="E399" si="810">plan_id</f>
        <v>1952</v>
      </c>
      <c r="F399" s="66">
        <f t="shared" ca="1" si="660"/>
        <v>2020</v>
      </c>
      <c r="G399" s="66">
        <f t="shared" ref="G399" ca="1" si="811">VLOOKUP(INDIRECT(CHAR(39)&amp;$A399&amp;CHAR(39)&amp;"!r2c"&amp;$C399,0),variables,2,0)</f>
        <v>10866</v>
      </c>
      <c r="H399" s="71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105814</v>
      </c>
    </row>
    <row r="400" spans="1:8" x14ac:dyDescent="0.2">
      <c r="A400" s="66" t="s">
        <v>1037</v>
      </c>
      <c r="B400" s="66">
        <f t="shared" si="792"/>
        <v>9</v>
      </c>
      <c r="C400" s="66">
        <f t="shared" si="793"/>
        <v>9</v>
      </c>
      <c r="E400" s="66">
        <f t="shared" ref="E400" si="812">plan_id</f>
        <v>1952</v>
      </c>
      <c r="F400" s="66">
        <f t="shared" ca="1" si="660"/>
        <v>2020</v>
      </c>
      <c r="G400" s="66">
        <f t="shared" ref="G400" ca="1" si="813">VLOOKUP(INDIRECT(CHAR(39)&amp;$A400&amp;CHAR(39)&amp;"!r2c"&amp;$C400,0),variables,2,0)</f>
        <v>10867</v>
      </c>
      <c r="H400" s="7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385885</v>
      </c>
    </row>
    <row r="401" spans="1:8" x14ac:dyDescent="0.2">
      <c r="A401" s="66" t="s">
        <v>1037</v>
      </c>
      <c r="B401" s="66">
        <f t="shared" si="792"/>
        <v>9</v>
      </c>
      <c r="C401" s="66">
        <f t="shared" si="793"/>
        <v>10</v>
      </c>
      <c r="E401" s="66">
        <f t="shared" ref="E401" si="814">plan_id</f>
        <v>1952</v>
      </c>
      <c r="F401" s="66">
        <f t="shared" ca="1" si="660"/>
        <v>2020</v>
      </c>
      <c r="G401" s="66">
        <f t="shared" ref="G401" ca="1" si="815">VLOOKUP(INDIRECT(CHAR(39)&amp;$A401&amp;CHAR(39)&amp;"!r2c"&amp;$C401,0),variables,2,0)</f>
        <v>10868</v>
      </c>
      <c r="H401" s="7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790924</v>
      </c>
    </row>
    <row r="402" spans="1:8" x14ac:dyDescent="0.2">
      <c r="A402" s="66" t="s">
        <v>1037</v>
      </c>
      <c r="B402" s="66">
        <f t="shared" si="792"/>
        <v>9</v>
      </c>
      <c r="C402" s="66">
        <f t="shared" si="793"/>
        <v>11</v>
      </c>
      <c r="E402" s="66">
        <f t="shared" ref="E402" si="816">plan_id</f>
        <v>1952</v>
      </c>
      <c r="F402" s="66">
        <f t="shared" ca="1" si="660"/>
        <v>2020</v>
      </c>
      <c r="G402" s="66">
        <f t="shared" ref="G402" ca="1" si="817">VLOOKUP(INDIRECT(CHAR(39)&amp;$A402&amp;CHAR(39)&amp;"!r2c"&amp;$C402,0),variables,2,0)</f>
        <v>10869</v>
      </c>
      <c r="H402" s="71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</row>
    <row r="403" spans="1:8" x14ac:dyDescent="0.2">
      <c r="A403" s="66" t="s">
        <v>1037</v>
      </c>
      <c r="B403" s="66">
        <f t="shared" si="792"/>
        <v>9</v>
      </c>
      <c r="C403" s="66">
        <f t="shared" si="793"/>
        <v>12</v>
      </c>
      <c r="E403" s="66">
        <f t="shared" ref="E403" si="818">plan_id</f>
        <v>1952</v>
      </c>
      <c r="F403" s="66">
        <f t="shared" ca="1" si="660"/>
        <v>2020</v>
      </c>
      <c r="G403" s="66">
        <f t="shared" ref="G403" ca="1" si="819">VLOOKUP(INDIRECT(CHAR(39)&amp;$A403&amp;CHAR(39)&amp;"!r2c"&amp;$C403,0),variables,2,0)</f>
        <v>10870</v>
      </c>
      <c r="H403" s="71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2">
      <c r="A404" s="66" t="s">
        <v>1037</v>
      </c>
      <c r="B404" s="66">
        <f t="shared" si="792"/>
        <v>9</v>
      </c>
      <c r="C404" s="66">
        <f t="shared" si="793"/>
        <v>13</v>
      </c>
      <c r="E404" s="66">
        <f t="shared" ref="E404" si="820">plan_id</f>
        <v>1952</v>
      </c>
      <c r="F404" s="66">
        <f t="shared" ca="1" si="660"/>
        <v>2020</v>
      </c>
      <c r="G404" s="66">
        <f t="shared" ref="G404" ca="1" si="821">VLOOKUP(INDIRECT(CHAR(39)&amp;$A404&amp;CHAR(39)&amp;"!r2c"&amp;$C404,0),variables,2,0)</f>
        <v>10871</v>
      </c>
      <c r="H404" s="7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2">
      <c r="A405" s="66" t="s">
        <v>1037</v>
      </c>
      <c r="B405" s="66">
        <f t="shared" si="792"/>
        <v>9</v>
      </c>
      <c r="C405" s="66">
        <f t="shared" si="793"/>
        <v>14</v>
      </c>
      <c r="E405" s="66">
        <f t="shared" ref="E405" si="822">plan_id</f>
        <v>1952</v>
      </c>
      <c r="F405" s="66">
        <f t="shared" ca="1" si="660"/>
        <v>2020</v>
      </c>
      <c r="G405" s="66">
        <f t="shared" ref="G405" ca="1" si="823">VLOOKUP(INDIRECT(CHAR(39)&amp;$A405&amp;CHAR(39)&amp;"!r2c"&amp;$C405,0),variables,2,0)</f>
        <v>10872</v>
      </c>
      <c r="H405" s="7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2">
      <c r="A406" s="66" t="s">
        <v>1037</v>
      </c>
      <c r="B406" s="66">
        <f t="shared" si="792"/>
        <v>9</v>
      </c>
      <c r="C406" s="66">
        <f t="shared" si="793"/>
        <v>15</v>
      </c>
      <c r="E406" s="66">
        <f t="shared" ref="E406" si="824">plan_id</f>
        <v>1952</v>
      </c>
      <c r="F406" s="66">
        <f t="shared" ca="1" si="660"/>
        <v>2020</v>
      </c>
      <c r="G406" s="66">
        <f t="shared" ref="G406" ca="1" si="825">VLOOKUP(INDIRECT(CHAR(39)&amp;$A406&amp;CHAR(39)&amp;"!r2c"&amp;$C406,0),variables,2,0)</f>
        <v>10873</v>
      </c>
      <c r="H406" s="7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</row>
    <row r="407" spans="1:8" x14ac:dyDescent="0.2">
      <c r="A407" s="66" t="s">
        <v>1037</v>
      </c>
      <c r="B407" s="66">
        <f t="shared" si="792"/>
        <v>9</v>
      </c>
      <c r="C407" s="66">
        <f t="shared" si="793"/>
        <v>16</v>
      </c>
      <c r="E407" s="66">
        <f t="shared" ref="E407" si="826">plan_id</f>
        <v>1952</v>
      </c>
      <c r="F407" s="66">
        <f t="shared" ca="1" si="660"/>
        <v>2020</v>
      </c>
      <c r="G407" s="66">
        <f t="shared" ref="G407" ca="1" si="827">VLOOKUP(INDIRECT(CHAR(39)&amp;$A407&amp;CHAR(39)&amp;"!r2c"&amp;$C407,0),variables,2,0)</f>
        <v>10874</v>
      </c>
      <c r="H407" s="7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</row>
    <row r="408" spans="1:8" x14ac:dyDescent="0.2">
      <c r="A408" s="66" t="s">
        <v>1037</v>
      </c>
      <c r="B408" s="66">
        <f t="shared" si="792"/>
        <v>9</v>
      </c>
      <c r="C408" s="66">
        <f t="shared" si="793"/>
        <v>17</v>
      </c>
      <c r="E408" s="66">
        <f t="shared" ref="E408" si="828">plan_id</f>
        <v>1952</v>
      </c>
      <c r="F408" s="66">
        <f t="shared" ca="1" si="660"/>
        <v>2020</v>
      </c>
      <c r="G408" s="66">
        <f t="shared" ref="G408" ca="1" si="829">VLOOKUP(INDIRECT(CHAR(39)&amp;$A408&amp;CHAR(39)&amp;"!r2c"&amp;$C408,0),variables,2,0)</f>
        <v>10875</v>
      </c>
      <c r="H408" s="7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102466096227</v>
      </c>
    </row>
    <row r="409" spans="1:8" x14ac:dyDescent="0.2">
      <c r="A409" s="66" t="s">
        <v>1037</v>
      </c>
      <c r="B409" s="66">
        <f t="shared" si="792"/>
        <v>9</v>
      </c>
      <c r="C409" s="66">
        <f t="shared" si="793"/>
        <v>18</v>
      </c>
      <c r="E409" s="66">
        <f t="shared" ref="E409" si="830">plan_id</f>
        <v>1952</v>
      </c>
      <c r="F409" s="66">
        <f t="shared" ca="1" si="660"/>
        <v>2020</v>
      </c>
      <c r="G409" s="66">
        <f t="shared" ref="G409" ca="1" si="831">VLOOKUP(INDIRECT(CHAR(39)&amp;$A409&amp;CHAR(39)&amp;"!r2c"&amp;$C409,0),variables,2,0)</f>
        <v>10876</v>
      </c>
      <c r="H409" s="7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76453386707</v>
      </c>
    </row>
    <row r="410" spans="1:8" x14ac:dyDescent="0.2">
      <c r="A410" s="66" t="s">
        <v>1037</v>
      </c>
      <c r="B410" s="66">
        <f t="shared" si="792"/>
        <v>9</v>
      </c>
      <c r="C410" s="66">
        <f t="shared" si="793"/>
        <v>19</v>
      </c>
      <c r="E410" s="66">
        <f t="shared" ref="E410" si="832">plan_id</f>
        <v>1952</v>
      </c>
      <c r="F410" s="66">
        <f t="shared" ca="1" si="660"/>
        <v>2020</v>
      </c>
      <c r="G410" s="66">
        <f t="shared" ref="G410" ca="1" si="833">VLOOKUP(INDIRECT(CHAR(39)&amp;$A410&amp;CHAR(39)&amp;"!r2c"&amp;$C410,0),variables,2,0)</f>
        <v>10877</v>
      </c>
      <c r="H410" s="71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26012709520</v>
      </c>
    </row>
    <row r="411" spans="1:8" x14ac:dyDescent="0.2">
      <c r="A411" s="66" t="s">
        <v>1037</v>
      </c>
      <c r="B411" s="66">
        <f t="shared" si="792"/>
        <v>9</v>
      </c>
      <c r="C411" s="66">
        <f t="shared" si="793"/>
        <v>20</v>
      </c>
      <c r="E411" s="66">
        <f t="shared" ref="E411" si="834">plan_id</f>
        <v>1952</v>
      </c>
      <c r="F411" s="66">
        <f t="shared" ca="1" si="660"/>
        <v>2020</v>
      </c>
      <c r="G411" s="66">
        <f t="shared" ref="G411" ca="1" si="835">VLOOKUP(INDIRECT(CHAR(39)&amp;$A411&amp;CHAR(39)&amp;"!r2c"&amp;$C411,0),variables,2,0)</f>
        <v>10878</v>
      </c>
      <c r="H411" s="71" t="str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State: 72.15%; Teacher: 71.47%; Political Subdivision: 83.44%</v>
      </c>
    </row>
    <row r="412" spans="1:8" x14ac:dyDescent="0.2">
      <c r="A412" s="66" t="s">
        <v>1037</v>
      </c>
      <c r="B412" s="66">
        <f t="shared" si="792"/>
        <v>9</v>
      </c>
      <c r="C412" s="66">
        <f t="shared" si="793"/>
        <v>21</v>
      </c>
      <c r="E412" s="66">
        <f t="shared" ref="E412" si="836">plan_id</f>
        <v>1952</v>
      </c>
      <c r="F412" s="66">
        <f t="shared" ca="1" si="660"/>
        <v>2020</v>
      </c>
      <c r="G412" s="66">
        <f t="shared" ref="G412" ca="1" si="837">VLOOKUP(INDIRECT(CHAR(39)&amp;$A412&amp;CHAR(39)&amp;"!r2c"&amp;$C412,0),variables,2,0)</f>
        <v>10879</v>
      </c>
      <c r="H412" s="7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18575052719</v>
      </c>
    </row>
    <row r="413" spans="1:8" x14ac:dyDescent="0.2">
      <c r="A413" s="66" t="s">
        <v>1037</v>
      </c>
      <c r="B413" s="66">
        <f t="shared" si="792"/>
        <v>9</v>
      </c>
      <c r="C413" s="66">
        <f t="shared" si="793"/>
        <v>22</v>
      </c>
      <c r="E413" s="66">
        <f t="shared" ref="E413" si="838">plan_id</f>
        <v>1952</v>
      </c>
      <c r="F413" s="66">
        <f t="shared" ca="1" si="660"/>
        <v>2020</v>
      </c>
      <c r="G413" s="66">
        <f t="shared" ref="G413" ca="1" si="839">VLOOKUP(INDIRECT(CHAR(39)&amp;$A413&amp;CHAR(39)&amp;"!r2c"&amp;$C413,0),variables,2,0)</f>
        <v>10880</v>
      </c>
      <c r="H413" s="71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3548621020</v>
      </c>
    </row>
    <row r="414" spans="1:8" x14ac:dyDescent="0.2">
      <c r="A414" s="66" t="s">
        <v>1037</v>
      </c>
      <c r="B414" s="66">
        <f t="shared" si="792"/>
        <v>9</v>
      </c>
      <c r="C414" s="66">
        <f t="shared" si="793"/>
        <v>23</v>
      </c>
      <c r="E414" s="66">
        <f t="shared" ref="E414" si="840">plan_id</f>
        <v>1952</v>
      </c>
      <c r="F414" s="66">
        <f t="shared" ca="1" si="660"/>
        <v>2020</v>
      </c>
      <c r="G414" s="66">
        <f t="shared" ref="G414" ca="1" si="841">VLOOKUP(INDIRECT(CHAR(39)&amp;$A414&amp;CHAR(39)&amp;"!r2c"&amp;$C414,0),variables,2,0)</f>
        <v>10881</v>
      </c>
      <c r="H414" s="71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4613986984</v>
      </c>
    </row>
    <row r="415" spans="1:8" x14ac:dyDescent="0.2">
      <c r="A415" s="66" t="s">
        <v>1037</v>
      </c>
      <c r="B415" s="66">
        <f t="shared" si="792"/>
        <v>9</v>
      </c>
      <c r="C415" s="66">
        <f t="shared" si="793"/>
        <v>24</v>
      </c>
      <c r="E415" s="66">
        <f t="shared" ref="E415" si="842">plan_id</f>
        <v>1952</v>
      </c>
      <c r="F415" s="66">
        <f t="shared" ca="1" si="660"/>
        <v>2020</v>
      </c>
      <c r="G415" s="66">
        <f t="shared" ref="G415" ca="1" si="843">VLOOKUP(INDIRECT(CHAR(39)&amp;$A415&amp;CHAR(39)&amp;"!r2c"&amp;$C415,0),variables,2,0)</f>
        <v>10882</v>
      </c>
      <c r="H415" s="71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1382669915</v>
      </c>
    </row>
    <row r="416" spans="1:8" x14ac:dyDescent="0.2">
      <c r="A416" s="66" t="s">
        <v>1037</v>
      </c>
      <c r="B416" s="66">
        <f t="shared" si="792"/>
        <v>9</v>
      </c>
      <c r="C416" s="66">
        <f t="shared" si="793"/>
        <v>25</v>
      </c>
      <c r="E416" s="66">
        <f t="shared" ref="E416" si="844">plan_id</f>
        <v>1952</v>
      </c>
      <c r="F416" s="66">
        <f t="shared" ca="1" si="660"/>
        <v>2020</v>
      </c>
      <c r="G416" s="66">
        <f t="shared" ref="G416" ca="1" si="845">VLOOKUP(INDIRECT(CHAR(39)&amp;$A416&amp;CHAR(39)&amp;"!r2c"&amp;$C416,0),variables,2,0)</f>
        <v>10883</v>
      </c>
      <c r="H416" s="7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0.13564408091411564</v>
      </c>
    </row>
    <row r="417" spans="1:8" x14ac:dyDescent="0.2">
      <c r="A417" s="66" t="s">
        <v>1037</v>
      </c>
      <c r="B417" s="66">
        <f t="shared" si="792"/>
        <v>9</v>
      </c>
      <c r="C417" s="66">
        <f t="shared" si="793"/>
        <v>26</v>
      </c>
      <c r="E417" s="66">
        <f t="shared" ref="E417" si="846">plan_id</f>
        <v>1952</v>
      </c>
      <c r="F417" s="66">
        <f t="shared" ca="1" si="660"/>
        <v>2020</v>
      </c>
      <c r="G417" s="66">
        <f t="shared" ref="G417" ca="1" si="847">VLOOKUP(INDIRECT(CHAR(39)&amp;$A417&amp;CHAR(39)&amp;"!r2c"&amp;$C417,0),variables,2,0)</f>
        <v>10884</v>
      </c>
      <c r="H417" s="7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0.13578973762050187</v>
      </c>
    </row>
    <row r="418" spans="1:8" x14ac:dyDescent="0.2">
      <c r="A418" s="66" t="s">
        <v>1037</v>
      </c>
      <c r="B418" s="66">
        <f t="shared" si="792"/>
        <v>9</v>
      </c>
      <c r="C418" s="66">
        <f t="shared" si="793"/>
        <v>27</v>
      </c>
      <c r="E418" s="66">
        <f t="shared" ref="E418" si="848">plan_id</f>
        <v>1952</v>
      </c>
      <c r="F418" s="66">
        <f t="shared" ca="1" si="660"/>
        <v>2020</v>
      </c>
      <c r="G418" s="66">
        <f t="shared" ref="G418" ca="1" si="849">VLOOKUP(INDIRECT(CHAR(39)&amp;$A418&amp;CHAR(39)&amp;"!r2c"&amp;$C418,0),variables,2,0)</f>
        <v>10885</v>
      </c>
      <c r="H418" s="7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2519595954</v>
      </c>
    </row>
    <row r="419" spans="1:8" x14ac:dyDescent="0.2">
      <c r="A419" s="66" t="s">
        <v>1037</v>
      </c>
      <c r="B419" s="66">
        <f t="shared" si="792"/>
        <v>9</v>
      </c>
      <c r="C419" s="66">
        <f t="shared" si="793"/>
        <v>28</v>
      </c>
      <c r="E419" s="66">
        <f t="shared" ref="E419" si="850">plan_id</f>
        <v>1952</v>
      </c>
      <c r="F419" s="66">
        <f t="shared" ca="1" si="660"/>
        <v>2020</v>
      </c>
      <c r="G419" s="66">
        <f t="shared" ref="G419" ca="1" si="851">VLOOKUP(INDIRECT(CHAR(39)&amp;$A419&amp;CHAR(39)&amp;"!r2c"&amp;$C419,0),variables,2,0)</f>
        <v>10886</v>
      </c>
      <c r="H419" s="71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2522301535</v>
      </c>
    </row>
    <row r="420" spans="1:8" x14ac:dyDescent="0.2">
      <c r="A420" s="66" t="s">
        <v>1037</v>
      </c>
      <c r="B420" s="66">
        <f t="shared" si="792"/>
        <v>9</v>
      </c>
      <c r="C420" s="66">
        <f t="shared" si="793"/>
        <v>29</v>
      </c>
      <c r="E420" s="66">
        <f t="shared" ref="E420" si="852">plan_id</f>
        <v>1952</v>
      </c>
      <c r="F420" s="66">
        <f t="shared" ca="1" si="660"/>
        <v>2020</v>
      </c>
      <c r="G420" s="66">
        <f t="shared" ref="G420" ca="1" si="853">VLOOKUP(INDIRECT(CHAR(39)&amp;$A420&amp;CHAR(39)&amp;"!r2c"&amp;$C420,0),variables,2,0)</f>
        <v>10887</v>
      </c>
      <c r="H420" s="71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-2705581</v>
      </c>
    </row>
    <row r="421" spans="1:8" x14ac:dyDescent="0.2">
      <c r="A421" s="66" t="s">
        <v>1037</v>
      </c>
      <c r="B421" s="66">
        <f t="shared" si="792"/>
        <v>9</v>
      </c>
      <c r="C421" s="66">
        <f t="shared" si="793"/>
        <v>30</v>
      </c>
      <c r="E421" s="66">
        <f t="shared" ref="E421" si="854">plan_id</f>
        <v>1952</v>
      </c>
      <c r="F421" s="66">
        <f t="shared" ca="1" si="660"/>
        <v>2020</v>
      </c>
      <c r="G421" s="66">
        <f t="shared" ref="G421" ca="1" si="855">VLOOKUP(INDIRECT(CHAR(39)&amp;$A421&amp;CHAR(39)&amp;"!r2c"&amp;$C421,0),variables,2,0)</f>
        <v>10883</v>
      </c>
      <c r="H421" s="71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1.0010738154249315</v>
      </c>
    </row>
    <row r="422" spans="1:8" x14ac:dyDescent="0.2">
      <c r="A422" s="66" t="s">
        <v>1037</v>
      </c>
      <c r="B422" s="66">
        <f t="shared" si="792"/>
        <v>9</v>
      </c>
      <c r="C422" s="66">
        <f t="shared" si="793"/>
        <v>31</v>
      </c>
      <c r="E422" s="66">
        <f t="shared" ref="E422" si="856">plan_id</f>
        <v>1952</v>
      </c>
      <c r="F422" s="66">
        <f t="shared" ca="1" si="660"/>
        <v>2020</v>
      </c>
      <c r="G422" s="66">
        <f t="shared" ref="G422" ca="1" si="857">VLOOKUP(INDIRECT(CHAR(39)&amp;$A422&amp;CHAR(39)&amp;"!r2c"&amp;$C422,0),variables,2,0)</f>
        <v>10889</v>
      </c>
      <c r="H422" s="71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1948685944</v>
      </c>
    </row>
    <row r="423" spans="1:8" x14ac:dyDescent="0.2">
      <c r="A423" s="66" t="s">
        <v>1037</v>
      </c>
      <c r="B423" s="66">
        <f t="shared" si="792"/>
        <v>9</v>
      </c>
      <c r="C423" s="66">
        <f t="shared" si="793"/>
        <v>32</v>
      </c>
      <c r="E423" s="66">
        <f t="shared" ref="E423" si="858">plan_id</f>
        <v>1952</v>
      </c>
      <c r="F423" s="66">
        <f t="shared" ca="1" si="660"/>
        <v>2020</v>
      </c>
      <c r="G423" s="66">
        <f t="shared" ref="G423" ca="1" si="859">VLOOKUP(INDIRECT(CHAR(39)&amp;$A423&amp;CHAR(39)&amp;"!r2c"&amp;$C423,0),variables,2,0)</f>
        <v>10890</v>
      </c>
      <c r="H423" s="71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6529418356</v>
      </c>
    </row>
    <row r="424" spans="1:8" x14ac:dyDescent="0.2">
      <c r="A424" s="66" t="s">
        <v>1037</v>
      </c>
      <c r="B424" s="66">
        <f t="shared" si="792"/>
        <v>9</v>
      </c>
      <c r="C424" s="66">
        <f t="shared" si="793"/>
        <v>33</v>
      </c>
      <c r="E424" s="66">
        <f t="shared" ref="E424" si="860">plan_id</f>
        <v>1952</v>
      </c>
      <c r="F424" s="66">
        <f t="shared" ca="1" si="660"/>
        <v>2020</v>
      </c>
      <c r="G424" s="66">
        <f t="shared" ref="G424" ca="1" si="861">VLOOKUP(INDIRECT(CHAR(39)&amp;$A424&amp;CHAR(39)&amp;"!r2c"&amp;$C424,0),variables,2,0)</f>
        <v>10891</v>
      </c>
      <c r="H424" s="71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19656740</v>
      </c>
    </row>
    <row r="425" spans="1:8" x14ac:dyDescent="0.2">
      <c r="A425" s="66" t="s">
        <v>1037</v>
      </c>
      <c r="B425" s="66">
        <f t="shared" si="792"/>
        <v>9</v>
      </c>
      <c r="C425" s="66">
        <f t="shared" si="793"/>
        <v>34</v>
      </c>
      <c r="E425" s="66">
        <f t="shared" ref="E425" si="862">plan_id</f>
        <v>1952</v>
      </c>
      <c r="F425" s="66">
        <f t="shared" ca="1" si="660"/>
        <v>2020</v>
      </c>
      <c r="G425" s="66">
        <f t="shared" ref="G425" ca="1" si="863">VLOOKUP(INDIRECT(CHAR(39)&amp;$A425&amp;CHAR(39)&amp;"!r2c"&amp;$C425,0),variables,2,0)</f>
        <v>10892</v>
      </c>
      <c r="H425" s="71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60122055</v>
      </c>
    </row>
    <row r="426" spans="1:8" x14ac:dyDescent="0.2">
      <c r="A426" s="66" t="s">
        <v>1037</v>
      </c>
      <c r="B426" s="66">
        <f t="shared" si="792"/>
        <v>9</v>
      </c>
      <c r="C426" s="66">
        <f t="shared" si="793"/>
        <v>35</v>
      </c>
      <c r="E426" s="66">
        <f t="shared" ref="E426" si="864">plan_id</f>
        <v>1952</v>
      </c>
      <c r="F426" s="66">
        <f t="shared" ca="1" si="660"/>
        <v>2020</v>
      </c>
      <c r="G426" s="66">
        <f t="shared" ref="G426" ca="1" si="865">VLOOKUP(INDIRECT(CHAR(39)&amp;$A426&amp;CHAR(39)&amp;"!r2c"&amp;$C426,0),variables,2,0)</f>
        <v>10893</v>
      </c>
      <c r="H426" s="7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66" t="s">
        <v>1037</v>
      </c>
      <c r="B427" s="66">
        <f t="shared" si="792"/>
        <v>9</v>
      </c>
      <c r="C427" s="66">
        <f t="shared" si="793"/>
        <v>36</v>
      </c>
      <c r="E427" s="66">
        <f t="shared" ref="E427" si="866">plan_id</f>
        <v>1952</v>
      </c>
      <c r="F427" s="66">
        <f t="shared" ca="1" si="660"/>
        <v>2020</v>
      </c>
      <c r="G427" s="66">
        <f t="shared" ref="G427" ca="1" si="867">VLOOKUP(INDIRECT(CHAR(39)&amp;$A427&amp;CHAR(39)&amp;"!r2c"&amp;$C427,0),variables,2,0)</f>
        <v>10894</v>
      </c>
      <c r="H427" s="7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-888201576</v>
      </c>
    </row>
    <row r="428" spans="1:8" x14ac:dyDescent="0.2">
      <c r="A428" s="66" t="s">
        <v>1037</v>
      </c>
      <c r="B428" s="66">
        <f t="shared" si="792"/>
        <v>9</v>
      </c>
      <c r="C428" s="66">
        <f t="shared" si="793"/>
        <v>37</v>
      </c>
      <c r="E428" s="66">
        <f t="shared" ref="E428" si="868">plan_id</f>
        <v>1952</v>
      </c>
      <c r="F428" s="66">
        <f t="shared" ca="1" si="660"/>
        <v>2020</v>
      </c>
      <c r="G428" s="66">
        <f t="shared" ref="G428" ca="1" si="869">VLOOKUP(INDIRECT(CHAR(39)&amp;$A428&amp;CHAR(39)&amp;"!r2c"&amp;$C428,0),variables,2,0)</f>
        <v>10895</v>
      </c>
      <c r="H428" s="7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-5125618349</v>
      </c>
    </row>
    <row r="429" spans="1:8" x14ac:dyDescent="0.2">
      <c r="A429" s="66" t="s">
        <v>1037</v>
      </c>
      <c r="B429" s="66">
        <f t="shared" si="792"/>
        <v>9</v>
      </c>
      <c r="C429" s="66">
        <f t="shared" si="793"/>
        <v>38</v>
      </c>
      <c r="E429" s="66">
        <f t="shared" ref="E429" si="870">plan_id</f>
        <v>1952</v>
      </c>
      <c r="F429" s="66">
        <f t="shared" ca="1" si="660"/>
        <v>2020</v>
      </c>
      <c r="G429" s="66">
        <f t="shared" ref="G429" ca="1" si="871">VLOOKUP(INDIRECT(CHAR(39)&amp;$A429&amp;CHAR(39)&amp;"!r2c"&amp;$C429,0),variables,2,0)</f>
        <v>10896</v>
      </c>
      <c r="H429" s="7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203084323</v>
      </c>
    </row>
    <row r="430" spans="1:8" x14ac:dyDescent="0.2">
      <c r="A430" s="66" t="s">
        <v>1037</v>
      </c>
      <c r="B430" s="66">
        <f t="shared" si="792"/>
        <v>9</v>
      </c>
      <c r="C430" s="66">
        <f t="shared" si="793"/>
        <v>39</v>
      </c>
      <c r="E430" s="66">
        <f t="shared" ref="E430" si="872">plan_id</f>
        <v>1952</v>
      </c>
      <c r="F430" s="66">
        <f t="shared" ca="1" si="660"/>
        <v>2020</v>
      </c>
      <c r="G430" s="66">
        <f t="shared" ref="G430" ca="1" si="873">VLOOKUP(INDIRECT(CHAR(39)&amp;$A430&amp;CHAR(39)&amp;"!r2c"&amp;$C430,0),variables,2,0)</f>
        <v>10897</v>
      </c>
      <c r="H430" s="71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50093786</v>
      </c>
    </row>
    <row r="431" spans="1:8" x14ac:dyDescent="0.2">
      <c r="A431" s="66" t="s">
        <v>1037</v>
      </c>
      <c r="B431" s="66">
        <f t="shared" si="792"/>
        <v>9</v>
      </c>
      <c r="C431" s="66">
        <f t="shared" si="793"/>
        <v>40</v>
      </c>
      <c r="E431" s="66">
        <f t="shared" ref="E431" si="874">plan_id</f>
        <v>1952</v>
      </c>
      <c r="F431" s="66">
        <f t="shared" ca="1" si="660"/>
        <v>2020</v>
      </c>
      <c r="G431" s="66">
        <f t="shared" ref="G431" ca="1" si="875">VLOOKUP(INDIRECT(CHAR(39)&amp;$A431&amp;CHAR(39)&amp;"!r2c"&amp;$C431,0),variables,2,0)</f>
        <v>10898</v>
      </c>
      <c r="H431" s="71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2065887636</v>
      </c>
    </row>
    <row r="432" spans="1:8" x14ac:dyDescent="0.2">
      <c r="A432" s="66" t="s">
        <v>1037</v>
      </c>
      <c r="B432" s="66">
        <f t="shared" si="792"/>
        <v>9</v>
      </c>
      <c r="C432" s="66">
        <f t="shared" si="793"/>
        <v>41</v>
      </c>
      <c r="E432" s="66">
        <f t="shared" ref="E432" si="876">plan_id</f>
        <v>1952</v>
      </c>
      <c r="F432" s="66">
        <f t="shared" ca="1" si="660"/>
        <v>2020</v>
      </c>
      <c r="G432" s="66">
        <f t="shared" ref="G432" ca="1" si="877">VLOOKUP(INDIRECT(CHAR(39)&amp;$A432&amp;CHAR(39)&amp;"!r2c"&amp;$C432,0),variables,2,0)</f>
        <v>10899</v>
      </c>
      <c r="H432" s="71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-1316548387</v>
      </c>
    </row>
    <row r="433" spans="1:8" x14ac:dyDescent="0.2">
      <c r="A433" s="66" t="s">
        <v>1037</v>
      </c>
      <c r="B433" s="66">
        <f t="shared" si="792"/>
        <v>9</v>
      </c>
      <c r="C433" s="66">
        <f t="shared" si="793"/>
        <v>42</v>
      </c>
      <c r="E433" s="66">
        <f t="shared" ref="E433" si="878">plan_id</f>
        <v>1952</v>
      </c>
      <c r="F433" s="66">
        <f t="shared" ca="1" si="660"/>
        <v>2020</v>
      </c>
      <c r="G433" s="66">
        <f t="shared" ref="G433" ca="1" si="879">VLOOKUP(INDIRECT(CHAR(39)&amp;$A433&amp;CHAR(39)&amp;"!r2c"&amp;$C433,0),variables,2,0)</f>
        <v>11006</v>
      </c>
      <c r="H433" s="71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2040492</v>
      </c>
    </row>
    <row r="434" spans="1:8" x14ac:dyDescent="0.2">
      <c r="A434" s="66" t="s">
        <v>1037</v>
      </c>
      <c r="B434" s="66">
        <f t="shared" si="792"/>
        <v>9</v>
      </c>
      <c r="C434" s="66">
        <f t="shared" si="793"/>
        <v>43</v>
      </c>
      <c r="E434" s="66">
        <f t="shared" ref="E434" si="880">plan_id</f>
        <v>1952</v>
      </c>
      <c r="F434" s="66">
        <f t="shared" ca="1" si="660"/>
        <v>2020</v>
      </c>
      <c r="G434" s="66">
        <f t="shared" ref="G434" ca="1" si="881">VLOOKUP(INDIRECT(CHAR(39)&amp;$A434&amp;CHAR(39)&amp;"!r2c"&amp;$C434,0),variables,2,0)</f>
        <v>10900</v>
      </c>
      <c r="H434" s="71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3548621020</v>
      </c>
    </row>
    <row r="435" spans="1:8" x14ac:dyDescent="0.2">
      <c r="A435" s="66" t="s">
        <v>1037</v>
      </c>
      <c r="B435" s="66">
        <f t="shared" si="792"/>
        <v>9</v>
      </c>
      <c r="C435" s="66">
        <f t="shared" si="793"/>
        <v>44</v>
      </c>
      <c r="E435" s="66">
        <f t="shared" ref="E435" si="882">plan_id</f>
        <v>1952</v>
      </c>
      <c r="F435" s="66">
        <f t="shared" ca="1" si="660"/>
        <v>2020</v>
      </c>
      <c r="G435" s="66">
        <f t="shared" ref="G435" ca="1" si="883">VLOOKUP(INDIRECT(CHAR(39)&amp;$A435&amp;CHAR(39)&amp;"!r2c"&amp;$C435,0),variables,2,0)</f>
        <v>10901</v>
      </c>
      <c r="H435" s="71" t="str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State Employees &amp; Teachers: 5.75%; Political Sub: 1.21%</v>
      </c>
    </row>
    <row r="436" spans="1:8" x14ac:dyDescent="0.2">
      <c r="A436" s="66" t="s">
        <v>1037</v>
      </c>
      <c r="B436" s="66">
        <f t="shared" si="792"/>
        <v>9</v>
      </c>
      <c r="C436" s="66">
        <f t="shared" si="793"/>
        <v>45</v>
      </c>
      <c r="E436" s="66">
        <f t="shared" ref="E436" si="884">plan_id</f>
        <v>1952</v>
      </c>
      <c r="F436" s="66">
        <f t="shared" ca="1" si="660"/>
        <v>2020</v>
      </c>
      <c r="G436" s="66">
        <f t="shared" ref="G436" ca="1" si="885">VLOOKUP(INDIRECT(CHAR(39)&amp;$A436&amp;CHAR(39)&amp;"!r2c"&amp;$C436,0),variables,2,0)</f>
        <v>10902</v>
      </c>
      <c r="H436" s="71" t="str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State Employees &amp; Teachers: 6.75%; Political Sub: 2.21%</v>
      </c>
    </row>
    <row r="437" spans="1:8" x14ac:dyDescent="0.2">
      <c r="A437" s="66" t="s">
        <v>1037</v>
      </c>
      <c r="B437" s="66">
        <f t="shared" si="792"/>
        <v>9</v>
      </c>
      <c r="C437" s="66">
        <f t="shared" si="793"/>
        <v>46</v>
      </c>
      <c r="E437" s="66">
        <f t="shared" ref="E437" si="886">plan_id</f>
        <v>1952</v>
      </c>
      <c r="F437" s="66">
        <f t="shared" ca="1" si="660"/>
        <v>2020</v>
      </c>
      <c r="G437" s="66">
        <f t="shared" ref="G437" ca="1" si="887">VLOOKUP(INDIRECT(CHAR(39)&amp;$A437&amp;CHAR(39)&amp;"!r2c"&amp;$C437,0),variables,2,0)</f>
        <v>10903</v>
      </c>
      <c r="H437" s="71" t="str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State Employees &amp; Teachers: 7.75%; Political Sub: 3.21%</v>
      </c>
    </row>
    <row r="438" spans="1:8" x14ac:dyDescent="0.2">
      <c r="A438" s="66" t="s">
        <v>1037</v>
      </c>
      <c r="B438" s="66">
        <f t="shared" si="792"/>
        <v>9</v>
      </c>
      <c r="C438" s="66">
        <f t="shared" si="793"/>
        <v>47</v>
      </c>
      <c r="E438" s="66">
        <f t="shared" ref="E438" si="888">plan_id</f>
        <v>1952</v>
      </c>
      <c r="F438" s="66">
        <f t="shared" ca="1" si="660"/>
        <v>2020</v>
      </c>
      <c r="G438" s="66">
        <f t="shared" ref="G438" ca="1" si="889">VLOOKUP(INDIRECT(CHAR(39)&amp;$A438&amp;CHAR(39)&amp;"!r2c"&amp;$C438,0),variables,2,0)</f>
        <v>10904</v>
      </c>
      <c r="H438" s="71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39017958524</v>
      </c>
    </row>
    <row r="439" spans="1:8" x14ac:dyDescent="0.2">
      <c r="A439" s="66" t="s">
        <v>1037</v>
      </c>
      <c r="B439" s="66">
        <f t="shared" si="792"/>
        <v>9</v>
      </c>
      <c r="C439" s="66">
        <f t="shared" si="793"/>
        <v>48</v>
      </c>
      <c r="E439" s="66">
        <f t="shared" ref="E439" si="890">plan_id</f>
        <v>1952</v>
      </c>
      <c r="F439" s="66">
        <f t="shared" ca="1" si="660"/>
        <v>2020</v>
      </c>
      <c r="G439" s="66">
        <f t="shared" ref="G439" ca="1" si="891">VLOOKUP(INDIRECT(CHAR(39)&amp;$A439&amp;CHAR(39)&amp;"!r2c"&amp;$C439,0),variables,2,0)</f>
        <v>10905</v>
      </c>
      <c r="H439" s="71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26012709520</v>
      </c>
    </row>
    <row r="440" spans="1:8" x14ac:dyDescent="0.2">
      <c r="A440" s="66" t="s">
        <v>1037</v>
      </c>
      <c r="B440" s="66">
        <f t="shared" si="792"/>
        <v>9</v>
      </c>
      <c r="C440" s="66">
        <f t="shared" si="793"/>
        <v>49</v>
      </c>
      <c r="E440" s="66">
        <f t="shared" ref="E440" si="892">plan_id</f>
        <v>1952</v>
      </c>
      <c r="F440" s="66">
        <f t="shared" ca="1" si="660"/>
        <v>2020</v>
      </c>
      <c r="G440" s="66">
        <f t="shared" ref="G440" ca="1" si="893">VLOOKUP(INDIRECT(CHAR(39)&amp;$A440&amp;CHAR(39)&amp;"!r2c"&amp;$C440,0),variables,2,0)</f>
        <v>10906</v>
      </c>
      <c r="H440" s="7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15198427782</v>
      </c>
    </row>
    <row r="441" spans="1:8" x14ac:dyDescent="0.2">
      <c r="A441" s="66" t="s">
        <v>1037</v>
      </c>
      <c r="B441" s="66">
        <f t="shared" si="792"/>
        <v>9</v>
      </c>
      <c r="C441" s="66">
        <f t="shared" si="793"/>
        <v>50</v>
      </c>
      <c r="E441" s="66">
        <f t="shared" ref="E441" si="894">plan_id</f>
        <v>1952</v>
      </c>
      <c r="F441" s="66">
        <f t="shared" ca="1" si="660"/>
        <v>2020</v>
      </c>
      <c r="G441" s="66">
        <f t="shared" ref="G441" ca="1" si="895">VLOOKUP(INDIRECT(CHAR(39)&amp;$A441&amp;CHAR(39)&amp;"!r2c"&amp;$C441,0),variables,2,0)</f>
        <v>10907</v>
      </c>
      <c r="H441" s="71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State Employees: 3.58; Teachers: 5.22</v>
      </c>
    </row>
    <row r="442" spans="1:8" x14ac:dyDescent="0.2">
      <c r="A442" s="66" t="s">
        <v>1037</v>
      </c>
      <c r="B442" s="66">
        <f t="shared" si="792"/>
        <v>9</v>
      </c>
      <c r="C442" s="66">
        <f t="shared" si="793"/>
        <v>51</v>
      </c>
      <c r="E442" s="66">
        <f t="shared" ref="E442" si="896">plan_id</f>
        <v>1952</v>
      </c>
      <c r="F442" s="66">
        <f t="shared" ca="1" si="660"/>
        <v>2020</v>
      </c>
      <c r="G442" s="66">
        <f t="shared" ref="G442" ca="1" si="897">VLOOKUP(INDIRECT(CHAR(39)&amp;$A442&amp;CHAR(39)&amp;"!r2c"&amp;$C442,0),variables,2,0)</f>
        <v>10860</v>
      </c>
      <c r="H442" s="7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99299941427</v>
      </c>
    </row>
    <row r="443" spans="1:8" x14ac:dyDescent="0.2">
      <c r="A443" s="66" t="s">
        <v>1037</v>
      </c>
      <c r="B443" s="66">
        <f t="shared" si="792"/>
        <v>9</v>
      </c>
      <c r="C443" s="66">
        <f t="shared" si="793"/>
        <v>52</v>
      </c>
      <c r="E443" s="66">
        <f t="shared" ref="E443" si="898">plan_id</f>
        <v>1952</v>
      </c>
      <c r="F443" s="66">
        <f t="shared" ca="1" si="660"/>
        <v>2020</v>
      </c>
      <c r="G443" s="66">
        <f t="shared" ref="G443" ca="1" si="899">VLOOKUP(INDIRECT(CHAR(39)&amp;$A443&amp;CHAR(39)&amp;"!r2c"&amp;$C443,0),variables,2,0)</f>
        <v>10909</v>
      </c>
      <c r="H443" s="71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1948685944</v>
      </c>
    </row>
    <row r="444" spans="1:8" x14ac:dyDescent="0.2">
      <c r="A444" s="66" t="s">
        <v>1037</v>
      </c>
      <c r="B444" s="66">
        <f t="shared" si="792"/>
        <v>9</v>
      </c>
      <c r="C444" s="66">
        <f t="shared" si="793"/>
        <v>53</v>
      </c>
      <c r="E444" s="66">
        <f t="shared" ref="E444" si="900">plan_id</f>
        <v>1952</v>
      </c>
      <c r="F444" s="66">
        <f t="shared" ca="1" si="660"/>
        <v>2020</v>
      </c>
      <c r="G444" s="66">
        <f t="shared" ref="G444" ca="1" si="901">VLOOKUP(INDIRECT(CHAR(39)&amp;$A444&amp;CHAR(39)&amp;"!r2c"&amp;$C444,0),variables,2,0)</f>
        <v>10910</v>
      </c>
      <c r="H444" s="7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6529418356</v>
      </c>
    </row>
    <row r="445" spans="1:8" x14ac:dyDescent="0.2">
      <c r="A445" s="66" t="s">
        <v>1037</v>
      </c>
      <c r="B445" s="66">
        <f t="shared" si="792"/>
        <v>9</v>
      </c>
      <c r="C445" s="66">
        <f t="shared" si="793"/>
        <v>54</v>
      </c>
      <c r="E445" s="66">
        <f t="shared" ref="E445" si="902">plan_id</f>
        <v>1952</v>
      </c>
      <c r="F445" s="66">
        <f t="shared" ca="1" si="660"/>
        <v>2020</v>
      </c>
      <c r="G445" s="66">
        <f t="shared" ref="G445" ca="1" si="903">VLOOKUP(INDIRECT(CHAR(39)&amp;$A445&amp;CHAR(39)&amp;"!r2c"&amp;$C445,0),variables,2,0)</f>
        <v>10911</v>
      </c>
      <c r="H445" s="7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19656740</v>
      </c>
    </row>
    <row r="446" spans="1:8" x14ac:dyDescent="0.2">
      <c r="A446" s="66" t="s">
        <v>1037</v>
      </c>
      <c r="B446" s="66">
        <f t="shared" si="792"/>
        <v>9</v>
      </c>
      <c r="C446" s="66">
        <f t="shared" si="793"/>
        <v>55</v>
      </c>
      <c r="E446" s="66">
        <f t="shared" ref="E446" si="904">plan_id</f>
        <v>1952</v>
      </c>
      <c r="F446" s="66">
        <f t="shared" ca="1" si="660"/>
        <v>2020</v>
      </c>
      <c r="G446" s="66">
        <f t="shared" ref="G446" ca="1" si="905">VLOOKUP(INDIRECT(CHAR(39)&amp;$A446&amp;CHAR(39)&amp;"!r2c"&amp;$C446,0),variables,2,0)</f>
        <v>10912</v>
      </c>
      <c r="H446" s="7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-196061682</v>
      </c>
    </row>
    <row r="447" spans="1:8" x14ac:dyDescent="0.2">
      <c r="A447" s="66" t="s">
        <v>1037</v>
      </c>
      <c r="B447" s="66">
        <f t="shared" si="792"/>
        <v>9</v>
      </c>
      <c r="C447" s="66">
        <f t="shared" si="793"/>
        <v>56</v>
      </c>
      <c r="E447" s="66">
        <f t="shared" ref="E447" si="906">plan_id</f>
        <v>1952</v>
      </c>
      <c r="F447" s="66">
        <f t="shared" ca="1" si="660"/>
        <v>2020</v>
      </c>
      <c r="G447" s="66">
        <f t="shared" ref="G447" ca="1" si="907">VLOOKUP(INDIRECT(CHAR(39)&amp;$A447&amp;CHAR(39)&amp;"!r2c"&amp;$C447,0),variables,2,0)</f>
        <v>10913</v>
      </c>
      <c r="H447" s="71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66" t="s">
        <v>1037</v>
      </c>
      <c r="B448" s="66">
        <f t="shared" si="792"/>
        <v>9</v>
      </c>
      <c r="C448" s="66">
        <f t="shared" si="793"/>
        <v>57</v>
      </c>
      <c r="E448" s="66">
        <f t="shared" ref="E448" si="908">plan_id</f>
        <v>1952</v>
      </c>
      <c r="F448" s="66">
        <f t="shared" ca="1" si="660"/>
        <v>2020</v>
      </c>
      <c r="G448" s="66">
        <f t="shared" ref="G448" ca="1" si="909">VLOOKUP(INDIRECT(CHAR(39)&amp;$A448&amp;CHAR(39)&amp;"!r2c"&amp;$C448,0),variables,2,0)</f>
        <v>10914</v>
      </c>
      <c r="H448" s="71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2425758561</v>
      </c>
    </row>
    <row r="449" spans="1:8" x14ac:dyDescent="0.2">
      <c r="A449" s="66" t="s">
        <v>1037</v>
      </c>
      <c r="B449" s="66">
        <f t="shared" si="792"/>
        <v>9</v>
      </c>
      <c r="C449" s="66">
        <f t="shared" si="793"/>
        <v>58</v>
      </c>
      <c r="E449" s="66">
        <f t="shared" ref="E449" si="910">plan_id</f>
        <v>1952</v>
      </c>
      <c r="F449" s="66">
        <f t="shared" ca="1" si="660"/>
        <v>2020</v>
      </c>
      <c r="G449" s="66">
        <f t="shared" ref="G449" ca="1" si="911">VLOOKUP(INDIRECT(CHAR(39)&amp;$A449&amp;CHAR(39)&amp;"!r2c"&amp;$C449,0),variables,2,0)</f>
        <v>10915</v>
      </c>
      <c r="H449" s="71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888213679</v>
      </c>
    </row>
    <row r="450" spans="1:8" x14ac:dyDescent="0.2">
      <c r="A450" s="66" t="s">
        <v>1037</v>
      </c>
      <c r="B450" s="66">
        <f t="shared" si="792"/>
        <v>9</v>
      </c>
      <c r="C450" s="66">
        <f t="shared" si="793"/>
        <v>59</v>
      </c>
      <c r="E450" s="66">
        <f t="shared" ref="E450" si="912">plan_id</f>
        <v>1952</v>
      </c>
      <c r="F450" s="66">
        <f t="shared" ca="1" si="660"/>
        <v>2020</v>
      </c>
      <c r="G450" s="66">
        <f t="shared" ref="G450" ca="1" si="913">VLOOKUP(INDIRECT(CHAR(39)&amp;$A450&amp;CHAR(39)&amp;"!r2c"&amp;$C450,0),variables,2,0)</f>
        <v>10916</v>
      </c>
      <c r="H450" s="71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1455124673</v>
      </c>
    </row>
    <row r="451" spans="1:8" x14ac:dyDescent="0.2">
      <c r="A451" s="66" t="s">
        <v>1037</v>
      </c>
      <c r="B451" s="66">
        <f t="shared" si="792"/>
        <v>9</v>
      </c>
      <c r="C451" s="66">
        <f t="shared" si="793"/>
        <v>60</v>
      </c>
      <c r="E451" s="66">
        <f t="shared" ref="E451" si="914">plan_id</f>
        <v>1952</v>
      </c>
      <c r="F451" s="66">
        <f t="shared" ca="1" si="660"/>
        <v>2020</v>
      </c>
      <c r="G451" s="66">
        <f t="shared" ref="G451" ca="1" si="915">VLOOKUP(INDIRECT(CHAR(39)&amp;$A451&amp;CHAR(39)&amp;"!r2c"&amp;$C451,0),variables,2,0)</f>
        <v>10917</v>
      </c>
      <c r="H451" s="7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-5033582583</v>
      </c>
    </row>
    <row r="452" spans="1:8" x14ac:dyDescent="0.2">
      <c r="A452" s="66" t="s">
        <v>1037</v>
      </c>
      <c r="B452" s="66">
        <f t="shared" si="792"/>
        <v>9</v>
      </c>
      <c r="C452" s="66">
        <f t="shared" si="793"/>
        <v>61</v>
      </c>
      <c r="E452" s="66">
        <f t="shared" ref="E452" si="916">plan_id</f>
        <v>1952</v>
      </c>
      <c r="F452" s="66">
        <f t="shared" ca="1" si="660"/>
        <v>2020</v>
      </c>
      <c r="G452" s="66">
        <f t="shared" ref="G452" ca="1" si="917">VLOOKUP(INDIRECT(CHAR(39)&amp;$A452&amp;CHAR(39)&amp;"!r2c"&amp;$C452,0),variables,2,0)</f>
        <v>10918</v>
      </c>
      <c r="H452" s="71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-101961975</v>
      </c>
    </row>
    <row r="453" spans="1:8" x14ac:dyDescent="0.2">
      <c r="A453" s="66" t="s">
        <v>1037</v>
      </c>
      <c r="B453" s="66">
        <f t="shared" si="792"/>
        <v>9</v>
      </c>
      <c r="C453" s="66">
        <f t="shared" si="793"/>
        <v>62</v>
      </c>
      <c r="E453" s="66">
        <f t="shared" ref="E453" si="918">plan_id</f>
        <v>1952</v>
      </c>
      <c r="F453" s="66">
        <f t="shared" ca="1" si="660"/>
        <v>2020</v>
      </c>
      <c r="G453" s="66">
        <f t="shared" ref="G453" ca="1" si="919">VLOOKUP(INDIRECT(CHAR(39)&amp;$A453&amp;CHAR(39)&amp;"!r2c"&amp;$C453,0),variables,2,0)</f>
        <v>10919</v>
      </c>
      <c r="H453" s="71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-5135544558</v>
      </c>
    </row>
    <row r="454" spans="1:8" x14ac:dyDescent="0.2">
      <c r="A454" s="66" t="s">
        <v>1037</v>
      </c>
      <c r="B454" s="66">
        <f t="shared" si="792"/>
        <v>9</v>
      </c>
      <c r="C454" s="66">
        <f t="shared" si="793"/>
        <v>63</v>
      </c>
      <c r="E454" s="66">
        <f t="shared" ref="E454" si="920">plan_id</f>
        <v>1952</v>
      </c>
      <c r="F454" s="66">
        <f t="shared" ca="1" si="660"/>
        <v>2020</v>
      </c>
      <c r="G454" s="66">
        <f t="shared" ref="G454" ca="1" si="921">VLOOKUP(INDIRECT(CHAR(39)&amp;$A454&amp;CHAR(39)&amp;"!r2c"&amp;$C454,0),variables,2,0)</f>
        <v>10920</v>
      </c>
      <c r="H454" s="71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-50093786</v>
      </c>
    </row>
    <row r="455" spans="1:8" x14ac:dyDescent="0.2">
      <c r="A455" s="66" t="s">
        <v>1037</v>
      </c>
      <c r="B455" s="66">
        <f t="shared" ref="B455:B518" si="922">B390+1</f>
        <v>9</v>
      </c>
      <c r="C455" s="66">
        <f t="shared" ref="C455:C518" si="923">C390</f>
        <v>64</v>
      </c>
      <c r="E455" s="66">
        <f t="shared" ref="E455" si="924">plan_id</f>
        <v>1952</v>
      </c>
      <c r="F455" s="66">
        <f t="shared" ca="1" si="660"/>
        <v>2020</v>
      </c>
      <c r="G455" s="66">
        <f t="shared" ref="G455" ca="1" si="925">VLOOKUP(INDIRECT(CHAR(39)&amp;$A455&amp;CHAR(39)&amp;"!r2c"&amp;$C455,0),variables,2,0)</f>
        <v>10921</v>
      </c>
      <c r="H455" s="71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-1983167</v>
      </c>
    </row>
    <row r="456" spans="1:8" x14ac:dyDescent="0.2">
      <c r="A456" s="66" t="s">
        <v>1037</v>
      </c>
      <c r="B456" s="66">
        <f t="shared" si="922"/>
        <v>9</v>
      </c>
      <c r="C456" s="66">
        <f t="shared" si="923"/>
        <v>65</v>
      </c>
      <c r="E456" s="66">
        <f t="shared" ref="E456" si="926">plan_id</f>
        <v>1952</v>
      </c>
      <c r="F456" s="66">
        <f t="shared" ca="1" si="660"/>
        <v>2020</v>
      </c>
      <c r="G456" s="66">
        <f t="shared" ref="G456" ca="1" si="927">VLOOKUP(INDIRECT(CHAR(39)&amp;$A456&amp;CHAR(39)&amp;"!r2c"&amp;$C456,0),variables,2,0)</f>
        <v>10922</v>
      </c>
      <c r="H456" s="71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66" t="s">
        <v>1037</v>
      </c>
      <c r="B457" s="66">
        <f t="shared" si="922"/>
        <v>9</v>
      </c>
      <c r="C457" s="66">
        <f t="shared" si="923"/>
        <v>66</v>
      </c>
      <c r="E457" s="66">
        <f t="shared" ref="E457" si="928">plan_id</f>
        <v>1952</v>
      </c>
      <c r="F457" s="66">
        <f t="shared" ca="1" si="660"/>
        <v>2020</v>
      </c>
      <c r="G457" s="66">
        <f t="shared" ref="G457" ca="1" si="929">VLOOKUP(INDIRECT(CHAR(39)&amp;$A457&amp;CHAR(39)&amp;"!r2c"&amp;$C457,0),variables,2,0)</f>
        <v>10860</v>
      </c>
      <c r="H457" s="71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76871911305</v>
      </c>
    </row>
    <row r="458" spans="1:8" x14ac:dyDescent="0.2">
      <c r="A458" s="66" t="s">
        <v>1037</v>
      </c>
      <c r="B458" s="66">
        <f t="shared" si="922"/>
        <v>9</v>
      </c>
      <c r="C458" s="66">
        <f t="shared" si="923"/>
        <v>67</v>
      </c>
      <c r="E458" s="66">
        <f t="shared" ref="E458" si="930">plan_id</f>
        <v>1952</v>
      </c>
      <c r="F458" s="66">
        <f t="shared" ca="1" si="660"/>
        <v>2020</v>
      </c>
      <c r="G458" s="66">
        <f t="shared" ref="G458" ca="1" si="931">VLOOKUP(INDIRECT(CHAR(39)&amp;$A458&amp;CHAR(39)&amp;"!r2c"&amp;$C458,0),variables,2,0)</f>
        <v>10923</v>
      </c>
      <c r="H458" s="71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26012709520</v>
      </c>
    </row>
    <row r="459" spans="1:8" x14ac:dyDescent="0.2">
      <c r="A459" s="66" t="s">
        <v>1037</v>
      </c>
      <c r="B459" s="66">
        <f t="shared" si="922"/>
        <v>10</v>
      </c>
      <c r="C459" s="66">
        <f t="shared" si="923"/>
        <v>3</v>
      </c>
      <c r="E459" s="66">
        <f t="shared" ref="E459" si="932">plan_id</f>
        <v>1952</v>
      </c>
      <c r="F459" s="66">
        <f t="shared" ca="1" si="660"/>
        <v>2021</v>
      </c>
      <c r="G459" s="66">
        <f t="shared" ref="G459" ca="1" si="933">VLOOKUP(INDIRECT(CHAR(39)&amp;$A459&amp;CHAR(39)&amp;"!r2c"&amp;$C459,0),variables,2,0)</f>
        <v>10861</v>
      </c>
      <c r="H459" s="71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2">
      <c r="A460" s="66" t="s">
        <v>1037</v>
      </c>
      <c r="B460" s="66">
        <f t="shared" si="922"/>
        <v>10</v>
      </c>
      <c r="C460" s="66">
        <f t="shared" si="923"/>
        <v>4</v>
      </c>
      <c r="E460" s="66">
        <f t="shared" ref="E460" si="934">plan_id</f>
        <v>1952</v>
      </c>
      <c r="F460" s="66">
        <f t="shared" ca="1" si="660"/>
        <v>2021</v>
      </c>
      <c r="G460" s="66">
        <f t="shared" ref="G460" ca="1" si="935">VLOOKUP(INDIRECT(CHAR(39)&amp;$A460&amp;CHAR(39)&amp;"!r2c"&amp;$C460,0),variables,2,0)</f>
        <v>10862</v>
      </c>
      <c r="H460" s="71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66" t="s">
        <v>1037</v>
      </c>
      <c r="B461" s="66">
        <f t="shared" si="922"/>
        <v>10</v>
      </c>
      <c r="C461" s="66">
        <f t="shared" si="923"/>
        <v>5</v>
      </c>
      <c r="E461" s="66">
        <f t="shared" ref="E461" si="936">plan_id</f>
        <v>1952</v>
      </c>
      <c r="F461" s="66">
        <f t="shared" ca="1" si="660"/>
        <v>2021</v>
      </c>
      <c r="G461" s="66">
        <f t="shared" ref="G461" ca="1" si="937">VLOOKUP(INDIRECT(CHAR(39)&amp;$A461&amp;CHAR(39)&amp;"!r2c"&amp;$C461,0),variables,2,0)</f>
        <v>10863</v>
      </c>
      <c r="H461" s="71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66" t="s">
        <v>1037</v>
      </c>
      <c r="B462" s="66">
        <f t="shared" si="922"/>
        <v>10</v>
      </c>
      <c r="C462" s="66">
        <f t="shared" si="923"/>
        <v>6</v>
      </c>
      <c r="E462" s="66">
        <f t="shared" ref="E462" si="938">plan_id</f>
        <v>1952</v>
      </c>
      <c r="F462" s="66">
        <f t="shared" ca="1" si="660"/>
        <v>2021</v>
      </c>
      <c r="G462" s="66">
        <f t="shared" ref="G462" ca="1" si="939">VLOOKUP(INDIRECT(CHAR(39)&amp;$A462&amp;CHAR(39)&amp;"!r2c"&amp;$C462,0),variables,2,0)</f>
        <v>10864</v>
      </c>
      <c r="H462" s="71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217534</v>
      </c>
    </row>
    <row r="463" spans="1:8" x14ac:dyDescent="0.2">
      <c r="A463" s="66" t="s">
        <v>1037</v>
      </c>
      <c r="B463" s="66">
        <f t="shared" si="922"/>
        <v>10</v>
      </c>
      <c r="C463" s="66">
        <f t="shared" si="923"/>
        <v>7</v>
      </c>
      <c r="E463" s="66">
        <f t="shared" ref="E463" si="940">plan_id</f>
        <v>1952</v>
      </c>
      <c r="F463" s="66">
        <f t="shared" ca="1" si="660"/>
        <v>2021</v>
      </c>
      <c r="G463" s="66">
        <f t="shared" ref="G463" ca="1" si="941">VLOOKUP(INDIRECT(CHAR(39)&amp;$A463&amp;CHAR(39)&amp;"!r2c"&amp;$C463,0),variables,2,0)</f>
        <v>10865</v>
      </c>
      <c r="H463" s="71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58457</v>
      </c>
    </row>
    <row r="464" spans="1:8" x14ac:dyDescent="0.2">
      <c r="A464" s="66" t="s">
        <v>1037</v>
      </c>
      <c r="B464" s="66">
        <f t="shared" si="922"/>
        <v>10</v>
      </c>
      <c r="C464" s="66">
        <f t="shared" si="923"/>
        <v>8</v>
      </c>
      <c r="E464" s="66">
        <f t="shared" ref="E464" si="942">plan_id</f>
        <v>1952</v>
      </c>
      <c r="F464" s="66">
        <f t="shared" ca="1" si="660"/>
        <v>2021</v>
      </c>
      <c r="G464" s="66">
        <f t="shared" ref="G464" ca="1" si="943">VLOOKUP(INDIRECT(CHAR(39)&amp;$A464&amp;CHAR(39)&amp;"!r2c"&amp;$C464,0),variables,2,0)</f>
        <v>10866</v>
      </c>
      <c r="H464" s="71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66" t="s">
        <v>1037</v>
      </c>
      <c r="B465" s="66">
        <f t="shared" si="922"/>
        <v>10</v>
      </c>
      <c r="C465" s="66">
        <f t="shared" si="923"/>
        <v>9</v>
      </c>
      <c r="E465" s="66">
        <f t="shared" ref="E465" si="944">plan_id</f>
        <v>1952</v>
      </c>
      <c r="F465" s="66">
        <f t="shared" ca="1" si="660"/>
        <v>2021</v>
      </c>
      <c r="G465" s="66">
        <f t="shared" ref="G465" ca="1" si="945">VLOOKUP(INDIRECT(CHAR(39)&amp;$A465&amp;CHAR(39)&amp;"!r2c"&amp;$C465,0),variables,2,0)</f>
        <v>10867</v>
      </c>
      <c r="H465" s="71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334673</v>
      </c>
    </row>
    <row r="466" spans="1:8" x14ac:dyDescent="0.2">
      <c r="A466" s="66" t="s">
        <v>1037</v>
      </c>
      <c r="B466" s="66">
        <f t="shared" si="922"/>
        <v>10</v>
      </c>
      <c r="C466" s="66">
        <f t="shared" si="923"/>
        <v>10</v>
      </c>
      <c r="E466" s="66">
        <f t="shared" ref="E466" si="946">plan_id</f>
        <v>1952</v>
      </c>
      <c r="F466" s="66">
        <f t="shared" ca="1" si="660"/>
        <v>2021</v>
      </c>
      <c r="G466" s="66">
        <f t="shared" ref="G466" ca="1" si="947">VLOOKUP(INDIRECT(CHAR(39)&amp;$A466&amp;CHAR(39)&amp;"!r2c"&amp;$C466,0),variables,2,0)</f>
        <v>10868</v>
      </c>
      <c r="H466" s="71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610664</v>
      </c>
    </row>
    <row r="467" spans="1:8" x14ac:dyDescent="0.2">
      <c r="A467" s="66" t="s">
        <v>1037</v>
      </c>
      <c r="B467" s="66">
        <f t="shared" si="922"/>
        <v>10</v>
      </c>
      <c r="C467" s="66">
        <f t="shared" si="923"/>
        <v>11</v>
      </c>
      <c r="E467" s="66">
        <f t="shared" ref="E467" si="948">plan_id</f>
        <v>1952</v>
      </c>
      <c r="F467" s="66">
        <f t="shared" ca="1" si="660"/>
        <v>2021</v>
      </c>
      <c r="G467" s="66">
        <f t="shared" ref="G467" ca="1" si="949">VLOOKUP(INDIRECT(CHAR(39)&amp;$A467&amp;CHAR(39)&amp;"!r2c"&amp;$C467,0),variables,2,0)</f>
        <v>10869</v>
      </c>
      <c r="H467" s="71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6.7500000000000004E-2</v>
      </c>
    </row>
    <row r="468" spans="1:8" x14ac:dyDescent="0.2">
      <c r="A468" s="66" t="s">
        <v>1037</v>
      </c>
      <c r="B468" s="66">
        <f t="shared" si="922"/>
        <v>10</v>
      </c>
      <c r="C468" s="66">
        <f t="shared" si="923"/>
        <v>12</v>
      </c>
      <c r="E468" s="66">
        <f t="shared" ref="E468" si="950">plan_id</f>
        <v>1952</v>
      </c>
      <c r="F468" s="66">
        <f t="shared" ca="1" si="660"/>
        <v>2021</v>
      </c>
      <c r="G468" s="66">
        <f t="shared" ref="G468" ca="1" si="951">VLOOKUP(INDIRECT(CHAR(39)&amp;$A468&amp;CHAR(39)&amp;"!r2c"&amp;$C468,0),variables,2,0)</f>
        <v>10870</v>
      </c>
      <c r="H468" s="71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2">
      <c r="A469" s="66" t="s">
        <v>1037</v>
      </c>
      <c r="B469" s="66">
        <f t="shared" si="922"/>
        <v>10</v>
      </c>
      <c r="C469" s="66">
        <f t="shared" si="923"/>
        <v>13</v>
      </c>
      <c r="E469" s="66">
        <f t="shared" ref="E469" si="952">plan_id</f>
        <v>1952</v>
      </c>
      <c r="F469" s="66">
        <f t="shared" ca="1" si="660"/>
        <v>2021</v>
      </c>
      <c r="G469" s="66">
        <f t="shared" ref="G469" ca="1" si="953">VLOOKUP(INDIRECT(CHAR(39)&amp;$A469&amp;CHAR(39)&amp;"!r2c"&amp;$C469,0),variables,2,0)</f>
        <v>10871</v>
      </c>
      <c r="H469" s="71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2">
      <c r="A470" s="66" t="s">
        <v>1037</v>
      </c>
      <c r="B470" s="66">
        <f t="shared" si="922"/>
        <v>10</v>
      </c>
      <c r="C470" s="66">
        <f t="shared" si="923"/>
        <v>14</v>
      </c>
      <c r="E470" s="66">
        <f t="shared" ref="E470" si="954">plan_id</f>
        <v>1952</v>
      </c>
      <c r="F470" s="66">
        <f t="shared" ca="1" si="660"/>
        <v>2021</v>
      </c>
      <c r="G470" s="66">
        <f t="shared" ref="G470" ca="1" si="955">VLOOKUP(INDIRECT(CHAR(39)&amp;$A470&amp;CHAR(39)&amp;"!r2c"&amp;$C470,0),variables,2,0)</f>
        <v>10872</v>
      </c>
      <c r="H470" s="71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66" t="s">
        <v>1037</v>
      </c>
      <c r="B471" s="66">
        <f t="shared" si="922"/>
        <v>10</v>
      </c>
      <c r="C471" s="66">
        <f t="shared" si="923"/>
        <v>15</v>
      </c>
      <c r="E471" s="66">
        <f t="shared" ref="E471" si="956">plan_id</f>
        <v>1952</v>
      </c>
      <c r="F471" s="66">
        <f t="shared" ca="1" si="660"/>
        <v>2021</v>
      </c>
      <c r="G471" s="66">
        <f t="shared" ref="G471" ca="1" si="957">VLOOKUP(INDIRECT(CHAR(39)&amp;$A471&amp;CHAR(39)&amp;"!r2c"&amp;$C471,0),variables,2,0)</f>
        <v>10873</v>
      </c>
      <c r="H471" s="71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</row>
    <row r="472" spans="1:8" x14ac:dyDescent="0.2">
      <c r="A472" s="66" t="s">
        <v>1037</v>
      </c>
      <c r="B472" s="66">
        <f t="shared" si="922"/>
        <v>10</v>
      </c>
      <c r="C472" s="66">
        <f t="shared" si="923"/>
        <v>16</v>
      </c>
      <c r="E472" s="66">
        <f t="shared" ref="E472" si="958">plan_id</f>
        <v>1952</v>
      </c>
      <c r="F472" s="66">
        <f t="shared" ca="1" si="660"/>
        <v>2021</v>
      </c>
      <c r="G472" s="66">
        <f t="shared" ref="G472" ca="1" si="959">VLOOKUP(INDIRECT(CHAR(39)&amp;$A472&amp;CHAR(39)&amp;"!r2c"&amp;$C472,0),variables,2,0)</f>
        <v>10874</v>
      </c>
      <c r="H472" s="71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6.7500000000000004E-2</v>
      </c>
    </row>
    <row r="473" spans="1:8" x14ac:dyDescent="0.2">
      <c r="A473" s="66" t="s">
        <v>1037</v>
      </c>
      <c r="B473" s="66">
        <f t="shared" si="922"/>
        <v>10</v>
      </c>
      <c r="C473" s="66">
        <f t="shared" si="923"/>
        <v>17</v>
      </c>
      <c r="E473" s="66">
        <f t="shared" ref="E473" si="960">plan_id</f>
        <v>1952</v>
      </c>
      <c r="F473" s="66">
        <f t="shared" ca="1" si="660"/>
        <v>2021</v>
      </c>
      <c r="G473" s="66">
        <f t="shared" ref="G473" ca="1" si="961">VLOOKUP(INDIRECT(CHAR(39)&amp;$A473&amp;CHAR(39)&amp;"!r2c"&amp;$C473,0),variables,2,0)</f>
        <v>10875</v>
      </c>
      <c r="H473" s="71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107430454000</v>
      </c>
    </row>
    <row r="474" spans="1:8" x14ac:dyDescent="0.2">
      <c r="A474" s="66" t="s">
        <v>1037</v>
      </c>
      <c r="B474" s="66">
        <f t="shared" si="922"/>
        <v>10</v>
      </c>
      <c r="C474" s="66">
        <f t="shared" si="923"/>
        <v>18</v>
      </c>
      <c r="E474" s="66">
        <f t="shared" ref="E474" si="962">plan_id</f>
        <v>1952</v>
      </c>
      <c r="F474" s="66">
        <f t="shared" ca="1" si="660"/>
        <v>2021</v>
      </c>
      <c r="G474" s="66">
        <f t="shared" ref="G474" ca="1" si="963">VLOOKUP(INDIRECT(CHAR(39)&amp;$A474&amp;CHAR(39)&amp;"!r2c"&amp;$C474,0),variables,2,0)</f>
        <v>10876</v>
      </c>
      <c r="H474" s="71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95288645000</v>
      </c>
    </row>
    <row r="475" spans="1:8" x14ac:dyDescent="0.2">
      <c r="A475" s="66" t="s">
        <v>1037</v>
      </c>
      <c r="B475" s="66">
        <f t="shared" si="922"/>
        <v>10</v>
      </c>
      <c r="C475" s="66">
        <f t="shared" si="923"/>
        <v>19</v>
      </c>
      <c r="E475" s="66">
        <f t="shared" ref="E475" si="964">plan_id</f>
        <v>1952</v>
      </c>
      <c r="F475" s="66">
        <f t="shared" ca="1" si="660"/>
        <v>2021</v>
      </c>
      <c r="G475" s="66">
        <f t="shared" ref="G475" ca="1" si="965">VLOOKUP(INDIRECT(CHAR(39)&amp;$A475&amp;CHAR(39)&amp;"!r2c"&amp;$C475,0),variables,2,0)</f>
        <v>10877</v>
      </c>
      <c r="H475" s="71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12141809000</v>
      </c>
    </row>
    <row r="476" spans="1:8" x14ac:dyDescent="0.2">
      <c r="A476" s="66" t="s">
        <v>1037</v>
      </c>
      <c r="B476" s="66">
        <f t="shared" si="922"/>
        <v>10</v>
      </c>
      <c r="C476" s="66">
        <f t="shared" si="923"/>
        <v>20</v>
      </c>
      <c r="E476" s="66">
        <f t="shared" ref="E476" si="966">plan_id</f>
        <v>1952</v>
      </c>
      <c r="F476" s="66">
        <f t="shared" ca="1" si="660"/>
        <v>2021</v>
      </c>
      <c r="G476" s="66">
        <f t="shared" ref="G476" ca="1" si="967">VLOOKUP(INDIRECT(CHAR(39)&amp;$A476&amp;CHAR(39)&amp;"!r2c"&amp;$C476,0),variables,2,0)</f>
        <v>10878</v>
      </c>
      <c r="H476" s="71" t="str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State: 86.44%; Teacher: 85.46%; Political Subdivision: 97.25%</v>
      </c>
    </row>
    <row r="477" spans="1:8" x14ac:dyDescent="0.2">
      <c r="A477" s="66" t="s">
        <v>1037</v>
      </c>
      <c r="B477" s="66">
        <f t="shared" si="922"/>
        <v>10</v>
      </c>
      <c r="C477" s="66">
        <f t="shared" si="923"/>
        <v>21</v>
      </c>
      <c r="E477" s="66">
        <f t="shared" ref="E477" si="968">plan_id</f>
        <v>1952</v>
      </c>
      <c r="F477" s="66">
        <f t="shared" ca="1" si="660"/>
        <v>2021</v>
      </c>
      <c r="G477" s="66">
        <f t="shared" ref="G477" ca="1" si="969">VLOOKUP(INDIRECT(CHAR(39)&amp;$A477&amp;CHAR(39)&amp;"!r2c"&amp;$C477,0),variables,2,0)</f>
        <v>10879</v>
      </c>
      <c r="H477" s="71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18647123000</v>
      </c>
    </row>
    <row r="478" spans="1:8" x14ac:dyDescent="0.2">
      <c r="A478" s="66" t="s">
        <v>1037</v>
      </c>
      <c r="B478" s="66">
        <f t="shared" si="922"/>
        <v>10</v>
      </c>
      <c r="C478" s="66">
        <f t="shared" si="923"/>
        <v>22</v>
      </c>
      <c r="E478" s="66">
        <f t="shared" ref="E478" si="970">plan_id</f>
        <v>1952</v>
      </c>
      <c r="F478" s="66">
        <f t="shared" ca="1" si="660"/>
        <v>2021</v>
      </c>
      <c r="G478" s="66">
        <f t="shared" ref="G478" ca="1" si="971">VLOOKUP(INDIRECT(CHAR(39)&amp;$A478&amp;CHAR(39)&amp;"!r2c"&amp;$C478,0),variables,2,0)</f>
        <v>10880</v>
      </c>
      <c r="H478" s="71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2">
      <c r="A479" s="66" t="s">
        <v>1037</v>
      </c>
      <c r="B479" s="66">
        <f t="shared" si="922"/>
        <v>10</v>
      </c>
      <c r="C479" s="66">
        <f t="shared" si="923"/>
        <v>23</v>
      </c>
      <c r="E479" s="66">
        <f t="shared" ref="E479" si="972">plan_id</f>
        <v>1952</v>
      </c>
      <c r="F479" s="66">
        <f t="shared" ca="1" si="660"/>
        <v>2021</v>
      </c>
      <c r="G479" s="66">
        <f t="shared" ref="G479" ca="1" si="973">VLOOKUP(INDIRECT(CHAR(39)&amp;$A479&amp;CHAR(39)&amp;"!r2c"&amp;$C479,0),variables,2,0)</f>
        <v>10881</v>
      </c>
      <c r="H479" s="71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2">
      <c r="A480" s="66" t="s">
        <v>1037</v>
      </c>
      <c r="B480" s="66">
        <f t="shared" si="922"/>
        <v>10</v>
      </c>
      <c r="C480" s="66">
        <f t="shared" si="923"/>
        <v>24</v>
      </c>
      <c r="E480" s="66">
        <f t="shared" ref="E480" si="974">plan_id</f>
        <v>1952</v>
      </c>
      <c r="F480" s="66">
        <f t="shared" ca="1" si="660"/>
        <v>2021</v>
      </c>
      <c r="G480" s="66">
        <f t="shared" ref="G480" ca="1" si="975">VLOOKUP(INDIRECT(CHAR(39)&amp;$A480&amp;CHAR(39)&amp;"!r2c"&amp;$C480,0),variables,2,0)</f>
        <v>10882</v>
      </c>
      <c r="H480" s="71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2">
      <c r="A481" s="66" t="s">
        <v>1037</v>
      </c>
      <c r="B481" s="66">
        <f t="shared" si="922"/>
        <v>10</v>
      </c>
      <c r="C481" s="66">
        <f t="shared" si="923"/>
        <v>25</v>
      </c>
      <c r="E481" s="66">
        <f t="shared" ref="E481" si="976">plan_id</f>
        <v>1952</v>
      </c>
      <c r="F481" s="66">
        <f t="shared" ca="1" si="660"/>
        <v>2021</v>
      </c>
      <c r="G481" s="66">
        <f t="shared" ref="G481" ca="1" si="977">VLOOKUP(INDIRECT(CHAR(39)&amp;$A481&amp;CHAR(39)&amp;"!r2c"&amp;$C481,0),variables,2,0)</f>
        <v>10883</v>
      </c>
      <c r="H481" s="71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0.14568059641157513</v>
      </c>
    </row>
    <row r="482" spans="1:8" x14ac:dyDescent="0.2">
      <c r="A482" s="66" t="s">
        <v>1037</v>
      </c>
      <c r="B482" s="66">
        <f t="shared" si="922"/>
        <v>10</v>
      </c>
      <c r="C482" s="66">
        <f t="shared" si="923"/>
        <v>26</v>
      </c>
      <c r="E482" s="66">
        <f t="shared" ref="E482" si="978">plan_id</f>
        <v>1952</v>
      </c>
      <c r="F482" s="66">
        <f t="shared" ca="1" si="660"/>
        <v>2021</v>
      </c>
      <c r="G482" s="66">
        <f t="shared" ref="G482" ca="1" si="979">VLOOKUP(INDIRECT(CHAR(39)&amp;$A482&amp;CHAR(39)&amp;"!r2c"&amp;$C482,0),variables,2,0)</f>
        <v>10884</v>
      </c>
      <c r="H482" s="71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0.14568268788702687</v>
      </c>
    </row>
    <row r="483" spans="1:8" x14ac:dyDescent="0.2">
      <c r="A483" s="66" t="s">
        <v>1037</v>
      </c>
      <c r="B483" s="66">
        <f t="shared" si="922"/>
        <v>10</v>
      </c>
      <c r="C483" s="66">
        <f t="shared" si="923"/>
        <v>27</v>
      </c>
      <c r="E483" s="66">
        <f t="shared" ref="E483" si="980">plan_id</f>
        <v>1952</v>
      </c>
      <c r="F483" s="66">
        <f t="shared" ca="1" si="660"/>
        <v>2021</v>
      </c>
      <c r="G483" s="66">
        <f t="shared" ref="G483" ca="1" si="981">VLOOKUP(INDIRECT(CHAR(39)&amp;$A483&amp;CHAR(39)&amp;"!r2c"&amp;$C483,0),variables,2,0)</f>
        <v>10885</v>
      </c>
      <c r="H483" s="71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2716524000</v>
      </c>
    </row>
    <row r="484" spans="1:8" x14ac:dyDescent="0.2">
      <c r="A484" s="66" t="s">
        <v>1037</v>
      </c>
      <c r="B484" s="66">
        <f t="shared" si="922"/>
        <v>10</v>
      </c>
      <c r="C484" s="66">
        <f t="shared" si="923"/>
        <v>28</v>
      </c>
      <c r="E484" s="66">
        <f t="shared" ref="E484" si="982">plan_id</f>
        <v>1952</v>
      </c>
      <c r="F484" s="66">
        <f t="shared" ca="1" si="660"/>
        <v>2021</v>
      </c>
      <c r="G484" s="66">
        <f t="shared" ref="G484" ca="1" si="983">VLOOKUP(INDIRECT(CHAR(39)&amp;$A484&amp;CHAR(39)&amp;"!r2c"&amp;$C484,0),variables,2,0)</f>
        <v>10886</v>
      </c>
      <c r="H484" s="71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2716563000</v>
      </c>
    </row>
    <row r="485" spans="1:8" x14ac:dyDescent="0.2">
      <c r="A485" s="66" t="s">
        <v>1037</v>
      </c>
      <c r="B485" s="66">
        <f t="shared" si="922"/>
        <v>10</v>
      </c>
      <c r="C485" s="66">
        <f t="shared" si="923"/>
        <v>29</v>
      </c>
      <c r="E485" s="66">
        <f t="shared" ref="E485" si="984">plan_id</f>
        <v>1952</v>
      </c>
      <c r="F485" s="66">
        <f t="shared" ca="1" si="660"/>
        <v>2021</v>
      </c>
      <c r="G485" s="66">
        <f t="shared" ref="G485" ca="1" si="985">VLOOKUP(INDIRECT(CHAR(39)&amp;$A485&amp;CHAR(39)&amp;"!r2c"&amp;$C485,0),variables,2,0)</f>
        <v>10887</v>
      </c>
      <c r="H485" s="71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-39000</v>
      </c>
    </row>
    <row r="486" spans="1:8" x14ac:dyDescent="0.2">
      <c r="A486" s="66" t="s">
        <v>1037</v>
      </c>
      <c r="B486" s="66">
        <f t="shared" si="922"/>
        <v>10</v>
      </c>
      <c r="C486" s="66">
        <f t="shared" si="923"/>
        <v>30</v>
      </c>
      <c r="E486" s="66">
        <f t="shared" ref="E486" si="986">plan_id</f>
        <v>1952</v>
      </c>
      <c r="F486" s="66">
        <f t="shared" ca="1" si="660"/>
        <v>2021</v>
      </c>
      <c r="G486" s="66">
        <f t="shared" ref="G486" ca="1" si="987">VLOOKUP(INDIRECT(CHAR(39)&amp;$A486&amp;CHAR(39)&amp;"!r2c"&amp;$C486,0),variables,2,0)</f>
        <v>10883</v>
      </c>
      <c r="H486" s="71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1.0000143565821615</v>
      </c>
    </row>
    <row r="487" spans="1:8" x14ac:dyDescent="0.2">
      <c r="A487" s="66" t="s">
        <v>1037</v>
      </c>
      <c r="B487" s="66">
        <f t="shared" si="922"/>
        <v>10</v>
      </c>
      <c r="C487" s="66">
        <f t="shared" si="923"/>
        <v>31</v>
      </c>
      <c r="E487" s="66">
        <f t="shared" ref="E487" si="988">plan_id</f>
        <v>1952</v>
      </c>
      <c r="F487" s="66">
        <f t="shared" ca="1" si="660"/>
        <v>2021</v>
      </c>
      <c r="G487" s="66">
        <f t="shared" ref="G487" ca="1" si="989">VLOOKUP(INDIRECT(CHAR(39)&amp;$A487&amp;CHAR(39)&amp;"!r2c"&amp;$C487,0),variables,2,0)</f>
        <v>10889</v>
      </c>
      <c r="H487" s="7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1966845000</v>
      </c>
    </row>
    <row r="488" spans="1:8" x14ac:dyDescent="0.2">
      <c r="A488" s="66" t="s">
        <v>1037</v>
      </c>
      <c r="B488" s="66">
        <f t="shared" si="922"/>
        <v>10</v>
      </c>
      <c r="C488" s="66">
        <f t="shared" si="923"/>
        <v>32</v>
      </c>
      <c r="E488" s="66">
        <f t="shared" ref="E488" si="990">plan_id</f>
        <v>1952</v>
      </c>
      <c r="F488" s="66">
        <f t="shared" ca="1" si="660"/>
        <v>2021</v>
      </c>
      <c r="G488" s="66">
        <f t="shared" ref="G488" ca="1" si="991">VLOOKUP(INDIRECT(CHAR(39)&amp;$A488&amp;CHAR(39)&amp;"!r2c"&amp;$C488,0),variables,2,0)</f>
        <v>10890</v>
      </c>
      <c r="H488" s="7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6734640000</v>
      </c>
    </row>
    <row r="489" spans="1:8" x14ac:dyDescent="0.2">
      <c r="A489" s="66" t="s">
        <v>1037</v>
      </c>
      <c r="B489" s="66">
        <f t="shared" si="922"/>
        <v>10</v>
      </c>
      <c r="C489" s="66">
        <f t="shared" si="923"/>
        <v>33</v>
      </c>
      <c r="E489" s="66">
        <f t="shared" ref="E489" si="992">plan_id</f>
        <v>1952</v>
      </c>
      <c r="F489" s="66">
        <f t="shared" ca="1" si="660"/>
        <v>2021</v>
      </c>
      <c r="G489" s="66">
        <f t="shared" ref="G489" ca="1" si="993">VLOOKUP(INDIRECT(CHAR(39)&amp;$A489&amp;CHAR(39)&amp;"!r2c"&amp;$C489,0),variables,2,0)</f>
        <v>10891</v>
      </c>
      <c r="H489" s="7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13507000</v>
      </c>
    </row>
    <row r="490" spans="1:8" x14ac:dyDescent="0.2">
      <c r="A490" s="66" t="s">
        <v>1037</v>
      </c>
      <c r="B490" s="66">
        <f t="shared" si="922"/>
        <v>10</v>
      </c>
      <c r="C490" s="66">
        <f t="shared" si="923"/>
        <v>34</v>
      </c>
      <c r="E490" s="66">
        <f t="shared" ref="E490" si="994">plan_id</f>
        <v>1952</v>
      </c>
      <c r="F490" s="66">
        <f t="shared" ca="1" si="660"/>
        <v>2021</v>
      </c>
      <c r="G490" s="66">
        <f t="shared" ref="G490" ca="1" si="995">VLOOKUP(INDIRECT(CHAR(39)&amp;$A490&amp;CHAR(39)&amp;"!r2c"&amp;$C490,0),variables,2,0)</f>
        <v>10892</v>
      </c>
      <c r="H490" s="71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2">
      <c r="A491" s="66" t="s">
        <v>1037</v>
      </c>
      <c r="B491" s="66">
        <f t="shared" si="922"/>
        <v>10</v>
      </c>
      <c r="C491" s="66">
        <f t="shared" si="923"/>
        <v>35</v>
      </c>
      <c r="E491" s="66">
        <f t="shared" ref="E491" si="996">plan_id</f>
        <v>1952</v>
      </c>
      <c r="F491" s="66">
        <f t="shared" ca="1" si="660"/>
        <v>2021</v>
      </c>
      <c r="G491" s="66">
        <f t="shared" ref="G491" ca="1" si="997">VLOOKUP(INDIRECT(CHAR(39)&amp;$A491&amp;CHAR(39)&amp;"!r2c"&amp;$C491,0),variables,2,0)</f>
        <v>10893</v>
      </c>
      <c r="H491" s="7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66" t="s">
        <v>1037</v>
      </c>
      <c r="B492" s="66">
        <f t="shared" si="922"/>
        <v>10</v>
      </c>
      <c r="C492" s="66">
        <f t="shared" si="923"/>
        <v>36</v>
      </c>
      <c r="E492" s="66">
        <f t="shared" ref="E492" si="998">plan_id</f>
        <v>1952</v>
      </c>
      <c r="F492" s="66">
        <f t="shared" ca="1" si="660"/>
        <v>2021</v>
      </c>
      <c r="G492" s="66">
        <f t="shared" ref="G492" ca="1" si="999">VLOOKUP(INDIRECT(CHAR(39)&amp;$A492&amp;CHAR(39)&amp;"!r2c"&amp;$C492,0),variables,2,0)</f>
        <v>10894</v>
      </c>
      <c r="H492" s="7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-885042000</v>
      </c>
    </row>
    <row r="493" spans="1:8" x14ac:dyDescent="0.2">
      <c r="A493" s="66" t="s">
        <v>1037</v>
      </c>
      <c r="B493" s="66">
        <f t="shared" si="922"/>
        <v>10</v>
      </c>
      <c r="C493" s="66">
        <f t="shared" si="923"/>
        <v>37</v>
      </c>
      <c r="E493" s="66">
        <f t="shared" ref="E493" si="1000">plan_id</f>
        <v>1952</v>
      </c>
      <c r="F493" s="66">
        <f t="shared" ca="1" si="660"/>
        <v>2021</v>
      </c>
      <c r="G493" s="66">
        <f t="shared" ref="G493" ca="1" si="1001">VLOOKUP(INDIRECT(CHAR(39)&amp;$A493&amp;CHAR(39)&amp;"!r2c"&amp;$C493,0),variables,2,0)</f>
        <v>10895</v>
      </c>
      <c r="H493" s="7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2">
      <c r="A494" s="66" t="s">
        <v>1037</v>
      </c>
      <c r="B494" s="66">
        <f t="shared" si="922"/>
        <v>10</v>
      </c>
      <c r="C494" s="66">
        <f t="shared" si="923"/>
        <v>38</v>
      </c>
      <c r="E494" s="66">
        <f t="shared" ref="E494" si="1002">plan_id</f>
        <v>1952</v>
      </c>
      <c r="F494" s="66">
        <f t="shared" ca="1" si="660"/>
        <v>2021</v>
      </c>
      <c r="G494" s="66">
        <f t="shared" ref="G494" ca="1" si="1003">VLOOKUP(INDIRECT(CHAR(39)&amp;$A494&amp;CHAR(39)&amp;"!r2c"&amp;$C494,0),variables,2,0)</f>
        <v>10896</v>
      </c>
      <c r="H494" s="71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2">
      <c r="A495" s="66" t="s">
        <v>1037</v>
      </c>
      <c r="B495" s="66">
        <f t="shared" si="922"/>
        <v>10</v>
      </c>
      <c r="C495" s="66">
        <f t="shared" si="923"/>
        <v>39</v>
      </c>
      <c r="E495" s="66">
        <f t="shared" ref="E495" si="1004">plan_id</f>
        <v>1952</v>
      </c>
      <c r="F495" s="66">
        <f t="shared" ca="1" si="660"/>
        <v>2021</v>
      </c>
      <c r="G495" s="66">
        <f t="shared" ref="G495" ca="1" si="1005">VLOOKUP(INDIRECT(CHAR(39)&amp;$A495&amp;CHAR(39)&amp;"!r2c"&amp;$C495,0),variables,2,0)</f>
        <v>10897</v>
      </c>
      <c r="H495" s="7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51859000</v>
      </c>
    </row>
    <row r="496" spans="1:8" x14ac:dyDescent="0.2">
      <c r="A496" s="66" t="s">
        <v>1037</v>
      </c>
      <c r="B496" s="66">
        <f t="shared" si="922"/>
        <v>10</v>
      </c>
      <c r="C496" s="66">
        <f t="shared" si="923"/>
        <v>40</v>
      </c>
      <c r="E496" s="66">
        <f t="shared" ref="E496" si="1006">plan_id</f>
        <v>1952</v>
      </c>
      <c r="F496" s="66">
        <f t="shared" ca="1" si="660"/>
        <v>2021</v>
      </c>
      <c r="G496" s="66">
        <f t="shared" ref="G496" ca="1" si="1007">VLOOKUP(INDIRECT(CHAR(39)&amp;$A496&amp;CHAR(39)&amp;"!r2c"&amp;$C496,0),variables,2,0)</f>
        <v>10898</v>
      </c>
      <c r="H496" s="7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66" t="s">
        <v>1037</v>
      </c>
      <c r="B497" s="66">
        <f t="shared" si="922"/>
        <v>10</v>
      </c>
      <c r="C497" s="66">
        <f t="shared" si="923"/>
        <v>41</v>
      </c>
      <c r="E497" s="66">
        <f t="shared" ref="E497" si="1008">plan_id</f>
        <v>1952</v>
      </c>
      <c r="F497" s="66">
        <f t="shared" ca="1" si="660"/>
        <v>2021</v>
      </c>
      <c r="G497" s="66">
        <f t="shared" ref="G497" ca="1" si="1009">VLOOKUP(INDIRECT(CHAR(39)&amp;$A497&amp;CHAR(39)&amp;"!r2c"&amp;$C497,0),variables,2,0)</f>
        <v>10899</v>
      </c>
      <c r="H497" s="7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66" t="s">
        <v>1037</v>
      </c>
      <c r="B498" s="66">
        <f t="shared" si="922"/>
        <v>10</v>
      </c>
      <c r="C498" s="66">
        <f t="shared" si="923"/>
        <v>42</v>
      </c>
      <c r="E498" s="66">
        <f t="shared" ref="E498" si="1010">plan_id</f>
        <v>1952</v>
      </c>
      <c r="F498" s="66">
        <f t="shared" ca="1" si="660"/>
        <v>2021</v>
      </c>
      <c r="G498" s="66">
        <f t="shared" ref="G498" ca="1" si="1011">VLOOKUP(INDIRECT(CHAR(39)&amp;$A498&amp;CHAR(39)&amp;"!r2c"&amp;$C498,0),variables,2,0)</f>
        <v>11006</v>
      </c>
      <c r="H498" s="7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66" t="s">
        <v>1037</v>
      </c>
      <c r="B499" s="66">
        <f t="shared" si="922"/>
        <v>10</v>
      </c>
      <c r="C499" s="66">
        <f t="shared" si="923"/>
        <v>43</v>
      </c>
      <c r="E499" s="66">
        <f t="shared" ref="E499" si="1012">plan_id</f>
        <v>1952</v>
      </c>
      <c r="F499" s="66">
        <f t="shared" ca="1" si="660"/>
        <v>2021</v>
      </c>
      <c r="G499" s="66">
        <f t="shared" ref="G499" ca="1" si="1013">VLOOKUP(INDIRECT(CHAR(39)&amp;$A499&amp;CHAR(39)&amp;"!r2c"&amp;$C499,0),variables,2,0)</f>
        <v>10900</v>
      </c>
      <c r="H499" s="7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2">
      <c r="A500" s="66" t="s">
        <v>1037</v>
      </c>
      <c r="B500" s="66">
        <f t="shared" si="922"/>
        <v>10</v>
      </c>
      <c r="C500" s="66">
        <f t="shared" si="923"/>
        <v>44</v>
      </c>
      <c r="E500" s="66">
        <f t="shared" ref="E500" si="1014">plan_id</f>
        <v>1952</v>
      </c>
      <c r="F500" s="66">
        <f t="shared" ca="1" si="660"/>
        <v>2021</v>
      </c>
      <c r="G500" s="66">
        <f t="shared" ref="G500" ca="1" si="1015">VLOOKUP(INDIRECT(CHAR(39)&amp;$A500&amp;CHAR(39)&amp;"!r2c"&amp;$C500,0),variables,2,0)</f>
        <v>10901</v>
      </c>
      <c r="H500" s="71" t="str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State Employees &amp; Teachers &amp; Political Sub: 5.75%</v>
      </c>
    </row>
    <row r="501" spans="1:8" x14ac:dyDescent="0.2">
      <c r="A501" s="66" t="s">
        <v>1037</v>
      </c>
      <c r="B501" s="66">
        <f t="shared" si="922"/>
        <v>10</v>
      </c>
      <c r="C501" s="66">
        <f t="shared" si="923"/>
        <v>45</v>
      </c>
      <c r="E501" s="66">
        <f t="shared" ref="E501" si="1016">plan_id</f>
        <v>1952</v>
      </c>
      <c r="F501" s="66">
        <f t="shared" ca="1" si="660"/>
        <v>2021</v>
      </c>
      <c r="G501" s="66">
        <f t="shared" ref="G501" ca="1" si="1017">VLOOKUP(INDIRECT(CHAR(39)&amp;$A501&amp;CHAR(39)&amp;"!r2c"&amp;$C501,0),variables,2,0)</f>
        <v>10902</v>
      </c>
      <c r="H501" s="71" t="str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State Employees &amp; Teachers &amp; Political Sub: 6.75%</v>
      </c>
    </row>
    <row r="502" spans="1:8" x14ac:dyDescent="0.2">
      <c r="A502" s="66" t="s">
        <v>1037</v>
      </c>
      <c r="B502" s="66">
        <f t="shared" si="922"/>
        <v>10</v>
      </c>
      <c r="C502" s="66">
        <f t="shared" si="923"/>
        <v>46</v>
      </c>
      <c r="E502" s="66">
        <f t="shared" ref="E502" si="1018">plan_id</f>
        <v>1952</v>
      </c>
      <c r="F502" s="66">
        <f t="shared" ca="1" si="660"/>
        <v>2021</v>
      </c>
      <c r="G502" s="66">
        <f t="shared" ref="G502" ca="1" si="1019">VLOOKUP(INDIRECT(CHAR(39)&amp;$A502&amp;CHAR(39)&amp;"!r2c"&amp;$C502,0),variables,2,0)</f>
        <v>10903</v>
      </c>
      <c r="H502" s="71" t="str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State Employees &amp; Teachers &amp; Political Sub: 7.75%</v>
      </c>
    </row>
    <row r="503" spans="1:8" x14ac:dyDescent="0.2">
      <c r="A503" s="66" t="s">
        <v>1037</v>
      </c>
      <c r="B503" s="66">
        <f t="shared" si="922"/>
        <v>10</v>
      </c>
      <c r="C503" s="66">
        <f t="shared" si="923"/>
        <v>47</v>
      </c>
      <c r="E503" s="66">
        <f t="shared" ref="E503" si="1020">plan_id</f>
        <v>1952</v>
      </c>
      <c r="F503" s="66">
        <f t="shared" ca="1" si="660"/>
        <v>2021</v>
      </c>
      <c r="G503" s="66">
        <f t="shared" ref="G503" ca="1" si="1021">VLOOKUP(INDIRECT(CHAR(39)&amp;$A503&amp;CHAR(39)&amp;"!r2c"&amp;$C503,0),variables,2,0)</f>
        <v>10904</v>
      </c>
      <c r="H503" s="7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26047941000</v>
      </c>
    </row>
    <row r="504" spans="1:8" x14ac:dyDescent="0.2">
      <c r="A504" s="66" t="s">
        <v>1037</v>
      </c>
      <c r="B504" s="66">
        <f t="shared" si="922"/>
        <v>10</v>
      </c>
      <c r="C504" s="66">
        <f t="shared" si="923"/>
        <v>48</v>
      </c>
      <c r="E504" s="66">
        <f t="shared" ref="E504" si="1022">plan_id</f>
        <v>1952</v>
      </c>
      <c r="F504" s="66">
        <f t="shared" ca="1" si="660"/>
        <v>2021</v>
      </c>
      <c r="G504" s="66">
        <f t="shared" ref="G504" ca="1" si="1023">VLOOKUP(INDIRECT(CHAR(39)&amp;$A504&amp;CHAR(39)&amp;"!r2c"&amp;$C504,0),variables,2,0)</f>
        <v>10905</v>
      </c>
      <c r="H504" s="71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12141809000</v>
      </c>
    </row>
    <row r="505" spans="1:8" x14ac:dyDescent="0.2">
      <c r="A505" s="66" t="s">
        <v>1037</v>
      </c>
      <c r="B505" s="66">
        <f t="shared" si="922"/>
        <v>10</v>
      </c>
      <c r="C505" s="66">
        <f t="shared" si="923"/>
        <v>49</v>
      </c>
      <c r="E505" s="66">
        <f t="shared" ref="E505" si="1024">plan_id</f>
        <v>1952</v>
      </c>
      <c r="F505" s="66">
        <f t="shared" ca="1" si="660"/>
        <v>2021</v>
      </c>
      <c r="G505" s="66">
        <f t="shared" ref="G505" ca="1" si="1025">VLOOKUP(INDIRECT(CHAR(39)&amp;$A505&amp;CHAR(39)&amp;"!r2c"&amp;$C505,0),variables,2,0)</f>
        <v>10906</v>
      </c>
      <c r="H505" s="71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565172000</v>
      </c>
    </row>
    <row r="506" spans="1:8" x14ac:dyDescent="0.2">
      <c r="A506" s="66" t="s">
        <v>1037</v>
      </c>
      <c r="B506" s="66">
        <f t="shared" si="922"/>
        <v>10</v>
      </c>
      <c r="C506" s="66">
        <f t="shared" si="923"/>
        <v>50</v>
      </c>
      <c r="E506" s="66">
        <f t="shared" ref="E506" si="1026">plan_id</f>
        <v>1952</v>
      </c>
      <c r="F506" s="66">
        <f t="shared" ca="1" si="660"/>
        <v>2021</v>
      </c>
      <c r="G506" s="66">
        <f t="shared" ref="G506" ca="1" si="1027">VLOOKUP(INDIRECT(CHAR(39)&amp;$A506&amp;CHAR(39)&amp;"!r2c"&amp;$C506,0),variables,2,0)</f>
        <v>10907</v>
      </c>
      <c r="H506" s="71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2">
      <c r="A507" s="66" t="s">
        <v>1037</v>
      </c>
      <c r="B507" s="66">
        <f t="shared" si="922"/>
        <v>10</v>
      </c>
      <c r="C507" s="66">
        <f t="shared" si="923"/>
        <v>51</v>
      </c>
      <c r="E507" s="66">
        <f t="shared" ref="E507" si="1028">plan_id</f>
        <v>1952</v>
      </c>
      <c r="F507" s="66">
        <f t="shared" ca="1" si="660"/>
        <v>2021</v>
      </c>
      <c r="G507" s="66">
        <f t="shared" ref="G507" ca="1" si="1029">VLOOKUP(INDIRECT(CHAR(39)&amp;$A507&amp;CHAR(39)&amp;"!r2c"&amp;$C507,0),variables,2,0)</f>
        <v>10860</v>
      </c>
      <c r="H507" s="7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102466096000</v>
      </c>
    </row>
    <row r="508" spans="1:8" x14ac:dyDescent="0.2">
      <c r="A508" s="66" t="s">
        <v>1037</v>
      </c>
      <c r="B508" s="66">
        <f t="shared" si="922"/>
        <v>10</v>
      </c>
      <c r="C508" s="66">
        <f t="shared" si="923"/>
        <v>52</v>
      </c>
      <c r="E508" s="66">
        <f t="shared" ref="E508" si="1030">plan_id</f>
        <v>1952</v>
      </c>
      <c r="F508" s="66">
        <f t="shared" ca="1" si="660"/>
        <v>2021</v>
      </c>
      <c r="G508" s="66">
        <f t="shared" ref="G508" ca="1" si="1031">VLOOKUP(INDIRECT(CHAR(39)&amp;$A508&amp;CHAR(39)&amp;"!r2c"&amp;$C508,0),variables,2,0)</f>
        <v>10909</v>
      </c>
      <c r="H508" s="7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1966845000</v>
      </c>
    </row>
    <row r="509" spans="1:8" x14ac:dyDescent="0.2">
      <c r="A509" s="66" t="s">
        <v>1037</v>
      </c>
      <c r="B509" s="66">
        <f t="shared" si="922"/>
        <v>10</v>
      </c>
      <c r="C509" s="66">
        <f t="shared" si="923"/>
        <v>53</v>
      </c>
      <c r="E509" s="66">
        <f t="shared" ref="E509" si="1032">plan_id</f>
        <v>1952</v>
      </c>
      <c r="F509" s="66">
        <f t="shared" ca="1" si="660"/>
        <v>2021</v>
      </c>
      <c r="G509" s="66">
        <f t="shared" ref="G509" ca="1" si="1033">VLOOKUP(INDIRECT(CHAR(39)&amp;$A509&amp;CHAR(39)&amp;"!r2c"&amp;$C509,0),variables,2,0)</f>
        <v>10910</v>
      </c>
      <c r="H509" s="71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6734640000</v>
      </c>
    </row>
    <row r="510" spans="1:8" x14ac:dyDescent="0.2">
      <c r="A510" s="66" t="s">
        <v>1037</v>
      </c>
      <c r="B510" s="66">
        <f t="shared" si="922"/>
        <v>10</v>
      </c>
      <c r="C510" s="66">
        <f t="shared" si="923"/>
        <v>54</v>
      </c>
      <c r="E510" s="66">
        <f t="shared" ref="E510" si="1034">plan_id</f>
        <v>1952</v>
      </c>
      <c r="F510" s="66">
        <f t="shared" ca="1" si="660"/>
        <v>2021</v>
      </c>
      <c r="G510" s="66">
        <f t="shared" ref="G510" ca="1" si="1035">VLOOKUP(INDIRECT(CHAR(39)&amp;$A510&amp;CHAR(39)&amp;"!r2c"&amp;$C510,0),variables,2,0)</f>
        <v>10911</v>
      </c>
      <c r="H510" s="71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13507000</v>
      </c>
    </row>
    <row r="511" spans="1:8" x14ac:dyDescent="0.2">
      <c r="A511" s="66" t="s">
        <v>1037</v>
      </c>
      <c r="B511" s="66">
        <f t="shared" si="922"/>
        <v>10</v>
      </c>
      <c r="C511" s="66">
        <f t="shared" si="923"/>
        <v>55</v>
      </c>
      <c r="E511" s="66">
        <f t="shared" ref="E511" si="1036">plan_id</f>
        <v>1952</v>
      </c>
      <c r="F511" s="66">
        <f t="shared" ca="1" si="660"/>
        <v>2021</v>
      </c>
      <c r="G511" s="66">
        <f t="shared" ref="G511" ca="1" si="1037">VLOOKUP(INDIRECT(CHAR(39)&amp;$A511&amp;CHAR(39)&amp;"!r2c"&amp;$C511,0),variables,2,0)</f>
        <v>10912</v>
      </c>
      <c r="H511" s="71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-624603000</v>
      </c>
    </row>
    <row r="512" spans="1:8" x14ac:dyDescent="0.2">
      <c r="A512" s="66" t="s">
        <v>1037</v>
      </c>
      <c r="B512" s="66">
        <f t="shared" si="922"/>
        <v>10</v>
      </c>
      <c r="C512" s="66">
        <f t="shared" si="923"/>
        <v>56</v>
      </c>
      <c r="E512" s="66">
        <f t="shared" ref="E512" si="1038">plan_id</f>
        <v>1952</v>
      </c>
      <c r="F512" s="66">
        <f t="shared" ca="1" si="660"/>
        <v>2021</v>
      </c>
      <c r="G512" s="66">
        <f t="shared" ref="G512" ca="1" si="1039">VLOOKUP(INDIRECT(CHAR(39)&amp;$A512&amp;CHAR(39)&amp;"!r2c"&amp;$C512,0),variables,2,0)</f>
        <v>10913</v>
      </c>
      <c r="H512" s="71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2261136000</v>
      </c>
    </row>
    <row r="513" spans="1:8" x14ac:dyDescent="0.2">
      <c r="A513" s="66" t="s">
        <v>1037</v>
      </c>
      <c r="B513" s="66">
        <f t="shared" si="922"/>
        <v>10</v>
      </c>
      <c r="C513" s="66">
        <f t="shared" si="923"/>
        <v>57</v>
      </c>
      <c r="E513" s="66">
        <f t="shared" ref="E513" si="1040">plan_id</f>
        <v>1952</v>
      </c>
      <c r="F513" s="66">
        <f t="shared" ca="1" si="660"/>
        <v>2021</v>
      </c>
      <c r="G513" s="66">
        <f t="shared" ref="G513" ca="1" si="1041">VLOOKUP(INDIRECT(CHAR(39)&amp;$A513&amp;CHAR(39)&amp;"!r2c"&amp;$C513,0),variables,2,0)</f>
        <v>10914</v>
      </c>
      <c r="H513" s="71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2667246000</v>
      </c>
    </row>
    <row r="514" spans="1:8" x14ac:dyDescent="0.2">
      <c r="A514" s="66" t="s">
        <v>1037</v>
      </c>
      <c r="B514" s="66">
        <f t="shared" si="922"/>
        <v>10</v>
      </c>
      <c r="C514" s="66">
        <f t="shared" si="923"/>
        <v>58</v>
      </c>
      <c r="E514" s="66">
        <f t="shared" ref="E514" si="1042">plan_id</f>
        <v>1952</v>
      </c>
      <c r="F514" s="66">
        <f t="shared" ca="1" si="660"/>
        <v>2021</v>
      </c>
      <c r="G514" s="66">
        <f t="shared" ref="G514" ca="1" si="1043">VLOOKUP(INDIRECT(CHAR(39)&amp;$A514&amp;CHAR(39)&amp;"!r2c"&amp;$C514,0),variables,2,0)</f>
        <v>10915</v>
      </c>
      <c r="H514" s="71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885042000</v>
      </c>
    </row>
    <row r="515" spans="1:8" x14ac:dyDescent="0.2">
      <c r="A515" s="66" t="s">
        <v>1037</v>
      </c>
      <c r="B515" s="66">
        <f t="shared" si="922"/>
        <v>10</v>
      </c>
      <c r="C515" s="66">
        <f t="shared" si="923"/>
        <v>59</v>
      </c>
      <c r="E515" s="66">
        <f t="shared" ref="E515" si="1044">plan_id</f>
        <v>1952</v>
      </c>
      <c r="F515" s="66">
        <f t="shared" ca="1" si="660"/>
        <v>2021</v>
      </c>
      <c r="G515" s="66">
        <f t="shared" ref="G515" ca="1" si="1045">VLOOKUP(INDIRECT(CHAR(39)&amp;$A515&amp;CHAR(39)&amp;"!r2c"&amp;$C515,0),variables,2,0)</f>
        <v>10916</v>
      </c>
      <c r="H515" s="71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20721739000</v>
      </c>
    </row>
    <row r="516" spans="1:8" x14ac:dyDescent="0.2">
      <c r="A516" s="66" t="s">
        <v>1037</v>
      </c>
      <c r="B516" s="66">
        <f t="shared" si="922"/>
        <v>10</v>
      </c>
      <c r="C516" s="66">
        <f t="shared" si="923"/>
        <v>60</v>
      </c>
      <c r="E516" s="66">
        <f t="shared" ref="E516" si="1046">plan_id</f>
        <v>1952</v>
      </c>
      <c r="F516" s="66">
        <f t="shared" ca="1" si="660"/>
        <v>2021</v>
      </c>
      <c r="G516" s="66">
        <f t="shared" ref="G516" ca="1" si="1047">VLOOKUP(INDIRECT(CHAR(39)&amp;$A516&amp;CHAR(39)&amp;"!r2c"&amp;$C516,0),variables,2,0)</f>
        <v>10917</v>
      </c>
      <c r="H516" s="71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-5277178000</v>
      </c>
    </row>
    <row r="517" spans="1:8" x14ac:dyDescent="0.2">
      <c r="A517" s="66" t="s">
        <v>1037</v>
      </c>
      <c r="B517" s="66">
        <f t="shared" si="922"/>
        <v>10</v>
      </c>
      <c r="C517" s="66">
        <f t="shared" si="923"/>
        <v>61</v>
      </c>
      <c r="E517" s="66">
        <f t="shared" ref="E517" si="1048">plan_id</f>
        <v>1952</v>
      </c>
      <c r="F517" s="66">
        <f t="shared" ca="1" si="660"/>
        <v>2021</v>
      </c>
      <c r="G517" s="66">
        <f t="shared" ref="G517" ca="1" si="1049">VLOOKUP(INDIRECT(CHAR(39)&amp;$A517&amp;CHAR(39)&amp;"!r2c"&amp;$C517,0),variables,2,0)</f>
        <v>10918</v>
      </c>
      <c r="H517" s="7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-109989000</v>
      </c>
    </row>
    <row r="518" spans="1:8" x14ac:dyDescent="0.2">
      <c r="A518" s="66" t="s">
        <v>1037</v>
      </c>
      <c r="B518" s="66">
        <f t="shared" si="922"/>
        <v>10</v>
      </c>
      <c r="C518" s="66">
        <f t="shared" si="923"/>
        <v>62</v>
      </c>
      <c r="E518" s="66">
        <f t="shared" ref="E518" si="1050">plan_id</f>
        <v>1952</v>
      </c>
      <c r="F518" s="66">
        <f t="shared" ca="1" si="660"/>
        <v>2021</v>
      </c>
      <c r="G518" s="66">
        <f t="shared" ref="G518" ca="1" si="1051">VLOOKUP(INDIRECT(CHAR(39)&amp;$A518&amp;CHAR(39)&amp;"!r2c"&amp;$C518,0),variables,2,0)</f>
        <v>10919</v>
      </c>
      <c r="H518" s="7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-5387167000</v>
      </c>
    </row>
    <row r="519" spans="1:8" x14ac:dyDescent="0.2">
      <c r="A519" s="66" t="s">
        <v>1037</v>
      </c>
      <c r="B519" s="66">
        <f t="shared" ref="B519:B523" si="1052">B454+1</f>
        <v>10</v>
      </c>
      <c r="C519" s="66">
        <f t="shared" ref="C519:C523" si="1053">C454</f>
        <v>63</v>
      </c>
      <c r="E519" s="66">
        <f t="shared" ref="E519" si="1054">plan_id</f>
        <v>1952</v>
      </c>
      <c r="F519" s="66">
        <f t="shared" ca="1" si="660"/>
        <v>2021</v>
      </c>
      <c r="G519" s="66">
        <f t="shared" ref="G519" ca="1" si="1055">VLOOKUP(INDIRECT(CHAR(39)&amp;$A519&amp;CHAR(39)&amp;"!r2c"&amp;$C519,0),variables,2,0)</f>
        <v>10920</v>
      </c>
      <c r="H519" s="7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-51859000</v>
      </c>
    </row>
    <row r="520" spans="1:8" x14ac:dyDescent="0.2">
      <c r="A520" s="66" t="s">
        <v>1037</v>
      </c>
      <c r="B520" s="66">
        <f t="shared" si="1052"/>
        <v>10</v>
      </c>
      <c r="C520" s="66">
        <f t="shared" si="1053"/>
        <v>64</v>
      </c>
      <c r="E520" s="66">
        <f t="shared" ref="E520" si="1056">plan_id</f>
        <v>1952</v>
      </c>
      <c r="F520" s="66">
        <f t="shared" ca="1" si="660"/>
        <v>2021</v>
      </c>
      <c r="G520" s="66">
        <f t="shared" ref="G520" ca="1" si="1057">VLOOKUP(INDIRECT(CHAR(39)&amp;$A520&amp;CHAR(39)&amp;"!r2c"&amp;$C520,0),variables,2,0)</f>
        <v>10921</v>
      </c>
      <c r="H520" s="7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257000</v>
      </c>
    </row>
    <row r="521" spans="1:8" x14ac:dyDescent="0.2">
      <c r="A521" s="66" t="s">
        <v>1037</v>
      </c>
      <c r="B521" s="66">
        <f t="shared" si="1052"/>
        <v>10</v>
      </c>
      <c r="C521" s="66">
        <f t="shared" si="1053"/>
        <v>65</v>
      </c>
      <c r="E521" s="66">
        <f t="shared" ref="E521" si="1058">plan_id</f>
        <v>1952</v>
      </c>
      <c r="F521" s="66">
        <f t="shared" ca="1" si="660"/>
        <v>2021</v>
      </c>
      <c r="G521" s="66">
        <f t="shared" ref="G521" ca="1" si="1059">VLOOKUP(INDIRECT(CHAR(39)&amp;$A521&amp;CHAR(39)&amp;"!r2c"&amp;$C521,0),variables,2,0)</f>
        <v>10922</v>
      </c>
      <c r="H521" s="71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66" t="s">
        <v>1037</v>
      </c>
      <c r="B522" s="66">
        <f t="shared" si="1052"/>
        <v>10</v>
      </c>
      <c r="C522" s="66">
        <f t="shared" si="1053"/>
        <v>66</v>
      </c>
      <c r="E522" s="66">
        <f t="shared" ref="E522" si="1060">plan_id</f>
        <v>1952</v>
      </c>
      <c r="F522" s="66">
        <f t="shared" ca="1" si="660"/>
        <v>2021</v>
      </c>
      <c r="G522" s="66">
        <f t="shared" ref="G522" ca="1" si="1061">VLOOKUP(INDIRECT(CHAR(39)&amp;$A522&amp;CHAR(39)&amp;"!r2c"&amp;$C522,0),variables,2,0)</f>
        <v>10860</v>
      </c>
      <c r="H522" s="71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76453387000</v>
      </c>
    </row>
    <row r="523" spans="1:8" x14ac:dyDescent="0.2">
      <c r="A523" s="66" t="s">
        <v>1037</v>
      </c>
      <c r="B523" s="66">
        <f t="shared" si="1052"/>
        <v>10</v>
      </c>
      <c r="C523" s="66">
        <f t="shared" si="1053"/>
        <v>67</v>
      </c>
      <c r="E523" s="66">
        <f t="shared" ref="E523" si="1062">plan_id</f>
        <v>1952</v>
      </c>
      <c r="F523" s="66">
        <f t="shared" ca="1" si="660"/>
        <v>2021</v>
      </c>
      <c r="G523" s="66">
        <f t="shared" ref="G523" ca="1" si="1063">VLOOKUP(INDIRECT(CHAR(39)&amp;$A523&amp;CHAR(39)&amp;"!r2c"&amp;$C523,0),variables,2,0)</f>
        <v>10923</v>
      </c>
      <c r="H523" s="71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12141809000</v>
      </c>
    </row>
    <row r="524" spans="1:8" x14ac:dyDescent="0.2">
      <c r="A524" s="66" t="s">
        <v>1045</v>
      </c>
      <c r="B524" s="66">
        <v>4</v>
      </c>
      <c r="C524" s="66">
        <v>3</v>
      </c>
      <c r="E524" s="66">
        <f t="shared" ref="E524" si="1064">plan_id</f>
        <v>1952</v>
      </c>
      <c r="F524" s="66">
        <f t="shared" ca="1" si="660"/>
        <v>2001</v>
      </c>
      <c r="G524" s="66">
        <f ca="1">VLOOKUP(INDIRECT(CHAR(39)&amp;$A524&amp;CHAR(39)&amp;"!r2c"&amp;$C524,0),variables,2,0)</f>
        <v>10703</v>
      </c>
      <c r="H524" s="71" t="str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2002 - 2004</v>
      </c>
    </row>
    <row r="525" spans="1:8" x14ac:dyDescent="0.2">
      <c r="A525" s="66" t="s">
        <v>1045</v>
      </c>
      <c r="B525" s="66">
        <f>B524</f>
        <v>4</v>
      </c>
      <c r="C525" s="66">
        <f>C524+1</f>
        <v>4</v>
      </c>
      <c r="E525" s="66">
        <f t="shared" ref="E525" si="1065">plan_id</f>
        <v>1952</v>
      </c>
      <c r="F525" s="66">
        <f t="shared" ca="1" si="660"/>
        <v>2001</v>
      </c>
      <c r="G525" s="66">
        <f t="shared" ref="G525" ca="1" si="1066">VLOOKUP(INDIRECT(CHAR(39)&amp;$A525&amp;CHAR(39)&amp;"!r2c"&amp;$C525,0),variables,2,0)</f>
        <v>10845</v>
      </c>
      <c r="H525" s="71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GABRIEL,ROEDER,SMITH &amp; COMPANY</v>
      </c>
    </row>
    <row r="526" spans="1:8" x14ac:dyDescent="0.2">
      <c r="A526" s="66" t="s">
        <v>1045</v>
      </c>
      <c r="B526" s="66">
        <f t="shared" ref="B526:B589" si="1067">B525</f>
        <v>4</v>
      </c>
      <c r="C526" s="66">
        <f t="shared" ref="C526:C589" si="1068">C525+1</f>
        <v>5</v>
      </c>
      <c r="E526" s="66">
        <f t="shared" ref="E526" si="1069">plan_id</f>
        <v>1952</v>
      </c>
      <c r="F526" s="66">
        <f t="shared" ca="1" si="660"/>
        <v>2001</v>
      </c>
      <c r="G526" s="66">
        <f t="shared" ref="G526" ca="1" si="1070">VLOOKUP(INDIRECT(CHAR(39)&amp;$A526&amp;CHAR(39)&amp;"!r2c"&amp;$C526,0),variables,2,0)</f>
        <v>10924</v>
      </c>
      <c r="H526" s="71" t="str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(i)9%; (ii)11.03%</v>
      </c>
    </row>
    <row r="527" spans="1:8" x14ac:dyDescent="0.2">
      <c r="A527" s="66" t="s">
        <v>1045</v>
      </c>
      <c r="B527" s="66">
        <f t="shared" si="1067"/>
        <v>4</v>
      </c>
      <c r="C527" s="66">
        <f t="shared" si="1068"/>
        <v>6</v>
      </c>
      <c r="E527" s="66">
        <f t="shared" ref="E527" si="1071">plan_id</f>
        <v>1952</v>
      </c>
      <c r="F527" s="66">
        <f t="shared" ca="1" si="660"/>
        <v>2001</v>
      </c>
      <c r="G527" s="66">
        <f t="shared" ref="G527" ca="1" si="1072">VLOOKUP(INDIRECT(CHAR(39)&amp;$A527&amp;CHAR(39)&amp;"!r2c"&amp;$C527,0),variables,2,0)</f>
        <v>10925</v>
      </c>
      <c r="H527" s="71" t="str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(i)4%; (ii)6.03%</v>
      </c>
    </row>
    <row r="528" spans="1:8" x14ac:dyDescent="0.2">
      <c r="A528" s="66" t="s">
        <v>1045</v>
      </c>
      <c r="B528" s="66">
        <f t="shared" si="1067"/>
        <v>4</v>
      </c>
      <c r="C528" s="66">
        <f t="shared" si="1068"/>
        <v>7</v>
      </c>
      <c r="E528" s="66">
        <f t="shared" ref="E528" si="1073">plan_id</f>
        <v>1952</v>
      </c>
      <c r="F528" s="66">
        <f t="shared" ca="1" si="660"/>
        <v>2001</v>
      </c>
      <c r="G528" s="66">
        <f t="shared" ref="G528" ca="1" si="1074">VLOOKUP(INDIRECT(CHAR(39)&amp;$A528&amp;CHAR(39)&amp;"!r2c"&amp;$C528,0),variables,2,0)</f>
        <v>10926</v>
      </c>
      <c r="H528" s="71" t="str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(i)5%; (ii)5%</v>
      </c>
    </row>
    <row r="529" spans="1:8" x14ac:dyDescent="0.2">
      <c r="A529" s="66" t="s">
        <v>1045</v>
      </c>
      <c r="B529" s="66">
        <f t="shared" si="1067"/>
        <v>4</v>
      </c>
      <c r="C529" s="66">
        <f t="shared" si="1068"/>
        <v>8</v>
      </c>
      <c r="E529" s="66">
        <f t="shared" ref="E529" si="1075">plan_id</f>
        <v>1952</v>
      </c>
      <c r="F529" s="66">
        <f t="shared" ca="1" si="660"/>
        <v>2001</v>
      </c>
      <c r="G529" s="66">
        <f t="shared" ref="G529" ca="1" si="1076">VLOOKUP(INDIRECT(CHAR(39)&amp;$A529&amp;CHAR(39)&amp;"!r2c"&amp;$C529,0),variables,2,0)</f>
        <v>10704</v>
      </c>
      <c r="H529" s="71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2">
      <c r="A530" s="66" t="s">
        <v>1045</v>
      </c>
      <c r="B530" s="66">
        <f t="shared" si="1067"/>
        <v>4</v>
      </c>
      <c r="C530" s="66">
        <f t="shared" si="1068"/>
        <v>9</v>
      </c>
      <c r="E530" s="66">
        <f t="shared" ref="E530" si="1077">plan_id</f>
        <v>1952</v>
      </c>
      <c r="F530" s="66">
        <f t="shared" ca="1" si="660"/>
        <v>2001</v>
      </c>
      <c r="G530" s="66">
        <f t="shared" ref="G530" ca="1" si="1078">VLOOKUP(INDIRECT(CHAR(39)&amp;$A530&amp;CHAR(39)&amp;"!r2c"&amp;$C530,0),variables,2,0)</f>
        <v>10928</v>
      </c>
      <c r="H530" s="71" t="str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(i)-0.4%; (ii)-2.43%</v>
      </c>
    </row>
    <row r="531" spans="1:8" x14ac:dyDescent="0.2">
      <c r="A531" s="66" t="s">
        <v>1045</v>
      </c>
      <c r="B531" s="66">
        <f t="shared" si="1067"/>
        <v>4</v>
      </c>
      <c r="C531" s="66">
        <f t="shared" si="1068"/>
        <v>10</v>
      </c>
      <c r="E531" s="66">
        <f t="shared" ref="E531" si="1079">plan_id</f>
        <v>1952</v>
      </c>
      <c r="F531" s="66">
        <f t="shared" ca="1" si="660"/>
        <v>2001</v>
      </c>
      <c r="G531" s="66">
        <f t="shared" ref="G531" ca="1" si="1080">VLOOKUP(INDIRECT(CHAR(39)&amp;$A531&amp;CHAR(39)&amp;"!r2c"&amp;$C531,0),variables,2,0)</f>
        <v>10929</v>
      </c>
      <c r="H531" s="71" t="str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(i)-0.4%; (ii)-2.43%</v>
      </c>
    </row>
    <row r="532" spans="1:8" x14ac:dyDescent="0.2">
      <c r="A532" s="66" t="s">
        <v>1045</v>
      </c>
      <c r="B532" s="66">
        <f t="shared" si="1067"/>
        <v>4</v>
      </c>
      <c r="C532" s="66">
        <f t="shared" si="1068"/>
        <v>11</v>
      </c>
      <c r="E532" s="66">
        <f t="shared" ref="E532" si="1081">plan_id</f>
        <v>1952</v>
      </c>
      <c r="F532" s="66">
        <f t="shared" ca="1" si="660"/>
        <v>2001</v>
      </c>
      <c r="G532" s="66">
        <f t="shared" ref="G532" ca="1" si="1082">VLOOKUP(INDIRECT(CHAR(39)&amp;$A532&amp;CHAR(39)&amp;"!r2c"&amp;$C532,0),variables,2,0)</f>
        <v>10930</v>
      </c>
      <c r="H532" s="71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66" t="s">
        <v>1045</v>
      </c>
      <c r="B533" s="66">
        <f t="shared" si="1067"/>
        <v>4</v>
      </c>
      <c r="C533" s="66">
        <f t="shared" si="1068"/>
        <v>12</v>
      </c>
      <c r="E533" s="66">
        <f t="shared" ref="E533" si="1083">plan_id</f>
        <v>1952</v>
      </c>
      <c r="F533" s="66">
        <f t="shared" ca="1" si="660"/>
        <v>2001</v>
      </c>
      <c r="G533" s="66">
        <f t="shared" ref="G533" ca="1" si="1084">VLOOKUP(INDIRECT(CHAR(39)&amp;$A533&amp;CHAR(39)&amp;"!r2c"&amp;$C533,0),variables,2,0)</f>
        <v>10705</v>
      </c>
      <c r="H533" s="7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389740000</v>
      </c>
    </row>
    <row r="534" spans="1:8" x14ac:dyDescent="0.2">
      <c r="A534" s="66" t="s">
        <v>1045</v>
      </c>
      <c r="B534" s="66">
        <f t="shared" si="1067"/>
        <v>4</v>
      </c>
      <c r="C534" s="66">
        <f t="shared" si="1068"/>
        <v>13</v>
      </c>
      <c r="E534" s="66">
        <f t="shared" ref="E534" si="1085">plan_id</f>
        <v>1952</v>
      </c>
      <c r="F534" s="66">
        <f t="shared" ca="1" si="660"/>
        <v>2001</v>
      </c>
      <c r="G534" s="66">
        <f t="shared" ref="G534" ca="1" si="1086">VLOOKUP(INDIRECT(CHAR(39)&amp;$A534&amp;CHAR(39)&amp;"!r2c"&amp;$C534,0),variables,2,0)</f>
        <v>10842</v>
      </c>
      <c r="H534" s="71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66" t="s">
        <v>1045</v>
      </c>
      <c r="B535" s="66">
        <f t="shared" si="1067"/>
        <v>4</v>
      </c>
      <c r="C535" s="66">
        <f t="shared" si="1068"/>
        <v>14</v>
      </c>
      <c r="E535" s="66">
        <f t="shared" ref="E535" si="1087">plan_id</f>
        <v>1952</v>
      </c>
      <c r="F535" s="66">
        <f t="shared" ca="1" si="660"/>
        <v>2001</v>
      </c>
      <c r="G535" s="66">
        <f t="shared" ref="G535" ca="1" si="1088">VLOOKUP(INDIRECT(CHAR(39)&amp;$A535&amp;CHAR(39)&amp;"!r2c"&amp;$C535,0),variables,2,0)</f>
        <v>10843</v>
      </c>
      <c r="H535" s="71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66" t="s">
        <v>1045</v>
      </c>
      <c r="B536" s="66">
        <f t="shared" si="1067"/>
        <v>4</v>
      </c>
      <c r="C536" s="66">
        <f t="shared" si="1068"/>
        <v>15</v>
      </c>
      <c r="E536" s="66">
        <f t="shared" ref="E536" si="1089">plan_id</f>
        <v>1952</v>
      </c>
      <c r="F536" s="66">
        <f t="shared" ca="1" si="660"/>
        <v>2001</v>
      </c>
      <c r="G536" s="66">
        <f t="shared" ref="G536" ca="1" si="1090">VLOOKUP(INDIRECT(CHAR(39)&amp;$A536&amp;CHAR(39)&amp;"!r2c"&amp;$C536,0),variables,2,0)</f>
        <v>10931</v>
      </c>
      <c r="H536" s="7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66" t="s">
        <v>1045</v>
      </c>
      <c r="B537" s="66">
        <f t="shared" si="1067"/>
        <v>4</v>
      </c>
      <c r="C537" s="66">
        <f t="shared" si="1068"/>
        <v>16</v>
      </c>
      <c r="E537" s="66">
        <f t="shared" ref="E537" si="1091">plan_id</f>
        <v>1952</v>
      </c>
      <c r="F537" s="66">
        <f t="shared" ca="1" si="660"/>
        <v>2001</v>
      </c>
      <c r="G537" s="66">
        <f t="shared" ref="G537" ca="1" si="1092">VLOOKUP(INDIRECT(CHAR(39)&amp;$A537&amp;CHAR(39)&amp;"!r2c"&amp;$C537,0),variables,2,0)</f>
        <v>10932</v>
      </c>
      <c r="H537" s="7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66" t="s">
        <v>1045</v>
      </c>
      <c r="B538" s="66">
        <f t="shared" si="1067"/>
        <v>4</v>
      </c>
      <c r="C538" s="66">
        <f t="shared" si="1068"/>
        <v>17</v>
      </c>
      <c r="E538" s="66">
        <f t="shared" ref="E538" si="1093">plan_id</f>
        <v>1952</v>
      </c>
      <c r="F538" s="66">
        <f t="shared" ca="1" si="660"/>
        <v>2001</v>
      </c>
      <c r="G538" s="66">
        <f t="shared" ref="G538" ca="1" si="1094">VLOOKUP(INDIRECT(CHAR(39)&amp;$A538&amp;CHAR(39)&amp;"!r2c"&amp;$C538,0),variables,2,0)</f>
        <v>10933</v>
      </c>
      <c r="H538" s="71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(i)3.6%; (ii)3.6%</v>
      </c>
    </row>
    <row r="539" spans="1:8" x14ac:dyDescent="0.2">
      <c r="A539" s="66" t="s">
        <v>1045</v>
      </c>
      <c r="B539" s="66">
        <f t="shared" si="1067"/>
        <v>4</v>
      </c>
      <c r="C539" s="66">
        <f t="shared" si="1068"/>
        <v>18</v>
      </c>
      <c r="E539" s="66">
        <f t="shared" ref="E539" si="1095">plan_id</f>
        <v>1952</v>
      </c>
      <c r="F539" s="66">
        <f t="shared" ca="1" si="660"/>
        <v>2001</v>
      </c>
      <c r="G539" s="66">
        <f t="shared" ref="G539" ca="1" si="1096">VLOOKUP(INDIRECT(CHAR(39)&amp;$A539&amp;CHAR(39)&amp;"!r2c"&amp;$C539,0),variables,2,0)</f>
        <v>10934</v>
      </c>
      <c r="H539" s="71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(i)5%; (ii)5%</v>
      </c>
    </row>
    <row r="540" spans="1:8" x14ac:dyDescent="0.2">
      <c r="A540" s="66" t="s">
        <v>1045</v>
      </c>
      <c r="B540" s="66">
        <f t="shared" si="1067"/>
        <v>4</v>
      </c>
      <c r="C540" s="66">
        <f t="shared" si="1068"/>
        <v>19</v>
      </c>
      <c r="E540" s="66">
        <f t="shared" ref="E540" si="1097">plan_id</f>
        <v>1952</v>
      </c>
      <c r="F540" s="66">
        <f t="shared" ca="1" si="660"/>
        <v>2001</v>
      </c>
      <c r="G540" s="66">
        <f t="shared" ref="G540" ca="1" si="1098">VLOOKUP(INDIRECT(CHAR(39)&amp;$A540&amp;CHAR(39)&amp;"!r2c"&amp;$C540,0),variables,2,0)</f>
        <v>10935</v>
      </c>
      <c r="H540" s="71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</v>
      </c>
    </row>
    <row r="541" spans="1:8" x14ac:dyDescent="0.2">
      <c r="A541" s="66" t="s">
        <v>1045</v>
      </c>
      <c r="B541" s="66">
        <f t="shared" si="1067"/>
        <v>4</v>
      </c>
      <c r="C541" s="66">
        <f t="shared" si="1068"/>
        <v>20</v>
      </c>
      <c r="E541" s="66">
        <f t="shared" ref="E541" si="1099">plan_id</f>
        <v>1952</v>
      </c>
      <c r="F541" s="66">
        <f t="shared" ca="1" si="660"/>
        <v>2001</v>
      </c>
      <c r="G541" s="66">
        <f t="shared" ref="G541" ca="1" si="1100">VLOOKUP(INDIRECT(CHAR(39)&amp;$A541&amp;CHAR(39)&amp;"!r2c"&amp;$C541,0),variables,2,0)</f>
        <v>10937</v>
      </c>
      <c r="H541" s="71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66" t="s">
        <v>1045</v>
      </c>
      <c r="B542" s="66">
        <f t="shared" si="1067"/>
        <v>4</v>
      </c>
      <c r="C542" s="66">
        <f t="shared" si="1068"/>
        <v>21</v>
      </c>
      <c r="E542" s="66">
        <f t="shared" ref="E542" si="1101">plan_id</f>
        <v>1952</v>
      </c>
      <c r="F542" s="66">
        <f t="shared" ca="1" si="660"/>
        <v>2001</v>
      </c>
      <c r="G542" s="66">
        <f t="shared" ref="G542" ca="1" si="1102">VLOOKUP(INDIRECT(CHAR(39)&amp;$A542&amp;CHAR(39)&amp;"!r2c"&amp;$C542,0),variables,2,0)</f>
        <v>10938</v>
      </c>
      <c r="H542" s="7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66" t="s">
        <v>1045</v>
      </c>
      <c r="B543" s="66">
        <f t="shared" si="1067"/>
        <v>4</v>
      </c>
      <c r="C543" s="66">
        <f t="shared" si="1068"/>
        <v>22</v>
      </c>
      <c r="E543" s="66">
        <f t="shared" ref="E543" si="1103">plan_id</f>
        <v>1952</v>
      </c>
      <c r="F543" s="66">
        <f t="shared" ca="1" si="660"/>
        <v>2001</v>
      </c>
      <c r="G543" s="66">
        <f t="shared" ref="G543" ca="1" si="1104">VLOOKUP(INDIRECT(CHAR(39)&amp;$A543&amp;CHAR(39)&amp;"!r2c"&amp;$C543,0),variables,2,0)</f>
        <v>11007</v>
      </c>
      <c r="H543" s="71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1.7% of AFC times years of service</v>
      </c>
    </row>
    <row r="544" spans="1:8" x14ac:dyDescent="0.2">
      <c r="A544" s="66" t="s">
        <v>1045</v>
      </c>
      <c r="B544" s="66">
        <f t="shared" si="1067"/>
        <v>4</v>
      </c>
      <c r="C544" s="66">
        <f t="shared" si="1068"/>
        <v>23</v>
      </c>
      <c r="E544" s="66">
        <f t="shared" ref="E544" si="1105">plan_id</f>
        <v>1952</v>
      </c>
      <c r="F544" s="66">
        <f t="shared" ca="1" si="660"/>
        <v>2001</v>
      </c>
      <c r="G544" s="66">
        <f t="shared" ref="G544" ca="1" si="1106">VLOOKUP(INDIRECT(CHAR(39)&amp;$A544&amp;CHAR(39)&amp;"!r2c"&amp;$C544,0),variables,2,0)</f>
        <v>10941</v>
      </c>
      <c r="H544" s="71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2">
      <c r="A545" s="66" t="s">
        <v>1045</v>
      </c>
      <c r="B545" s="66">
        <f t="shared" si="1067"/>
        <v>4</v>
      </c>
      <c r="C545" s="66">
        <f t="shared" si="1068"/>
        <v>24</v>
      </c>
      <c r="E545" s="66">
        <f t="shared" ref="E545" si="1107">plan_id</f>
        <v>1952</v>
      </c>
      <c r="F545" s="66">
        <f t="shared" ca="1" si="660"/>
        <v>2001</v>
      </c>
      <c r="G545" s="66">
        <f t="shared" ref="G545" ca="1" si="1108">VLOOKUP(INDIRECT(CHAR(39)&amp;$A545&amp;CHAR(39)&amp;"!r2c"&amp;$C545,0),variables,2,0)</f>
        <v>10942</v>
      </c>
      <c r="H545" s="71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2">
      <c r="A546" s="66" t="s">
        <v>1045</v>
      </c>
      <c r="B546" s="66">
        <f t="shared" si="1067"/>
        <v>4</v>
      </c>
      <c r="C546" s="66">
        <f t="shared" si="1068"/>
        <v>25</v>
      </c>
      <c r="E546" s="66">
        <f t="shared" ref="E546" si="1109">plan_id</f>
        <v>1952</v>
      </c>
      <c r="F546" s="66">
        <f t="shared" ca="1" si="660"/>
        <v>2001</v>
      </c>
      <c r="G546" s="66">
        <f t="shared" ref="G546" ca="1" si="1110">VLOOKUP(INDIRECT(CHAR(39)&amp;$A546&amp;CHAR(39)&amp;"!r2c"&amp;$C546,0),variables,2,0)</f>
        <v>10701</v>
      </c>
      <c r="H546" s="71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66" t="s">
        <v>1045</v>
      </c>
      <c r="B547" s="66">
        <f t="shared" si="1067"/>
        <v>4</v>
      </c>
      <c r="C547" s="66">
        <f t="shared" si="1068"/>
        <v>26</v>
      </c>
      <c r="E547" s="66">
        <f t="shared" ref="E547" si="1111">plan_id</f>
        <v>1952</v>
      </c>
      <c r="F547" s="66">
        <f t="shared" ca="1" si="660"/>
        <v>2001</v>
      </c>
      <c r="G547" s="66">
        <f t="shared" ref="G547" ca="1" si="1112">VLOOKUP(INDIRECT(CHAR(39)&amp;$A547&amp;CHAR(39)&amp;"!r2c"&amp;$C547,0),variables,2,0)</f>
        <v>10702</v>
      </c>
      <c r="H547" s="71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66" t="s">
        <v>1045</v>
      </c>
      <c r="B548" s="66">
        <f t="shared" si="1067"/>
        <v>4</v>
      </c>
      <c r="C548" s="66">
        <f t="shared" si="1068"/>
        <v>27</v>
      </c>
      <c r="E548" s="66">
        <f t="shared" ref="E548" si="1113">plan_id</f>
        <v>1952</v>
      </c>
      <c r="F548" s="66">
        <f t="shared" ca="1" si="660"/>
        <v>2001</v>
      </c>
      <c r="G548" s="66">
        <f t="shared" ref="G548" ca="1" si="1114">VLOOKUP(INDIRECT(CHAR(39)&amp;$A548&amp;CHAR(39)&amp;"!r2c"&amp;$C548,0),variables,2,0)</f>
        <v>10943</v>
      </c>
      <c r="H548" s="71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0.03</v>
      </c>
    </row>
    <row r="549" spans="1:8" x14ac:dyDescent="0.2">
      <c r="A549" s="66" t="s">
        <v>1045</v>
      </c>
      <c r="B549" s="66">
        <f t="shared" si="1067"/>
        <v>4</v>
      </c>
      <c r="C549" s="66">
        <f t="shared" si="1068"/>
        <v>28</v>
      </c>
      <c r="E549" s="66">
        <f t="shared" ref="E549" si="1115">plan_id</f>
        <v>1952</v>
      </c>
      <c r="F549" s="66">
        <f t="shared" ca="1" si="660"/>
        <v>2001</v>
      </c>
      <c r="G549" s="66">
        <f t="shared" ref="G549" ca="1" si="1116">VLOOKUP(INDIRECT(CHAR(39)&amp;$A549&amp;CHAR(39)&amp;"!r2c"&amp;$C549,0),variables,2,0)</f>
        <v>10944</v>
      </c>
      <c r="H549" s="71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2">
      <c r="A550" s="66" t="s">
        <v>1045</v>
      </c>
      <c r="B550" s="66">
        <f t="shared" si="1067"/>
        <v>4</v>
      </c>
      <c r="C550" s="66">
        <f t="shared" si="1068"/>
        <v>29</v>
      </c>
      <c r="E550" s="66">
        <f t="shared" ref="E550" si="1117">plan_id</f>
        <v>1952</v>
      </c>
      <c r="F550" s="66">
        <f t="shared" ca="1" si="660"/>
        <v>2001</v>
      </c>
      <c r="G550" s="66">
        <f t="shared" ref="G550" ca="1" si="1118">VLOOKUP(INDIRECT(CHAR(39)&amp;$A550&amp;CHAR(39)&amp;"!r2c"&amp;$C550,0),variables,2,0)</f>
        <v>10945</v>
      </c>
      <c r="H550" s="71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2">
      <c r="A551" s="66" t="s">
        <v>1045</v>
      </c>
      <c r="B551" s="66">
        <f t="shared" si="1067"/>
        <v>4</v>
      </c>
      <c r="C551" s="66">
        <f t="shared" si="1068"/>
        <v>30</v>
      </c>
      <c r="E551" s="66">
        <f t="shared" ref="E551" si="1119">plan_id</f>
        <v>1952</v>
      </c>
      <c r="F551" s="66">
        <f t="shared" ca="1" si="660"/>
        <v>2001</v>
      </c>
      <c r="G551" s="66">
        <f t="shared" ref="G551" ca="1" si="1120">VLOOKUP(INDIRECT(CHAR(39)&amp;$A551&amp;CHAR(39)&amp;"!r2c"&amp;$C551,0),variables,2,0)</f>
        <v>10947</v>
      </c>
      <c r="H551" s="71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66" t="s">
        <v>1045</v>
      </c>
      <c r="B552" s="66">
        <f t="shared" si="1067"/>
        <v>4</v>
      </c>
      <c r="C552" s="66">
        <f t="shared" si="1068"/>
        <v>31</v>
      </c>
      <c r="E552" s="66">
        <f t="shared" ref="E552" si="1121">plan_id</f>
        <v>1952</v>
      </c>
      <c r="F552" s="66">
        <f t="shared" ca="1" si="660"/>
        <v>2001</v>
      </c>
      <c r="G552" s="66">
        <f t="shared" ref="G552" ca="1" si="1122">VLOOKUP(INDIRECT(CHAR(39)&amp;$A552&amp;CHAR(39)&amp;"!r2c"&amp;$C552,0),variables,2,0)</f>
        <v>10948</v>
      </c>
      <c r="H552" s="71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2">
      <c r="A553" s="66" t="s">
        <v>1045</v>
      </c>
      <c r="B553" s="66">
        <f t="shared" si="1067"/>
        <v>4</v>
      </c>
      <c r="C553" s="66">
        <f t="shared" si="1068"/>
        <v>32</v>
      </c>
      <c r="E553" s="66">
        <f t="shared" ref="E553" si="1123">plan_id</f>
        <v>1952</v>
      </c>
      <c r="F553" s="66">
        <f t="shared" ca="1" si="660"/>
        <v>2001</v>
      </c>
      <c r="G553" s="66">
        <f t="shared" ref="G553" ca="1" si="1124">VLOOKUP(INDIRECT(CHAR(39)&amp;$A553&amp;CHAR(39)&amp;"!r2c"&amp;$C553,0),variables,2,0)</f>
        <v>10949</v>
      </c>
      <c r="H553" s="71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2">
      <c r="A554" s="66" t="s">
        <v>1045</v>
      </c>
      <c r="B554" s="66">
        <f t="shared" si="1067"/>
        <v>4</v>
      </c>
      <c r="C554" s="66">
        <f t="shared" si="1068"/>
        <v>33</v>
      </c>
      <c r="E554" s="66">
        <f t="shared" ref="E554" si="1125">plan_id</f>
        <v>1952</v>
      </c>
      <c r="F554" s="66">
        <f t="shared" ca="1" si="660"/>
        <v>2001</v>
      </c>
      <c r="G554" s="66">
        <f t="shared" ref="G554" ca="1" si="1126">VLOOKUP(INDIRECT(CHAR(39)&amp;$A554&amp;CHAR(39)&amp;"!r2c"&amp;$C554,0),variables,2,0)</f>
        <v>10951</v>
      </c>
      <c r="H554" s="71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2">
      <c r="A555" s="66" t="s">
        <v>1045</v>
      </c>
      <c r="B555" s="66">
        <f t="shared" si="1067"/>
        <v>4</v>
      </c>
      <c r="C555" s="66">
        <f t="shared" si="1068"/>
        <v>34</v>
      </c>
      <c r="E555" s="66">
        <f t="shared" ref="E555" si="1127">plan_id</f>
        <v>1952</v>
      </c>
      <c r="F555" s="66">
        <f t="shared" ca="1" si="660"/>
        <v>2001</v>
      </c>
      <c r="G555" s="66">
        <f t="shared" ref="G555" ca="1" si="1128">VLOOKUP(INDIRECT(CHAR(39)&amp;$A555&amp;CHAR(39)&amp;"!r2c"&amp;$C555,0),variables,2,0)</f>
        <v>10950</v>
      </c>
      <c r="H555" s="71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2">
      <c r="A556" s="66" t="s">
        <v>1045</v>
      </c>
      <c r="B556" s="66">
        <f t="shared" si="1067"/>
        <v>4</v>
      </c>
      <c r="C556" s="66">
        <f t="shared" si="1068"/>
        <v>35</v>
      </c>
      <c r="E556" s="66">
        <f t="shared" ref="E556" si="1129">plan_id</f>
        <v>1952</v>
      </c>
      <c r="F556" s="66">
        <f t="shared" ca="1" si="660"/>
        <v>2001</v>
      </c>
      <c r="G556" s="66">
        <f t="shared" ref="G556" ca="1" si="1130">VLOOKUP(INDIRECT(CHAR(39)&amp;$A556&amp;CHAR(39)&amp;"!r2c"&amp;$C556,0),variables,2,0)</f>
        <v>10954</v>
      </c>
      <c r="H556" s="71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2">
      <c r="A557" s="66" t="s">
        <v>1045</v>
      </c>
      <c r="B557" s="66">
        <f t="shared" si="1067"/>
        <v>4</v>
      </c>
      <c r="C557" s="66">
        <f t="shared" si="1068"/>
        <v>36</v>
      </c>
      <c r="E557" s="66">
        <f t="shared" ref="E557" si="1131">plan_id</f>
        <v>1952</v>
      </c>
      <c r="F557" s="66">
        <f t="shared" ca="1" si="660"/>
        <v>2001</v>
      </c>
      <c r="G557" s="66">
        <f t="shared" ref="G557" ca="1" si="1132">VLOOKUP(INDIRECT(CHAR(39)&amp;$A557&amp;CHAR(39)&amp;"!r2c"&amp;$C557,0),variables,2,0)</f>
        <v>10955</v>
      </c>
      <c r="H557" s="71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2">
      <c r="A558" s="66" t="s">
        <v>1045</v>
      </c>
      <c r="B558" s="66">
        <f t="shared" si="1067"/>
        <v>4</v>
      </c>
      <c r="C558" s="66">
        <f t="shared" si="1068"/>
        <v>37</v>
      </c>
      <c r="E558" s="66">
        <f t="shared" ref="E558" si="1133">plan_id</f>
        <v>1952</v>
      </c>
      <c r="F558" s="66">
        <f t="shared" ca="1" si="660"/>
        <v>2001</v>
      </c>
      <c r="G558" s="66">
        <f t="shared" ref="G558" ca="1" si="1134">VLOOKUP(INDIRECT(CHAR(39)&amp;$A558&amp;CHAR(39)&amp;"!r2c"&amp;$C558,0),variables,2,0)</f>
        <v>10956</v>
      </c>
      <c r="H558" s="71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x14ac:dyDescent="0.2">
      <c r="A559" s="66" t="s">
        <v>1045</v>
      </c>
      <c r="B559" s="66">
        <f t="shared" si="1067"/>
        <v>4</v>
      </c>
      <c r="C559" s="66">
        <f t="shared" si="1068"/>
        <v>38</v>
      </c>
      <c r="E559" s="66">
        <f t="shared" ref="E559" si="1135">plan_id</f>
        <v>1952</v>
      </c>
      <c r="F559" s="66">
        <f t="shared" ca="1" si="660"/>
        <v>2001</v>
      </c>
      <c r="G559" s="66">
        <f t="shared" ref="G559" ca="1" si="1136">VLOOKUP(INDIRECT(CHAR(39)&amp;$A559&amp;CHAR(39)&amp;"!r2c"&amp;$C559,0),variables,2,0)</f>
        <v>10959</v>
      </c>
      <c r="H559" s="71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SE-4.25% to 6.30% &amp; Teach 4.00% to 7.00%</v>
      </c>
    </row>
    <row r="560" spans="1:8" x14ac:dyDescent="0.2">
      <c r="A560" s="66" t="s">
        <v>1045</v>
      </c>
      <c r="B560" s="66">
        <f t="shared" si="1067"/>
        <v>4</v>
      </c>
      <c r="C560" s="66">
        <f t="shared" si="1068"/>
        <v>39</v>
      </c>
      <c r="E560" s="66">
        <f t="shared" ref="E560" si="1137">plan_id</f>
        <v>1952</v>
      </c>
      <c r="F560" s="66">
        <f t="shared" ca="1" si="660"/>
        <v>2001</v>
      </c>
      <c r="G560" s="66">
        <f t="shared" ref="G560" ca="1" si="1138">VLOOKUP(INDIRECT(CHAR(39)&amp;$A560&amp;CHAR(39)&amp;"!r2c"&amp;$C560,0),variables,2,0)</f>
        <v>10962</v>
      </c>
      <c r="H560" s="71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Pg.116 &amp; 121</v>
      </c>
    </row>
    <row r="561" spans="1:8" x14ac:dyDescent="0.2">
      <c r="A561" s="66" t="s">
        <v>1045</v>
      </c>
      <c r="B561" s="66">
        <f t="shared" si="1067"/>
        <v>4</v>
      </c>
      <c r="C561" s="66">
        <f t="shared" si="1068"/>
        <v>40</v>
      </c>
      <c r="E561" s="66">
        <f t="shared" ref="E561" si="1139">plan_id</f>
        <v>1952</v>
      </c>
      <c r="F561" s="66">
        <f t="shared" ca="1" si="660"/>
        <v>2001</v>
      </c>
      <c r="G561" s="66">
        <f t="shared" ref="G561" ca="1" si="1140">VLOOKUP(INDIRECT(CHAR(39)&amp;$A561&amp;CHAR(39)&amp;"!r2c"&amp;$C561,0),variables,2,0)</f>
        <v>10964</v>
      </c>
      <c r="H561" s="71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Pg.115 &amp; 120</v>
      </c>
    </row>
    <row r="562" spans="1:8" x14ac:dyDescent="0.2">
      <c r="A562" s="66" t="s">
        <v>1045</v>
      </c>
      <c r="B562" s="66">
        <f t="shared" si="1067"/>
        <v>4</v>
      </c>
      <c r="C562" s="66">
        <f t="shared" si="1068"/>
        <v>41</v>
      </c>
      <c r="E562" s="66">
        <f t="shared" ref="E562" si="1141">plan_id</f>
        <v>1952</v>
      </c>
      <c r="F562" s="66">
        <f t="shared" ca="1" si="660"/>
        <v>2001</v>
      </c>
      <c r="G562" s="66">
        <f t="shared" ref="G562" ca="1" si="1142">VLOOKUP(INDIRECT(CHAR(39)&amp;$A562&amp;CHAR(39)&amp;"!r2c"&amp;$C562,0),variables,2,0)</f>
        <v>10967</v>
      </c>
      <c r="H562" s="71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1994 Group Annuity Mortality Table</v>
      </c>
    </row>
    <row r="563" spans="1:8" x14ac:dyDescent="0.2">
      <c r="A563" s="66" t="s">
        <v>1045</v>
      </c>
      <c r="B563" s="66">
        <f t="shared" si="1067"/>
        <v>4</v>
      </c>
      <c r="C563" s="66">
        <f t="shared" si="1068"/>
        <v>42</v>
      </c>
      <c r="E563" s="66">
        <f t="shared" ref="E563" si="1143">plan_id</f>
        <v>1952</v>
      </c>
      <c r="F563" s="66">
        <f t="shared" ca="1" si="660"/>
        <v>2001</v>
      </c>
      <c r="G563" s="66">
        <f t="shared" ref="G563" ca="1" si="1144">VLOOKUP(INDIRECT(CHAR(39)&amp;$A563&amp;CHAR(39)&amp;"!r2c"&amp;$C563,0),variables,2,0)</f>
        <v>10968</v>
      </c>
      <c r="H563" s="71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2">
      <c r="A564" s="66" t="s">
        <v>1045</v>
      </c>
      <c r="B564" s="66">
        <f t="shared" si="1067"/>
        <v>4</v>
      </c>
      <c r="C564" s="66">
        <f t="shared" si="1068"/>
        <v>43</v>
      </c>
      <c r="E564" s="66">
        <f t="shared" ref="E564" si="1145">plan_id</f>
        <v>1952</v>
      </c>
      <c r="F564" s="66">
        <f t="shared" ca="1" si="660"/>
        <v>2001</v>
      </c>
      <c r="G564" s="66">
        <f t="shared" ref="G564" ca="1" si="1146">VLOOKUP(INDIRECT(CHAR(39)&amp;$A564&amp;CHAR(39)&amp;"!r2c"&amp;$C564,0),variables,2,0)</f>
        <v>10969</v>
      </c>
      <c r="H564" s="71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66" t="s">
        <v>1045</v>
      </c>
      <c r="B565" s="66">
        <f t="shared" si="1067"/>
        <v>4</v>
      </c>
      <c r="C565" s="66">
        <f t="shared" si="1068"/>
        <v>44</v>
      </c>
      <c r="E565" s="66">
        <f t="shared" ref="E565" si="1147">plan_id</f>
        <v>1952</v>
      </c>
      <c r="F565" s="66">
        <f t="shared" ca="1" si="660"/>
        <v>2001</v>
      </c>
      <c r="G565" s="66">
        <f t="shared" ref="G565" ca="1" si="1148">VLOOKUP(INDIRECT(CHAR(39)&amp;$A565&amp;CHAR(39)&amp;"!r2c"&amp;$C565,0),variables,2,0)</f>
        <v>10970</v>
      </c>
      <c r="H565" s="71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Teachers: Post Retirement- Males: 2 Years, Females: 1 Year</v>
      </c>
    </row>
    <row r="566" spans="1:8" x14ac:dyDescent="0.2">
      <c r="A566" s="66" t="s">
        <v>1045</v>
      </c>
      <c r="B566" s="66">
        <f t="shared" si="1067"/>
        <v>4</v>
      </c>
      <c r="C566" s="66">
        <f t="shared" si="1068"/>
        <v>45</v>
      </c>
      <c r="E566" s="66">
        <f t="shared" ref="E566" si="1149">plan_id</f>
        <v>1952</v>
      </c>
      <c r="F566" s="66">
        <f t="shared" ca="1" si="660"/>
        <v>2001</v>
      </c>
      <c r="G566" s="66">
        <f t="shared" ref="G566" ca="1" si="1150">VLOOKUP(INDIRECT(CHAR(39)&amp;$A566&amp;CHAR(39)&amp;"!r2c"&amp;$C566,0),variables,2,0)</f>
        <v>10971</v>
      </c>
      <c r="H566" s="71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66" t="s">
        <v>1045</v>
      </c>
      <c r="B567" s="66">
        <f t="shared" si="1067"/>
        <v>4</v>
      </c>
      <c r="C567" s="66">
        <f t="shared" si="1068"/>
        <v>46</v>
      </c>
      <c r="E567" s="66">
        <f t="shared" ref="E567" si="1151">plan_id</f>
        <v>1952</v>
      </c>
      <c r="F567" s="66">
        <f t="shared" ca="1" si="660"/>
        <v>2001</v>
      </c>
      <c r="G567" s="66">
        <f t="shared" ref="G567" ca="1" si="1152">VLOOKUP(INDIRECT(CHAR(39)&amp;$A567&amp;CHAR(39)&amp;"!r2c"&amp;$C567,0),variables,2,0)</f>
        <v>10972</v>
      </c>
      <c r="H567" s="71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Closed</v>
      </c>
    </row>
    <row r="568" spans="1:8" x14ac:dyDescent="0.2">
      <c r="A568" s="66" t="s">
        <v>1045</v>
      </c>
      <c r="B568" s="66">
        <f t="shared" si="1067"/>
        <v>4</v>
      </c>
      <c r="C568" s="66">
        <f t="shared" si="1068"/>
        <v>47</v>
      </c>
      <c r="E568" s="66">
        <f t="shared" ref="E568" si="1153">plan_id</f>
        <v>1952</v>
      </c>
      <c r="F568" s="66">
        <f t="shared" ca="1" si="660"/>
        <v>2001</v>
      </c>
      <c r="G568" s="66">
        <f t="shared" ref="G568" ca="1" si="1154">VLOOKUP(INDIRECT(CHAR(39)&amp;$A568&amp;CHAR(39)&amp;"!r2c"&amp;$C568,0),variables,2,0)</f>
        <v>10973</v>
      </c>
      <c r="H568" s="71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25 Years</v>
      </c>
    </row>
    <row r="569" spans="1:8" x14ac:dyDescent="0.2">
      <c r="A569" s="66" t="s">
        <v>1045</v>
      </c>
      <c r="B569" s="66">
        <f t="shared" si="1067"/>
        <v>4</v>
      </c>
      <c r="C569" s="66">
        <f t="shared" si="1068"/>
        <v>48</v>
      </c>
      <c r="E569" s="66">
        <f t="shared" ref="E569" si="1155">plan_id</f>
        <v>1952</v>
      </c>
      <c r="F569" s="66">
        <f t="shared" ca="1" si="660"/>
        <v>2001</v>
      </c>
      <c r="G569" s="66">
        <f t="shared" ref="G569" ca="1" si="1156">VLOOKUP(INDIRECT(CHAR(39)&amp;$A569&amp;CHAR(39)&amp;"!r2c"&amp;$C569,0),variables,2,0)</f>
        <v>10975</v>
      </c>
      <c r="H569" s="71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2">
      <c r="A570" s="66" t="s">
        <v>1045</v>
      </c>
      <c r="B570" s="66">
        <f t="shared" si="1067"/>
        <v>4</v>
      </c>
      <c r="C570" s="66">
        <f t="shared" si="1068"/>
        <v>49</v>
      </c>
      <c r="E570" s="66">
        <f t="shared" ref="E570" si="1157">plan_id</f>
        <v>1952</v>
      </c>
      <c r="F570" s="66">
        <f t="shared" ca="1" si="660"/>
        <v>2001</v>
      </c>
      <c r="G570" s="66">
        <f t="shared" ref="G570" ca="1" si="1158">VLOOKUP(INDIRECT(CHAR(39)&amp;$A570&amp;CHAR(39)&amp;"!r2c"&amp;$C570,0),variables,2,0)</f>
        <v>10976</v>
      </c>
      <c r="H570" s="71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2">
      <c r="A571" s="66" t="s">
        <v>1045</v>
      </c>
      <c r="B571" s="66">
        <f t="shared" si="1067"/>
        <v>4</v>
      </c>
      <c r="C571" s="66">
        <f t="shared" si="1068"/>
        <v>50</v>
      </c>
      <c r="E571" s="66">
        <f t="shared" ref="E571" si="1159">plan_id</f>
        <v>1952</v>
      </c>
      <c r="F571" s="66">
        <f t="shared" ca="1" si="660"/>
        <v>2001</v>
      </c>
      <c r="G571" s="66">
        <f t="shared" ref="G571" ca="1" si="1160">VLOOKUP(INDIRECT(CHAR(39)&amp;$A571&amp;CHAR(39)&amp;"!r2c"&amp;$C571,0),variables,2,0)</f>
        <v>10977</v>
      </c>
      <c r="H571" s="71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2">
      <c r="A572" s="66" t="s">
        <v>1045</v>
      </c>
      <c r="B572" s="66">
        <f t="shared" si="1067"/>
        <v>4</v>
      </c>
      <c r="C572" s="66">
        <f t="shared" si="1068"/>
        <v>51</v>
      </c>
      <c r="E572" s="66">
        <f t="shared" ref="E572" si="1161">plan_id</f>
        <v>1952</v>
      </c>
      <c r="F572" s="66">
        <f t="shared" ca="1" si="660"/>
        <v>2001</v>
      </c>
      <c r="G572" s="66">
        <f t="shared" ref="G572" ca="1" si="1162">VLOOKUP(INDIRECT(CHAR(39)&amp;$A572&amp;CHAR(39)&amp;"!r2c"&amp;$C572,0),variables,2,0)</f>
        <v>10978</v>
      </c>
      <c r="H572" s="71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2">
      <c r="A573" s="66" t="s">
        <v>1045</v>
      </c>
      <c r="B573" s="66">
        <f t="shared" si="1067"/>
        <v>4</v>
      </c>
      <c r="C573" s="66">
        <f t="shared" si="1068"/>
        <v>52</v>
      </c>
      <c r="E573" s="66">
        <f t="shared" ref="E573" si="1163">plan_id</f>
        <v>1952</v>
      </c>
      <c r="F573" s="66">
        <f t="shared" ca="1" si="660"/>
        <v>2001</v>
      </c>
      <c r="G573" s="66">
        <f t="shared" ref="G573" ca="1" si="1164">VLOOKUP(INDIRECT(CHAR(39)&amp;$A573&amp;CHAR(39)&amp;"!r2c"&amp;$C573,0),variables,2,0)</f>
        <v>10979</v>
      </c>
      <c r="H573" s="71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2">
      <c r="A574" s="66" t="s">
        <v>1045</v>
      </c>
      <c r="B574" s="66">
        <f t="shared" si="1067"/>
        <v>4</v>
      </c>
      <c r="C574" s="66">
        <f t="shared" si="1068"/>
        <v>53</v>
      </c>
      <c r="E574" s="66">
        <f t="shared" ref="E574" si="1165">plan_id</f>
        <v>1952</v>
      </c>
      <c r="F574" s="66">
        <f t="shared" ca="1" si="660"/>
        <v>2001</v>
      </c>
      <c r="G574" s="66">
        <f t="shared" ref="G574" ca="1" si="1166">VLOOKUP(INDIRECT(CHAR(39)&amp;$A574&amp;CHAR(39)&amp;"!r2c"&amp;$C574,0),variables,2,0)</f>
        <v>10980</v>
      </c>
      <c r="H574" s="71" t="str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State Employees: 11.27% ;Teachers: 10.74%</v>
      </c>
    </row>
    <row r="575" spans="1:8" x14ac:dyDescent="0.2">
      <c r="A575" s="66" t="s">
        <v>1045</v>
      </c>
      <c r="B575" s="66">
        <f t="shared" si="1067"/>
        <v>4</v>
      </c>
      <c r="C575" s="66">
        <f t="shared" si="1068"/>
        <v>54</v>
      </c>
      <c r="E575" s="66">
        <f t="shared" ref="E575" si="1167">plan_id</f>
        <v>1952</v>
      </c>
      <c r="F575" s="66">
        <f t="shared" ca="1" si="660"/>
        <v>2001</v>
      </c>
      <c r="G575" s="66">
        <f t="shared" ref="G575" ca="1" si="1168">VLOOKUP(INDIRECT(CHAR(39)&amp;$A575&amp;CHAR(39)&amp;"!r2c"&amp;$C575,0),variables,2,0)</f>
        <v>10981</v>
      </c>
      <c r="H575" s="71" t="str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State Employees: -7.70% ;Teachers: -7.51%</v>
      </c>
    </row>
    <row r="576" spans="1:8" x14ac:dyDescent="0.2">
      <c r="A576" s="66" t="s">
        <v>1045</v>
      </c>
      <c r="B576" s="66">
        <f t="shared" si="1067"/>
        <v>4</v>
      </c>
      <c r="C576" s="66">
        <f t="shared" si="1068"/>
        <v>55</v>
      </c>
      <c r="E576" s="66">
        <f t="shared" ref="E576" si="1169">plan_id</f>
        <v>1952</v>
      </c>
      <c r="F576" s="66">
        <f t="shared" ca="1" si="660"/>
        <v>2001</v>
      </c>
      <c r="G576" s="66">
        <f t="shared" ref="G576" ca="1" si="1170">VLOOKUP(INDIRECT(CHAR(39)&amp;$A576&amp;CHAR(39)&amp;"!r2c"&amp;$C576,0),variables,2,0)</f>
        <v>10706</v>
      </c>
      <c r="H576" s="71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5.7425953012952668E-4</v>
      </c>
    </row>
    <row r="577" spans="1:8" x14ac:dyDescent="0.2">
      <c r="A577" s="66" t="s">
        <v>1045</v>
      </c>
      <c r="B577" s="66">
        <f t="shared" si="1067"/>
        <v>4</v>
      </c>
      <c r="C577" s="66">
        <f t="shared" si="1068"/>
        <v>56</v>
      </c>
      <c r="E577" s="66">
        <f t="shared" ref="E577" si="1171">plan_id</f>
        <v>1952</v>
      </c>
      <c r="F577" s="66">
        <f t="shared" ca="1" si="660"/>
        <v>2001</v>
      </c>
      <c r="G577" s="66">
        <f t="shared" ref="G577" ca="1" si="1172">VLOOKUP(INDIRECT(CHAR(39)&amp;$A577&amp;CHAR(39)&amp;"!r2c"&amp;$C577,0),variables,2,0)</f>
        <v>10983</v>
      </c>
      <c r="H577" s="71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2">
      <c r="A578" s="66" t="s">
        <v>1045</v>
      </c>
      <c r="B578" s="66">
        <f t="shared" si="1067"/>
        <v>4</v>
      </c>
      <c r="C578" s="66">
        <f t="shared" si="1068"/>
        <v>57</v>
      </c>
      <c r="E578" s="66">
        <f t="shared" ref="E578" si="1173">plan_id</f>
        <v>1952</v>
      </c>
      <c r="F578" s="66">
        <f t="shared" ca="1" si="660"/>
        <v>2001</v>
      </c>
      <c r="G578" s="66">
        <f t="shared" ref="G578" ca="1" si="1174">VLOOKUP(INDIRECT(CHAR(39)&amp;$A578&amp;CHAR(39)&amp;"!r2c"&amp;$C578,0),variables,2,0)</f>
        <v>10989</v>
      </c>
      <c r="H578" s="7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30361731000</v>
      </c>
    </row>
    <row r="579" spans="1:8" x14ac:dyDescent="0.2">
      <c r="A579" s="66" t="s">
        <v>1045</v>
      </c>
      <c r="B579" s="66">
        <f t="shared" si="1067"/>
        <v>4</v>
      </c>
      <c r="C579" s="66">
        <f t="shared" si="1068"/>
        <v>58</v>
      </c>
      <c r="E579" s="66">
        <f t="shared" ref="E579" si="1175">plan_id</f>
        <v>1952</v>
      </c>
      <c r="F579" s="66">
        <f t="shared" ca="1" si="660"/>
        <v>2001</v>
      </c>
      <c r="G579" s="66">
        <f t="shared" ref="G579" ca="1" si="1176">VLOOKUP(INDIRECT(CHAR(39)&amp;$A579&amp;CHAR(39)&amp;"!r2c"&amp;$C579,0),variables,2,0)</f>
        <v>10990</v>
      </c>
      <c r="H579" s="7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28528777000</v>
      </c>
    </row>
    <row r="580" spans="1:8" x14ac:dyDescent="0.2">
      <c r="A580" s="66" t="s">
        <v>1045</v>
      </c>
      <c r="B580" s="66">
        <f t="shared" si="1067"/>
        <v>4</v>
      </c>
      <c r="C580" s="66">
        <f t="shared" si="1068"/>
        <v>59</v>
      </c>
      <c r="E580" s="66">
        <f t="shared" ref="E580" si="1177">plan_id</f>
        <v>1952</v>
      </c>
      <c r="F580" s="66">
        <f t="shared" ca="1" si="660"/>
        <v>2001</v>
      </c>
      <c r="G580" s="66">
        <f t="shared" ref="G580" ca="1" si="1178">VLOOKUP(INDIRECT(CHAR(39)&amp;$A580&amp;CHAR(39)&amp;"!r2c"&amp;$C580,0),variables,2,0)</f>
        <v>10991</v>
      </c>
      <c r="H580" s="7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-1832954000</v>
      </c>
    </row>
    <row r="581" spans="1:8" x14ac:dyDescent="0.2">
      <c r="A581" s="66" t="s">
        <v>1045</v>
      </c>
      <c r="B581" s="66">
        <f t="shared" si="1067"/>
        <v>4</v>
      </c>
      <c r="C581" s="66">
        <f t="shared" si="1068"/>
        <v>60</v>
      </c>
      <c r="E581" s="66">
        <f t="shared" ref="E581" si="1179">plan_id</f>
        <v>1952</v>
      </c>
      <c r="F581" s="66">
        <f t="shared" ref="F581:F835" ca="1" si="1180">INDIRECT(CHAR(39)&amp;$A581&amp;CHAR(39)&amp;"!r"&amp;$B581&amp;"c2",0)</f>
        <v>2001</v>
      </c>
      <c r="G581" s="66">
        <f t="shared" ref="G581" ca="1" si="1181">VLOOKUP(INDIRECT(CHAR(39)&amp;$A581&amp;CHAR(39)&amp;"!r2c"&amp;$C581,0),variables,2,0)</f>
        <v>10992</v>
      </c>
      <c r="H581" s="71" t="str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State Employees: 106.8%; Teachers: 106.2%</v>
      </c>
    </row>
    <row r="582" spans="1:8" x14ac:dyDescent="0.2">
      <c r="A582" s="66" t="s">
        <v>1045</v>
      </c>
      <c r="B582" s="66">
        <f t="shared" si="1067"/>
        <v>4</v>
      </c>
      <c r="C582" s="66">
        <f t="shared" si="1068"/>
        <v>61</v>
      </c>
      <c r="E582" s="66">
        <f t="shared" ref="E582" si="1182">plan_id</f>
        <v>1952</v>
      </c>
      <c r="F582" s="66">
        <f t="shared" ca="1" si="1180"/>
        <v>2001</v>
      </c>
      <c r="G582" s="66">
        <f t="shared" ref="G582" ca="1" si="1183">VLOOKUP(INDIRECT(CHAR(39)&amp;$A582&amp;CHAR(39)&amp;"!r2c"&amp;$C582,0),variables,2,0)</f>
        <v>10993</v>
      </c>
      <c r="H582" s="7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7570507000</v>
      </c>
    </row>
    <row r="583" spans="1:8" x14ac:dyDescent="0.2">
      <c r="A583" s="66" t="s">
        <v>1045</v>
      </c>
      <c r="B583" s="66">
        <f t="shared" si="1067"/>
        <v>4</v>
      </c>
      <c r="C583" s="66">
        <f t="shared" si="1068"/>
        <v>62</v>
      </c>
      <c r="E583" s="66">
        <f t="shared" ref="E583" si="1184">plan_id</f>
        <v>1952</v>
      </c>
      <c r="F583" s="66">
        <f t="shared" ca="1" si="1180"/>
        <v>2001</v>
      </c>
      <c r="G583" s="66">
        <f t="shared" ref="G583" ca="1" si="1185">VLOOKUP(INDIRECT(CHAR(39)&amp;$A583&amp;CHAR(39)&amp;"!r2c"&amp;$C583,0),variables,2,0)</f>
        <v>10801</v>
      </c>
      <c r="H583" s="7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66" t="s">
        <v>1045</v>
      </c>
      <c r="B584" s="66">
        <f t="shared" si="1067"/>
        <v>4</v>
      </c>
      <c r="C584" s="66">
        <f t="shared" si="1068"/>
        <v>63</v>
      </c>
      <c r="E584" s="66">
        <f t="shared" ref="E584" si="1186">plan_id</f>
        <v>1952</v>
      </c>
      <c r="F584" s="66">
        <f t="shared" ca="1" si="1180"/>
        <v>2001</v>
      </c>
      <c r="G584" s="66">
        <f t="shared" ref="G584" ca="1" si="1187">VLOOKUP(INDIRECT(CHAR(39)&amp;$A584&amp;CHAR(39)&amp;"!r2c"&amp;$C584,0),variables,2,0)</f>
        <v>10802</v>
      </c>
      <c r="H584" s="7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66" t="s">
        <v>1045</v>
      </c>
      <c r="B585" s="66">
        <f t="shared" si="1067"/>
        <v>4</v>
      </c>
      <c r="C585" s="66">
        <f t="shared" si="1068"/>
        <v>64</v>
      </c>
      <c r="E585" s="66">
        <f t="shared" ref="E585" si="1188">plan_id</f>
        <v>1952</v>
      </c>
      <c r="F585" s="66">
        <f t="shared" ca="1" si="1180"/>
        <v>2001</v>
      </c>
      <c r="G585" s="66">
        <f t="shared" ref="G585" ca="1" si="1189">VLOOKUP(INDIRECT(CHAR(39)&amp;$A585&amp;CHAR(39)&amp;"!r2c"&amp;$C585,0),variables,2,0)</f>
        <v>10803</v>
      </c>
      <c r="H585" s="71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66" t="s">
        <v>1045</v>
      </c>
      <c r="B586" s="66">
        <f t="shared" si="1067"/>
        <v>4</v>
      </c>
      <c r="C586" s="66">
        <f t="shared" si="1068"/>
        <v>65</v>
      </c>
      <c r="E586" s="66">
        <f t="shared" ref="E586" si="1190">plan_id</f>
        <v>1952</v>
      </c>
      <c r="F586" s="66">
        <f t="shared" ca="1" si="1180"/>
        <v>2001</v>
      </c>
      <c r="G586" s="66">
        <f t="shared" ref="G586" ca="1" si="1191">VLOOKUP(INDIRECT(CHAR(39)&amp;$A586&amp;CHAR(39)&amp;"!r2c"&amp;$C586,0),variables,2,0)</f>
        <v>10804</v>
      </c>
      <c r="H586" s="7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66" t="s">
        <v>1045</v>
      </c>
      <c r="B587" s="66">
        <f t="shared" si="1067"/>
        <v>4</v>
      </c>
      <c r="C587" s="66">
        <f t="shared" si="1068"/>
        <v>66</v>
      </c>
      <c r="E587" s="66">
        <f t="shared" ref="E587" si="1192">plan_id</f>
        <v>1952</v>
      </c>
      <c r="F587" s="66">
        <f t="shared" ca="1" si="1180"/>
        <v>2001</v>
      </c>
      <c r="G587" s="66">
        <f t="shared" ref="G587" ca="1" si="1193">VLOOKUP(INDIRECT(CHAR(39)&amp;$A587&amp;CHAR(39)&amp;"!r2c"&amp;$C587,0),variables,2,0)</f>
        <v>10805</v>
      </c>
      <c r="H587" s="7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66" t="s">
        <v>1045</v>
      </c>
      <c r="B588" s="66">
        <f t="shared" si="1067"/>
        <v>4</v>
      </c>
      <c r="C588" s="66">
        <f t="shared" si="1068"/>
        <v>67</v>
      </c>
      <c r="E588" s="66">
        <f t="shared" ref="E588" si="1194">plan_id</f>
        <v>1952</v>
      </c>
      <c r="F588" s="66">
        <f t="shared" ca="1" si="1180"/>
        <v>2001</v>
      </c>
      <c r="G588" s="66">
        <f t="shared" ref="G588" ca="1" si="1195">VLOOKUP(INDIRECT(CHAR(39)&amp;$A588&amp;CHAR(39)&amp;"!r2c"&amp;$C588,0),variables,2,0)</f>
        <v>10806</v>
      </c>
      <c r="H588" s="7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66" t="s">
        <v>1045</v>
      </c>
      <c r="B589" s="66">
        <f t="shared" si="1067"/>
        <v>4</v>
      </c>
      <c r="C589" s="66">
        <f t="shared" si="1068"/>
        <v>68</v>
      </c>
      <c r="E589" s="66">
        <f t="shared" ref="E589" si="1196">plan_id</f>
        <v>1952</v>
      </c>
      <c r="F589" s="66">
        <f t="shared" ca="1" si="1180"/>
        <v>2001</v>
      </c>
      <c r="G589" s="66">
        <f t="shared" ref="G589" ca="1" si="1197">VLOOKUP(INDIRECT(CHAR(39)&amp;$A589&amp;CHAR(39)&amp;"!r2c"&amp;$C589,0),variables,2,0)</f>
        <v>10807</v>
      </c>
      <c r="H589" s="7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66" t="s">
        <v>1045</v>
      </c>
      <c r="B590" s="66">
        <f t="shared" ref="B590:B614" si="1198">B589</f>
        <v>4</v>
      </c>
      <c r="C590" s="66">
        <f t="shared" ref="C590:C614" si="1199">C589+1</f>
        <v>69</v>
      </c>
      <c r="E590" s="66">
        <f t="shared" ref="E590" si="1200">plan_id</f>
        <v>1952</v>
      </c>
      <c r="F590" s="66">
        <f t="shared" ca="1" si="1180"/>
        <v>2001</v>
      </c>
      <c r="G590" s="66">
        <f t="shared" ref="G590" ca="1" si="1201">VLOOKUP(INDIRECT(CHAR(39)&amp;$A590&amp;CHAR(39)&amp;"!r2c"&amp;$C590,0),variables,2,0)</f>
        <v>10808</v>
      </c>
      <c r="H590" s="7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66" t="s">
        <v>1045</v>
      </c>
      <c r="B591" s="66">
        <f t="shared" si="1198"/>
        <v>4</v>
      </c>
      <c r="C591" s="66">
        <f t="shared" si="1199"/>
        <v>70</v>
      </c>
      <c r="E591" s="66">
        <f t="shared" ref="E591" si="1202">plan_id</f>
        <v>1952</v>
      </c>
      <c r="F591" s="66">
        <f t="shared" ca="1" si="1180"/>
        <v>2001</v>
      </c>
      <c r="G591" s="66">
        <f t="shared" ref="G591" ca="1" si="1203">VLOOKUP(INDIRECT(CHAR(39)&amp;$A591&amp;CHAR(39)&amp;"!r2c"&amp;$C591,0),variables,2,0)</f>
        <v>10809</v>
      </c>
      <c r="H591" s="7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66" t="s">
        <v>1045</v>
      </c>
      <c r="B592" s="66">
        <f t="shared" si="1198"/>
        <v>4</v>
      </c>
      <c r="C592" s="66">
        <f t="shared" si="1199"/>
        <v>71</v>
      </c>
      <c r="E592" s="66">
        <f t="shared" ref="E592" si="1204">plan_id</f>
        <v>1952</v>
      </c>
      <c r="F592" s="66">
        <f t="shared" ca="1" si="1180"/>
        <v>2001</v>
      </c>
      <c r="G592" s="66">
        <f t="shared" ref="G592" ca="1" si="1205">VLOOKUP(INDIRECT(CHAR(39)&amp;$A592&amp;CHAR(39)&amp;"!r2c"&amp;$C592,0),variables,2,0)</f>
        <v>10810</v>
      </c>
      <c r="H592" s="71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66" t="s">
        <v>1045</v>
      </c>
      <c r="B593" s="66">
        <f t="shared" si="1198"/>
        <v>4</v>
      </c>
      <c r="C593" s="66">
        <f t="shared" si="1199"/>
        <v>72</v>
      </c>
      <c r="E593" s="66">
        <f t="shared" ref="E593" si="1206">plan_id</f>
        <v>1952</v>
      </c>
      <c r="F593" s="66">
        <f t="shared" ca="1" si="1180"/>
        <v>2001</v>
      </c>
      <c r="G593" s="66">
        <f t="shared" ref="G593" ca="1" si="1207">VLOOKUP(INDIRECT(CHAR(39)&amp;$A593&amp;CHAR(39)&amp;"!r2c"&amp;$C593,0),variables,2,0)</f>
        <v>10811</v>
      </c>
      <c r="H593" s="7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66" t="s">
        <v>1045</v>
      </c>
      <c r="B594" s="66">
        <f t="shared" si="1198"/>
        <v>4</v>
      </c>
      <c r="C594" s="66">
        <f t="shared" si="1199"/>
        <v>73</v>
      </c>
      <c r="E594" s="66">
        <f t="shared" ref="E594" si="1208">plan_id</f>
        <v>1952</v>
      </c>
      <c r="F594" s="66">
        <f t="shared" ca="1" si="1180"/>
        <v>2001</v>
      </c>
      <c r="G594" s="66">
        <f t="shared" ref="G594" ca="1" si="1209">VLOOKUP(INDIRECT(CHAR(39)&amp;$A594&amp;CHAR(39)&amp;"!r2c"&amp;$C594,0),variables,2,0)</f>
        <v>10812</v>
      </c>
      <c r="H594" s="7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66" t="s">
        <v>1045</v>
      </c>
      <c r="B595" s="66">
        <f t="shared" si="1198"/>
        <v>4</v>
      </c>
      <c r="C595" s="66">
        <f t="shared" si="1199"/>
        <v>74</v>
      </c>
      <c r="E595" s="66">
        <f t="shared" ref="E595" si="1210">plan_id</f>
        <v>1952</v>
      </c>
      <c r="F595" s="66">
        <f t="shared" ca="1" si="1180"/>
        <v>2001</v>
      </c>
      <c r="G595" s="66">
        <f t="shared" ref="G595" ca="1" si="1211">VLOOKUP(INDIRECT(CHAR(39)&amp;$A595&amp;CHAR(39)&amp;"!r2c"&amp;$C595,0),variables,2,0)</f>
        <v>10813</v>
      </c>
      <c r="H595" s="71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66" t="s">
        <v>1045</v>
      </c>
      <c r="B596" s="66">
        <f t="shared" si="1198"/>
        <v>4</v>
      </c>
      <c r="C596" s="66">
        <f t="shared" si="1199"/>
        <v>75</v>
      </c>
      <c r="E596" s="66">
        <f t="shared" ref="E596" si="1212">plan_id</f>
        <v>1952</v>
      </c>
      <c r="F596" s="66">
        <f t="shared" ca="1" si="1180"/>
        <v>2001</v>
      </c>
      <c r="G596" s="66">
        <f t="shared" ref="G596" ca="1" si="1213">VLOOKUP(INDIRECT(CHAR(39)&amp;$A596&amp;CHAR(39)&amp;"!r2c"&amp;$C596,0),variables,2,0)</f>
        <v>10814</v>
      </c>
      <c r="H596" s="71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66" t="s">
        <v>1045</v>
      </c>
      <c r="B597" s="66">
        <f t="shared" si="1198"/>
        <v>4</v>
      </c>
      <c r="C597" s="66">
        <f t="shared" si="1199"/>
        <v>76</v>
      </c>
      <c r="E597" s="66">
        <f t="shared" ref="E597" si="1214">plan_id</f>
        <v>1952</v>
      </c>
      <c r="F597" s="66">
        <f t="shared" ca="1" si="1180"/>
        <v>2001</v>
      </c>
      <c r="G597" s="66">
        <f t="shared" ref="G597" ca="1" si="1215">VLOOKUP(INDIRECT(CHAR(39)&amp;$A597&amp;CHAR(39)&amp;"!r2c"&amp;$C597,0),variables,2,0)</f>
        <v>10815</v>
      </c>
      <c r="H597" s="71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66" t="s">
        <v>1045</v>
      </c>
      <c r="B598" s="66">
        <f t="shared" si="1198"/>
        <v>4</v>
      </c>
      <c r="C598" s="66">
        <f t="shared" si="1199"/>
        <v>77</v>
      </c>
      <c r="E598" s="66">
        <f t="shared" ref="E598" si="1216">plan_id</f>
        <v>1952</v>
      </c>
      <c r="F598" s="66">
        <f t="shared" ca="1" si="1180"/>
        <v>2001</v>
      </c>
      <c r="G598" s="66">
        <f t="shared" ref="G598" ca="1" si="1217">VLOOKUP(INDIRECT(CHAR(39)&amp;$A598&amp;CHAR(39)&amp;"!r2c"&amp;$C598,0),variables,2,0)</f>
        <v>10816</v>
      </c>
      <c r="H598" s="7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66" t="s">
        <v>1045</v>
      </c>
      <c r="B599" s="66">
        <f t="shared" si="1198"/>
        <v>4</v>
      </c>
      <c r="C599" s="66">
        <f t="shared" si="1199"/>
        <v>78</v>
      </c>
      <c r="E599" s="66">
        <f t="shared" ref="E599" si="1218">plan_id</f>
        <v>1952</v>
      </c>
      <c r="F599" s="66">
        <f t="shared" ca="1" si="1180"/>
        <v>2001</v>
      </c>
      <c r="G599" s="66">
        <f t="shared" ref="G599" ca="1" si="1219">VLOOKUP(INDIRECT(CHAR(39)&amp;$A599&amp;CHAR(39)&amp;"!r2c"&amp;$C599,0),variables,2,0)</f>
        <v>10817</v>
      </c>
      <c r="H599" s="7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66" t="s">
        <v>1045</v>
      </c>
      <c r="B600" s="66">
        <f t="shared" si="1198"/>
        <v>4</v>
      </c>
      <c r="C600" s="66">
        <f t="shared" si="1199"/>
        <v>79</v>
      </c>
      <c r="E600" s="66">
        <f t="shared" ref="E600" si="1220">plan_id</f>
        <v>1952</v>
      </c>
      <c r="F600" s="66">
        <f t="shared" ca="1" si="1180"/>
        <v>2001</v>
      </c>
      <c r="G600" s="66">
        <f t="shared" ref="G600" ca="1" si="1221">VLOOKUP(INDIRECT(CHAR(39)&amp;$A600&amp;CHAR(39)&amp;"!r2c"&amp;$C600,0),variables,2,0)</f>
        <v>10818</v>
      </c>
      <c r="H600" s="71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66" t="s">
        <v>1045</v>
      </c>
      <c r="B601" s="66">
        <f t="shared" si="1198"/>
        <v>4</v>
      </c>
      <c r="C601" s="66">
        <f t="shared" si="1199"/>
        <v>80</v>
      </c>
      <c r="E601" s="66">
        <f t="shared" ref="E601" si="1222">plan_id</f>
        <v>1952</v>
      </c>
      <c r="F601" s="66">
        <f t="shared" ca="1" si="1180"/>
        <v>2001</v>
      </c>
      <c r="G601" s="66">
        <f t="shared" ref="G601" ca="1" si="1223">VLOOKUP(INDIRECT(CHAR(39)&amp;$A601&amp;CHAR(39)&amp;"!r2c"&amp;$C601,0),variables,2,0)</f>
        <v>10819</v>
      </c>
      <c r="H601" s="71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66" t="s">
        <v>1045</v>
      </c>
      <c r="B602" s="66">
        <f t="shared" si="1198"/>
        <v>4</v>
      </c>
      <c r="C602" s="66">
        <f t="shared" si="1199"/>
        <v>81</v>
      </c>
      <c r="E602" s="66">
        <f t="shared" ref="E602" si="1224">plan_id</f>
        <v>1952</v>
      </c>
      <c r="F602" s="66">
        <f t="shared" ca="1" si="1180"/>
        <v>2001</v>
      </c>
      <c r="G602" s="66">
        <f t="shared" ref="G602" ca="1" si="1225">VLOOKUP(INDIRECT(CHAR(39)&amp;$A602&amp;CHAR(39)&amp;"!r2c"&amp;$C602,0),variables,2,0)</f>
        <v>10820</v>
      </c>
      <c r="H602" s="71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66" t="s">
        <v>1045</v>
      </c>
      <c r="B603" s="66">
        <f t="shared" si="1198"/>
        <v>4</v>
      </c>
      <c r="C603" s="66">
        <f t="shared" si="1199"/>
        <v>82</v>
      </c>
      <c r="E603" s="66">
        <f t="shared" ref="E603" si="1226">plan_id</f>
        <v>1952</v>
      </c>
      <c r="F603" s="66">
        <f t="shared" ca="1" si="1180"/>
        <v>2001</v>
      </c>
      <c r="G603" s="66">
        <f t="shared" ref="G603" ca="1" si="1227">VLOOKUP(INDIRECT(CHAR(39)&amp;$A603&amp;CHAR(39)&amp;"!r2c"&amp;$C603,0),variables,2,0)</f>
        <v>10821</v>
      </c>
      <c r="H603" s="71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66" t="s">
        <v>1045</v>
      </c>
      <c r="B604" s="66">
        <f t="shared" si="1198"/>
        <v>4</v>
      </c>
      <c r="C604" s="66">
        <f t="shared" si="1199"/>
        <v>83</v>
      </c>
      <c r="E604" s="66">
        <f t="shared" ref="E604" si="1228">plan_id</f>
        <v>1952</v>
      </c>
      <c r="F604" s="66">
        <f t="shared" ca="1" si="1180"/>
        <v>2001</v>
      </c>
      <c r="G604" s="66">
        <f t="shared" ref="G604" ca="1" si="1229">VLOOKUP(INDIRECT(CHAR(39)&amp;$A604&amp;CHAR(39)&amp;"!r2c"&amp;$C604,0),variables,2,0)</f>
        <v>10822</v>
      </c>
      <c r="H604" s="71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66" t="s">
        <v>1045</v>
      </c>
      <c r="B605" s="66">
        <f t="shared" si="1198"/>
        <v>4</v>
      </c>
      <c r="C605" s="66">
        <f t="shared" si="1199"/>
        <v>84</v>
      </c>
      <c r="E605" s="66">
        <f t="shared" ref="E605" si="1230">plan_id</f>
        <v>1952</v>
      </c>
      <c r="F605" s="66">
        <f t="shared" ca="1" si="1180"/>
        <v>2001</v>
      </c>
      <c r="G605" s="66">
        <f t="shared" ref="G605" ca="1" si="1231">VLOOKUP(INDIRECT(CHAR(39)&amp;$A605&amp;CHAR(39)&amp;"!r2c"&amp;$C605,0),variables,2,0)</f>
        <v>10829</v>
      </c>
      <c r="H605" s="71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66" t="s">
        <v>1045</v>
      </c>
      <c r="B606" s="66">
        <f t="shared" si="1198"/>
        <v>4</v>
      </c>
      <c r="C606" s="66">
        <f t="shared" si="1199"/>
        <v>85</v>
      </c>
      <c r="E606" s="66">
        <f t="shared" ref="E606" si="1232">plan_id</f>
        <v>1952</v>
      </c>
      <c r="F606" s="66">
        <f t="shared" ca="1" si="1180"/>
        <v>2001</v>
      </c>
      <c r="G606" s="66">
        <f t="shared" ref="G606" ca="1" si="1233">VLOOKUP(INDIRECT(CHAR(39)&amp;$A606&amp;CHAR(39)&amp;"!r2c"&amp;$C606,0),variables,2,0)</f>
        <v>10823</v>
      </c>
      <c r="H606" s="71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66" t="s">
        <v>1045</v>
      </c>
      <c r="B607" s="66">
        <f t="shared" si="1198"/>
        <v>4</v>
      </c>
      <c r="C607" s="66">
        <f t="shared" si="1199"/>
        <v>86</v>
      </c>
      <c r="E607" s="66">
        <f t="shared" ref="E607" si="1234">plan_id</f>
        <v>1952</v>
      </c>
      <c r="F607" s="66">
        <f t="shared" ca="1" si="1180"/>
        <v>2001</v>
      </c>
      <c r="G607" s="66">
        <f t="shared" ref="G607" ca="1" si="1235">VLOOKUP(INDIRECT(CHAR(39)&amp;$A607&amp;CHAR(39)&amp;"!r2c"&amp;$C607,0),variables,2,0)</f>
        <v>10798</v>
      </c>
      <c r="H607" s="71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66" t="s">
        <v>1045</v>
      </c>
      <c r="B608" s="66">
        <f t="shared" si="1198"/>
        <v>4</v>
      </c>
      <c r="C608" s="66">
        <f t="shared" si="1199"/>
        <v>87</v>
      </c>
      <c r="E608" s="66">
        <f t="shared" ref="E608" si="1236">plan_id</f>
        <v>1952</v>
      </c>
      <c r="F608" s="66">
        <f t="shared" ca="1" si="1180"/>
        <v>2001</v>
      </c>
      <c r="G608" s="66">
        <f t="shared" ref="G608" ca="1" si="1237">VLOOKUP(INDIRECT(CHAR(39)&amp;$A608&amp;CHAR(39)&amp;"!r2c"&amp;$C608,0),variables,2,0)</f>
        <v>10799</v>
      </c>
      <c r="H608" s="7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66" t="s">
        <v>1045</v>
      </c>
      <c r="B609" s="66">
        <f t="shared" si="1198"/>
        <v>4</v>
      </c>
      <c r="C609" s="66">
        <f t="shared" si="1199"/>
        <v>88</v>
      </c>
      <c r="E609" s="66">
        <f t="shared" ref="E609" si="1238">plan_id</f>
        <v>1952</v>
      </c>
      <c r="F609" s="66">
        <f t="shared" ca="1" si="1180"/>
        <v>2001</v>
      </c>
      <c r="G609" s="66">
        <f t="shared" ref="G609" ca="1" si="1239">VLOOKUP(INDIRECT(CHAR(39)&amp;$A609&amp;CHAR(39)&amp;"!r2c"&amp;$C609,0),variables,2,0)</f>
        <v>10800</v>
      </c>
      <c r="H609" s="7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66" t="s">
        <v>1045</v>
      </c>
      <c r="B610" s="66">
        <f t="shared" si="1198"/>
        <v>4</v>
      </c>
      <c r="C610" s="66">
        <f t="shared" si="1199"/>
        <v>89</v>
      </c>
      <c r="E610" s="66">
        <f t="shared" ref="E610" si="1240">plan_id</f>
        <v>1952</v>
      </c>
      <c r="F610" s="66">
        <f t="shared" ca="1" si="1180"/>
        <v>2001</v>
      </c>
      <c r="G610" s="66">
        <f t="shared" ref="G610" ca="1" si="1241">VLOOKUP(INDIRECT(CHAR(39)&amp;$A610&amp;CHAR(39)&amp;"!r2c"&amp;$C610,0),variables,2,0)</f>
        <v>10824</v>
      </c>
      <c r="H610" s="7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66" t="s">
        <v>1045</v>
      </c>
      <c r="B611" s="66">
        <f t="shared" si="1198"/>
        <v>4</v>
      </c>
      <c r="C611" s="66">
        <f t="shared" si="1199"/>
        <v>90</v>
      </c>
      <c r="E611" s="66">
        <f t="shared" ref="E611" si="1242">plan_id</f>
        <v>1952</v>
      </c>
      <c r="F611" s="66">
        <f t="shared" ca="1" si="1180"/>
        <v>2001</v>
      </c>
      <c r="G611" s="66">
        <f t="shared" ref="G611" ca="1" si="1243">VLOOKUP(INDIRECT(CHAR(39)&amp;$A611&amp;CHAR(39)&amp;"!r2c"&amp;$C611,0),variables,2,0)</f>
        <v>10825</v>
      </c>
      <c r="H611" s="71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66" t="s">
        <v>1045</v>
      </c>
      <c r="B612" s="66">
        <f t="shared" si="1198"/>
        <v>4</v>
      </c>
      <c r="C612" s="66">
        <f t="shared" si="1199"/>
        <v>91</v>
      </c>
      <c r="E612" s="66">
        <f t="shared" ref="E612" si="1244">plan_id</f>
        <v>1952</v>
      </c>
      <c r="F612" s="66">
        <f t="shared" ca="1" si="1180"/>
        <v>2001</v>
      </c>
      <c r="G612" s="66">
        <f t="shared" ref="G612" ca="1" si="1245">VLOOKUP(INDIRECT(CHAR(39)&amp;$A612&amp;CHAR(39)&amp;"!r2c"&amp;$C612,0),variables,2,0)</f>
        <v>10826</v>
      </c>
      <c r="H612" s="71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66" t="s">
        <v>1045</v>
      </c>
      <c r="B613" s="66">
        <f t="shared" si="1198"/>
        <v>4</v>
      </c>
      <c r="C613" s="66">
        <f t="shared" si="1199"/>
        <v>92</v>
      </c>
      <c r="E613" s="66">
        <f t="shared" ref="E613" si="1246">plan_id</f>
        <v>1952</v>
      </c>
      <c r="F613" s="66">
        <f t="shared" ca="1" si="1180"/>
        <v>2001</v>
      </c>
      <c r="G613" s="66">
        <f t="shared" ref="G613" ca="1" si="1247">VLOOKUP(INDIRECT(CHAR(39)&amp;$A613&amp;CHAR(39)&amp;"!r2c"&amp;$C613,0),variables,2,0)</f>
        <v>10828</v>
      </c>
      <c r="H613" s="71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66" t="s">
        <v>1045</v>
      </c>
      <c r="B614" s="66">
        <f t="shared" si="1198"/>
        <v>4</v>
      </c>
      <c r="C614" s="66">
        <f t="shared" si="1199"/>
        <v>93</v>
      </c>
      <c r="E614" s="66">
        <f t="shared" ref="E614" si="1248">plan_id</f>
        <v>1952</v>
      </c>
      <c r="F614" s="66">
        <f t="shared" ca="1" si="1180"/>
        <v>2001</v>
      </c>
      <c r="G614" s="66">
        <f t="shared" ref="G614" ca="1" si="1249">VLOOKUP(INDIRECT(CHAR(39)&amp;$A614&amp;CHAR(39)&amp;"!r2c"&amp;$C614,0),variables,2,0)</f>
        <v>10827</v>
      </c>
      <c r="H614" s="71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66" t="s">
        <v>1045</v>
      </c>
      <c r="B615" s="66">
        <f t="shared" ref="B615:B678" si="1250">B550+1</f>
        <v>5</v>
      </c>
      <c r="C615" s="66">
        <f t="shared" ref="C615:C678" si="1251">C524</f>
        <v>3</v>
      </c>
      <c r="E615" s="66">
        <f t="shared" ref="E615" si="1252">plan_id</f>
        <v>1952</v>
      </c>
      <c r="F615" s="66">
        <f t="shared" ca="1" si="1180"/>
        <v>2002</v>
      </c>
      <c r="G615" s="66">
        <f t="shared" ref="G615" ca="1" si="1253">VLOOKUP(INDIRECT(CHAR(39)&amp;$A615&amp;CHAR(39)&amp;"!r2c"&amp;$C615,0),variables,2,0)</f>
        <v>10703</v>
      </c>
      <c r="H615" s="71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2004 - 2006</v>
      </c>
    </row>
    <row r="616" spans="1:8" x14ac:dyDescent="0.2">
      <c r="A616" s="66" t="s">
        <v>1045</v>
      </c>
      <c r="B616" s="66">
        <f t="shared" si="1250"/>
        <v>5</v>
      </c>
      <c r="C616" s="66">
        <f t="shared" si="1251"/>
        <v>4</v>
      </c>
      <c r="E616" s="66">
        <f t="shared" ref="E616" si="1254">plan_id</f>
        <v>1952</v>
      </c>
      <c r="F616" s="66">
        <f t="shared" ca="1" si="1180"/>
        <v>2002</v>
      </c>
      <c r="G616" s="66">
        <f t="shared" ref="G616" ca="1" si="1255">VLOOKUP(INDIRECT(CHAR(39)&amp;$A616&amp;CHAR(39)&amp;"!r2c"&amp;$C616,0),variables,2,0)</f>
        <v>10845</v>
      </c>
      <c r="H616" s="71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GABRIEL,ROEDER,SMITH &amp; COMPANY</v>
      </c>
    </row>
    <row r="617" spans="1:8" x14ac:dyDescent="0.2">
      <c r="A617" s="66" t="s">
        <v>1045</v>
      </c>
      <c r="B617" s="66">
        <f t="shared" si="1250"/>
        <v>5</v>
      </c>
      <c r="C617" s="66">
        <f t="shared" si="1251"/>
        <v>5</v>
      </c>
      <c r="E617" s="66">
        <f t="shared" ref="E617" si="1256">plan_id</f>
        <v>1952</v>
      </c>
      <c r="F617" s="66">
        <f t="shared" ca="1" si="1180"/>
        <v>2002</v>
      </c>
      <c r="G617" s="66">
        <f t="shared" ref="G617" ca="1" si="1257">VLOOKUP(INDIRECT(CHAR(39)&amp;$A617&amp;CHAR(39)&amp;"!r2c"&amp;$C617,0),variables,2,0)</f>
        <v>10924</v>
      </c>
      <c r="H617" s="71" t="str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(i)9%; (ii)11.03%</v>
      </c>
    </row>
    <row r="618" spans="1:8" x14ac:dyDescent="0.2">
      <c r="A618" s="66" t="s">
        <v>1045</v>
      </c>
      <c r="B618" s="66">
        <f t="shared" si="1250"/>
        <v>5</v>
      </c>
      <c r="C618" s="66">
        <f t="shared" si="1251"/>
        <v>6</v>
      </c>
      <c r="E618" s="66">
        <f t="shared" ref="E618" si="1258">plan_id</f>
        <v>1952</v>
      </c>
      <c r="F618" s="66">
        <f t="shared" ca="1" si="1180"/>
        <v>2002</v>
      </c>
      <c r="G618" s="66">
        <f t="shared" ref="G618" ca="1" si="1259">VLOOKUP(INDIRECT(CHAR(39)&amp;$A618&amp;CHAR(39)&amp;"!r2c"&amp;$C618,0),variables,2,0)</f>
        <v>10925</v>
      </c>
      <c r="H618" s="71" t="str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(i)4%; (ii)6.03%</v>
      </c>
    </row>
    <row r="619" spans="1:8" x14ac:dyDescent="0.2">
      <c r="A619" s="66" t="s">
        <v>1045</v>
      </c>
      <c r="B619" s="66">
        <f t="shared" si="1250"/>
        <v>5</v>
      </c>
      <c r="C619" s="66">
        <f t="shared" si="1251"/>
        <v>7</v>
      </c>
      <c r="E619" s="66">
        <f t="shared" ref="E619" si="1260">plan_id</f>
        <v>1952</v>
      </c>
      <c r="F619" s="66">
        <f t="shared" ca="1" si="1180"/>
        <v>2002</v>
      </c>
      <c r="G619" s="66">
        <f t="shared" ref="G619" ca="1" si="1261">VLOOKUP(INDIRECT(CHAR(39)&amp;$A619&amp;CHAR(39)&amp;"!r2c"&amp;$C619,0),variables,2,0)</f>
        <v>10926</v>
      </c>
      <c r="H619" s="71" t="str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(i)5%; (ii)5%</v>
      </c>
    </row>
    <row r="620" spans="1:8" x14ac:dyDescent="0.2">
      <c r="A620" s="66" t="s">
        <v>1045</v>
      </c>
      <c r="B620" s="66">
        <f t="shared" si="1250"/>
        <v>5</v>
      </c>
      <c r="C620" s="66">
        <f t="shared" si="1251"/>
        <v>8</v>
      </c>
      <c r="E620" s="66">
        <f t="shared" ref="E620" si="1262">plan_id</f>
        <v>1952</v>
      </c>
      <c r="F620" s="66">
        <f t="shared" ca="1" si="1180"/>
        <v>2002</v>
      </c>
      <c r="G620" s="66">
        <f t="shared" ref="G620" ca="1" si="1263">VLOOKUP(INDIRECT(CHAR(39)&amp;$A620&amp;CHAR(39)&amp;"!r2c"&amp;$C620,0),variables,2,0)</f>
        <v>10704</v>
      </c>
      <c r="H620" s="71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66" t="s">
        <v>1045</v>
      </c>
      <c r="B621" s="66">
        <f t="shared" si="1250"/>
        <v>5</v>
      </c>
      <c r="C621" s="66">
        <f t="shared" si="1251"/>
        <v>9</v>
      </c>
      <c r="E621" s="66">
        <f t="shared" ref="E621" si="1264">plan_id</f>
        <v>1952</v>
      </c>
      <c r="F621" s="66">
        <f t="shared" ca="1" si="1180"/>
        <v>2002</v>
      </c>
      <c r="G621" s="66">
        <f t="shared" ref="G621" ca="1" si="1265">VLOOKUP(INDIRECT(CHAR(39)&amp;$A621&amp;CHAR(39)&amp;"!r2c"&amp;$C621,0),variables,2,0)</f>
        <v>10928</v>
      </c>
      <c r="H621" s="71" t="str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(i)-0.96%; (ii)0.52%</v>
      </c>
    </row>
    <row r="622" spans="1:8" x14ac:dyDescent="0.2">
      <c r="A622" s="66" t="s">
        <v>1045</v>
      </c>
      <c r="B622" s="66">
        <f t="shared" si="1250"/>
        <v>5</v>
      </c>
      <c r="C622" s="66">
        <f t="shared" si="1251"/>
        <v>10</v>
      </c>
      <c r="E622" s="66">
        <f t="shared" ref="E622" si="1266">plan_id</f>
        <v>1952</v>
      </c>
      <c r="F622" s="66">
        <f t="shared" ca="1" si="1180"/>
        <v>2002</v>
      </c>
      <c r="G622" s="66">
        <f t="shared" ref="G622" ca="1" si="1267">VLOOKUP(INDIRECT(CHAR(39)&amp;$A622&amp;CHAR(39)&amp;"!r2c"&amp;$C622,0),variables,2,0)</f>
        <v>10929</v>
      </c>
      <c r="H622" s="71" t="str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(i)-0.96%; (ii)0.52%</v>
      </c>
    </row>
    <row r="623" spans="1:8" x14ac:dyDescent="0.2">
      <c r="A623" s="66" t="s">
        <v>1045</v>
      </c>
      <c r="B623" s="66">
        <f t="shared" si="1250"/>
        <v>5</v>
      </c>
      <c r="C623" s="66">
        <f t="shared" si="1251"/>
        <v>11</v>
      </c>
      <c r="E623" s="66">
        <f t="shared" ref="E623" si="1268">plan_id</f>
        <v>1952</v>
      </c>
      <c r="F623" s="66">
        <f t="shared" ca="1" si="1180"/>
        <v>2002</v>
      </c>
      <c r="G623" s="66">
        <f t="shared" ref="G623" ca="1" si="1269">VLOOKUP(INDIRECT(CHAR(39)&amp;$A623&amp;CHAR(39)&amp;"!r2c"&amp;$C623,0),variables,2,0)</f>
        <v>10930</v>
      </c>
      <c r="H623" s="71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66" t="s">
        <v>1045</v>
      </c>
      <c r="B624" s="66">
        <f t="shared" si="1250"/>
        <v>5</v>
      </c>
      <c r="C624" s="66">
        <f t="shared" si="1251"/>
        <v>12</v>
      </c>
      <c r="E624" s="66">
        <f t="shared" ref="E624" si="1270">plan_id</f>
        <v>1952</v>
      </c>
      <c r="F624" s="66">
        <f t="shared" ca="1" si="1180"/>
        <v>2002</v>
      </c>
      <c r="G624" s="66">
        <f t="shared" ref="G624" ca="1" si="1271">VLOOKUP(INDIRECT(CHAR(39)&amp;$A624&amp;CHAR(39)&amp;"!r2c"&amp;$C624,0),variables,2,0)</f>
        <v>10705</v>
      </c>
      <c r="H624" s="7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446381000</v>
      </c>
    </row>
    <row r="625" spans="1:8" x14ac:dyDescent="0.2">
      <c r="A625" s="66" t="s">
        <v>1045</v>
      </c>
      <c r="B625" s="66">
        <f t="shared" si="1250"/>
        <v>5</v>
      </c>
      <c r="C625" s="66">
        <f t="shared" si="1251"/>
        <v>13</v>
      </c>
      <c r="E625" s="66">
        <f t="shared" ref="E625" si="1272">plan_id</f>
        <v>1952</v>
      </c>
      <c r="F625" s="66">
        <f t="shared" ca="1" si="1180"/>
        <v>2002</v>
      </c>
      <c r="G625" s="66">
        <f t="shared" ref="G625" ca="1" si="1273">VLOOKUP(INDIRECT(CHAR(39)&amp;$A625&amp;CHAR(39)&amp;"!r2c"&amp;$C625,0),variables,2,0)</f>
        <v>10842</v>
      </c>
      <c r="H625" s="71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66" t="s">
        <v>1045</v>
      </c>
      <c r="B626" s="66">
        <f t="shared" si="1250"/>
        <v>5</v>
      </c>
      <c r="C626" s="66">
        <f t="shared" si="1251"/>
        <v>14</v>
      </c>
      <c r="E626" s="66">
        <f t="shared" ref="E626" si="1274">plan_id</f>
        <v>1952</v>
      </c>
      <c r="F626" s="66">
        <f t="shared" ca="1" si="1180"/>
        <v>2002</v>
      </c>
      <c r="G626" s="66">
        <f t="shared" ref="G626" ca="1" si="1275">VLOOKUP(INDIRECT(CHAR(39)&amp;$A626&amp;CHAR(39)&amp;"!r2c"&amp;$C626,0),variables,2,0)</f>
        <v>10843</v>
      </c>
      <c r="H626" s="71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66" t="s">
        <v>1045</v>
      </c>
      <c r="B627" s="66">
        <f t="shared" si="1250"/>
        <v>5</v>
      </c>
      <c r="C627" s="66">
        <f t="shared" si="1251"/>
        <v>15</v>
      </c>
      <c r="E627" s="66">
        <f t="shared" ref="E627" si="1276">plan_id</f>
        <v>1952</v>
      </c>
      <c r="F627" s="66">
        <f t="shared" ca="1" si="1180"/>
        <v>2002</v>
      </c>
      <c r="G627" s="66">
        <f t="shared" ref="G627" ca="1" si="1277">VLOOKUP(INDIRECT(CHAR(39)&amp;$A627&amp;CHAR(39)&amp;"!r2c"&amp;$C627,0),variables,2,0)</f>
        <v>10931</v>
      </c>
      <c r="H627" s="7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66" t="s">
        <v>1045</v>
      </c>
      <c r="B628" s="66">
        <f t="shared" si="1250"/>
        <v>5</v>
      </c>
      <c r="C628" s="66">
        <f t="shared" si="1251"/>
        <v>16</v>
      </c>
      <c r="E628" s="66">
        <f t="shared" ref="E628" si="1278">plan_id</f>
        <v>1952</v>
      </c>
      <c r="F628" s="66">
        <f t="shared" ca="1" si="1180"/>
        <v>2002</v>
      </c>
      <c r="G628" s="66">
        <f t="shared" ref="G628" ca="1" si="1279">VLOOKUP(INDIRECT(CHAR(39)&amp;$A628&amp;CHAR(39)&amp;"!r2c"&amp;$C628,0),variables,2,0)</f>
        <v>10932</v>
      </c>
      <c r="H628" s="7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66" t="s">
        <v>1045</v>
      </c>
      <c r="B629" s="66">
        <f t="shared" si="1250"/>
        <v>5</v>
      </c>
      <c r="C629" s="66">
        <f t="shared" si="1251"/>
        <v>17</v>
      </c>
      <c r="E629" s="66">
        <f t="shared" ref="E629" si="1280">plan_id</f>
        <v>1952</v>
      </c>
      <c r="F629" s="66">
        <f t="shared" ca="1" si="1180"/>
        <v>2002</v>
      </c>
      <c r="G629" s="66">
        <f t="shared" ref="G629" ca="1" si="1281">VLOOKUP(INDIRECT(CHAR(39)&amp;$A629&amp;CHAR(39)&amp;"!r2c"&amp;$C629,0),variables,2,0)</f>
        <v>10933</v>
      </c>
      <c r="H629" s="71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(i)3.04%; (ii)6.55%</v>
      </c>
    </row>
    <row r="630" spans="1:8" x14ac:dyDescent="0.2">
      <c r="A630" s="66" t="s">
        <v>1045</v>
      </c>
      <c r="B630" s="66">
        <f t="shared" si="1250"/>
        <v>5</v>
      </c>
      <c r="C630" s="66">
        <f t="shared" si="1251"/>
        <v>18</v>
      </c>
      <c r="E630" s="66">
        <f t="shared" ref="E630" si="1282">plan_id</f>
        <v>1952</v>
      </c>
      <c r="F630" s="66">
        <f t="shared" ca="1" si="1180"/>
        <v>2002</v>
      </c>
      <c r="G630" s="66">
        <f t="shared" ref="G630" ca="1" si="1283">VLOOKUP(INDIRECT(CHAR(39)&amp;$A630&amp;CHAR(39)&amp;"!r2c"&amp;$C630,0),variables,2,0)</f>
        <v>10934</v>
      </c>
      <c r="H630" s="71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(i)5%; (ii)5%</v>
      </c>
    </row>
    <row r="631" spans="1:8" x14ac:dyDescent="0.2">
      <c r="A631" s="66" t="s">
        <v>1045</v>
      </c>
      <c r="B631" s="66">
        <f t="shared" si="1250"/>
        <v>5</v>
      </c>
      <c r="C631" s="66">
        <f t="shared" si="1251"/>
        <v>19</v>
      </c>
      <c r="E631" s="66">
        <f t="shared" ref="E631" si="1284">plan_id</f>
        <v>1952</v>
      </c>
      <c r="F631" s="66">
        <f t="shared" ca="1" si="1180"/>
        <v>2002</v>
      </c>
      <c r="G631" s="66">
        <f t="shared" ref="G631" ca="1" si="1285">VLOOKUP(INDIRECT(CHAR(39)&amp;$A631&amp;CHAR(39)&amp;"!r2c"&amp;$C631,0),variables,2,0)</f>
        <v>10935</v>
      </c>
      <c r="H631" s="71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</v>
      </c>
    </row>
    <row r="632" spans="1:8" x14ac:dyDescent="0.2">
      <c r="A632" s="66" t="s">
        <v>1045</v>
      </c>
      <c r="B632" s="66">
        <f t="shared" si="1250"/>
        <v>5</v>
      </c>
      <c r="C632" s="66">
        <f t="shared" si="1251"/>
        <v>20</v>
      </c>
      <c r="E632" s="66">
        <f t="shared" ref="E632" si="1286">plan_id</f>
        <v>1952</v>
      </c>
      <c r="F632" s="66">
        <f t="shared" ca="1" si="1180"/>
        <v>2002</v>
      </c>
      <c r="G632" s="66">
        <f t="shared" ref="G632" ca="1" si="1287">VLOOKUP(INDIRECT(CHAR(39)&amp;$A632&amp;CHAR(39)&amp;"!r2c"&amp;$C632,0),variables,2,0)</f>
        <v>10937</v>
      </c>
      <c r="H632" s="71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66" t="s">
        <v>1045</v>
      </c>
      <c r="B633" s="66">
        <f t="shared" si="1250"/>
        <v>5</v>
      </c>
      <c r="C633" s="66">
        <f t="shared" si="1251"/>
        <v>21</v>
      </c>
      <c r="E633" s="66">
        <f t="shared" ref="E633" si="1288">plan_id</f>
        <v>1952</v>
      </c>
      <c r="F633" s="66">
        <f t="shared" ca="1" si="1180"/>
        <v>2002</v>
      </c>
      <c r="G633" s="66">
        <f t="shared" ref="G633" ca="1" si="1289">VLOOKUP(INDIRECT(CHAR(39)&amp;$A633&amp;CHAR(39)&amp;"!r2c"&amp;$C633,0),variables,2,0)</f>
        <v>10938</v>
      </c>
      <c r="H633" s="7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66" t="s">
        <v>1045</v>
      </c>
      <c r="B634" s="66">
        <f t="shared" si="1250"/>
        <v>5</v>
      </c>
      <c r="C634" s="66">
        <f t="shared" si="1251"/>
        <v>22</v>
      </c>
      <c r="E634" s="66">
        <f t="shared" ref="E634" si="1290">plan_id</f>
        <v>1952</v>
      </c>
      <c r="F634" s="66">
        <f t="shared" ca="1" si="1180"/>
        <v>2002</v>
      </c>
      <c r="G634" s="66">
        <f t="shared" ref="G634" ca="1" si="1291">VLOOKUP(INDIRECT(CHAR(39)&amp;$A634&amp;CHAR(39)&amp;"!r2c"&amp;$C634,0),variables,2,0)</f>
        <v>11007</v>
      </c>
      <c r="H634" s="71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1.7% of AFC times years of service</v>
      </c>
    </row>
    <row r="635" spans="1:8" x14ac:dyDescent="0.2">
      <c r="A635" s="66" t="s">
        <v>1045</v>
      </c>
      <c r="B635" s="66">
        <f t="shared" si="1250"/>
        <v>5</v>
      </c>
      <c r="C635" s="66">
        <f t="shared" si="1251"/>
        <v>23</v>
      </c>
      <c r="E635" s="66">
        <f t="shared" ref="E635" si="1292">plan_id</f>
        <v>1952</v>
      </c>
      <c r="F635" s="66">
        <f t="shared" ca="1" si="1180"/>
        <v>2002</v>
      </c>
      <c r="G635" s="66">
        <f t="shared" ref="G635" ca="1" si="1293">VLOOKUP(INDIRECT(CHAR(39)&amp;$A635&amp;CHAR(39)&amp;"!r2c"&amp;$C635,0),variables,2,0)</f>
        <v>10941</v>
      </c>
      <c r="H635" s="71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2">
      <c r="A636" s="66" t="s">
        <v>1045</v>
      </c>
      <c r="B636" s="66">
        <f t="shared" si="1250"/>
        <v>5</v>
      </c>
      <c r="C636" s="66">
        <f t="shared" si="1251"/>
        <v>24</v>
      </c>
      <c r="E636" s="66">
        <f t="shared" ref="E636" si="1294">plan_id</f>
        <v>1952</v>
      </c>
      <c r="F636" s="66">
        <f t="shared" ca="1" si="1180"/>
        <v>2002</v>
      </c>
      <c r="G636" s="66">
        <f t="shared" ref="G636" ca="1" si="1295">VLOOKUP(INDIRECT(CHAR(39)&amp;$A636&amp;CHAR(39)&amp;"!r2c"&amp;$C636,0),variables,2,0)</f>
        <v>10942</v>
      </c>
      <c r="H636" s="71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2">
      <c r="A637" s="66" t="s">
        <v>1045</v>
      </c>
      <c r="B637" s="66">
        <f t="shared" si="1250"/>
        <v>5</v>
      </c>
      <c r="C637" s="66">
        <f t="shared" si="1251"/>
        <v>25</v>
      </c>
      <c r="E637" s="66">
        <f t="shared" ref="E637" si="1296">plan_id</f>
        <v>1952</v>
      </c>
      <c r="F637" s="66">
        <f t="shared" ca="1" si="1180"/>
        <v>2002</v>
      </c>
      <c r="G637" s="66">
        <f t="shared" ref="G637" ca="1" si="1297">VLOOKUP(INDIRECT(CHAR(39)&amp;$A637&amp;CHAR(39)&amp;"!r2c"&amp;$C637,0),variables,2,0)</f>
        <v>10701</v>
      </c>
      <c r="H637" s="71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66" t="s">
        <v>1045</v>
      </c>
      <c r="B638" s="66">
        <f t="shared" si="1250"/>
        <v>5</v>
      </c>
      <c r="C638" s="66">
        <f t="shared" si="1251"/>
        <v>26</v>
      </c>
      <c r="E638" s="66">
        <f t="shared" ref="E638" si="1298">plan_id</f>
        <v>1952</v>
      </c>
      <c r="F638" s="66">
        <f t="shared" ca="1" si="1180"/>
        <v>2002</v>
      </c>
      <c r="G638" s="66">
        <f t="shared" ref="G638" ca="1" si="1299">VLOOKUP(INDIRECT(CHAR(39)&amp;$A638&amp;CHAR(39)&amp;"!r2c"&amp;$C638,0),variables,2,0)</f>
        <v>10702</v>
      </c>
      <c r="H638" s="71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66" t="s">
        <v>1045</v>
      </c>
      <c r="B639" s="66">
        <f t="shared" si="1250"/>
        <v>5</v>
      </c>
      <c r="C639" s="66">
        <f t="shared" si="1251"/>
        <v>27</v>
      </c>
      <c r="E639" s="66">
        <f t="shared" ref="E639" si="1300">plan_id</f>
        <v>1952</v>
      </c>
      <c r="F639" s="66">
        <f t="shared" ca="1" si="1180"/>
        <v>2002</v>
      </c>
      <c r="G639" s="66">
        <f t="shared" ref="G639" ca="1" si="1301">VLOOKUP(INDIRECT(CHAR(39)&amp;$A639&amp;CHAR(39)&amp;"!r2c"&amp;$C639,0),variables,2,0)</f>
        <v>10943</v>
      </c>
      <c r="H639" s="71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0.03</v>
      </c>
    </row>
    <row r="640" spans="1:8" x14ac:dyDescent="0.2">
      <c r="A640" s="66" t="s">
        <v>1045</v>
      </c>
      <c r="B640" s="66">
        <f t="shared" si="1250"/>
        <v>5</v>
      </c>
      <c r="C640" s="66">
        <f t="shared" si="1251"/>
        <v>28</v>
      </c>
      <c r="E640" s="66">
        <f t="shared" ref="E640" si="1302">plan_id</f>
        <v>1952</v>
      </c>
      <c r="F640" s="66">
        <f t="shared" ca="1" si="1180"/>
        <v>2002</v>
      </c>
      <c r="G640" s="66">
        <f t="shared" ref="G640" ca="1" si="1303">VLOOKUP(INDIRECT(CHAR(39)&amp;$A640&amp;CHAR(39)&amp;"!r2c"&amp;$C640,0),variables,2,0)</f>
        <v>10944</v>
      </c>
      <c r="H640" s="71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66" t="s">
        <v>1045</v>
      </c>
      <c r="B641" s="66">
        <f t="shared" si="1250"/>
        <v>5</v>
      </c>
      <c r="C641" s="66">
        <f t="shared" si="1251"/>
        <v>29</v>
      </c>
      <c r="E641" s="66">
        <f t="shared" ref="E641" si="1304">plan_id</f>
        <v>1952</v>
      </c>
      <c r="F641" s="66">
        <f t="shared" ca="1" si="1180"/>
        <v>2002</v>
      </c>
      <c r="G641" s="66">
        <f t="shared" ref="G641" ca="1" si="1305">VLOOKUP(INDIRECT(CHAR(39)&amp;$A641&amp;CHAR(39)&amp;"!r2c"&amp;$C641,0),variables,2,0)</f>
        <v>10945</v>
      </c>
      <c r="H641" s="71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66" t="s">
        <v>1045</v>
      </c>
      <c r="B642" s="66">
        <f t="shared" si="1250"/>
        <v>5</v>
      </c>
      <c r="C642" s="66">
        <f t="shared" si="1251"/>
        <v>30</v>
      </c>
      <c r="E642" s="66">
        <f t="shared" ref="E642" si="1306">plan_id</f>
        <v>1952</v>
      </c>
      <c r="F642" s="66">
        <f t="shared" ca="1" si="1180"/>
        <v>2002</v>
      </c>
      <c r="G642" s="66">
        <f t="shared" ref="G642" ca="1" si="1307">VLOOKUP(INDIRECT(CHAR(39)&amp;$A642&amp;CHAR(39)&amp;"!r2c"&amp;$C642,0),variables,2,0)</f>
        <v>10947</v>
      </c>
      <c r="H642" s="71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66" t="s">
        <v>1045</v>
      </c>
      <c r="B643" s="66">
        <f t="shared" si="1250"/>
        <v>5</v>
      </c>
      <c r="C643" s="66">
        <f t="shared" si="1251"/>
        <v>31</v>
      </c>
      <c r="E643" s="66">
        <f t="shared" ref="E643" si="1308">plan_id</f>
        <v>1952</v>
      </c>
      <c r="F643" s="66">
        <f t="shared" ca="1" si="1180"/>
        <v>2002</v>
      </c>
      <c r="G643" s="66">
        <f t="shared" ref="G643" ca="1" si="1309">VLOOKUP(INDIRECT(CHAR(39)&amp;$A643&amp;CHAR(39)&amp;"!r2c"&amp;$C643,0),variables,2,0)</f>
        <v>10948</v>
      </c>
      <c r="H643" s="71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2">
      <c r="A644" s="66" t="s">
        <v>1045</v>
      </c>
      <c r="B644" s="66">
        <f t="shared" si="1250"/>
        <v>5</v>
      </c>
      <c r="C644" s="66">
        <f t="shared" si="1251"/>
        <v>32</v>
      </c>
      <c r="E644" s="66">
        <f t="shared" ref="E644" si="1310">plan_id</f>
        <v>1952</v>
      </c>
      <c r="F644" s="66">
        <f t="shared" ca="1" si="1180"/>
        <v>2002</v>
      </c>
      <c r="G644" s="66">
        <f t="shared" ref="G644" ca="1" si="1311">VLOOKUP(INDIRECT(CHAR(39)&amp;$A644&amp;CHAR(39)&amp;"!r2c"&amp;$C644,0),variables,2,0)</f>
        <v>10949</v>
      </c>
      <c r="H644" s="71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66" t="s">
        <v>1045</v>
      </c>
      <c r="B645" s="66">
        <f t="shared" si="1250"/>
        <v>5</v>
      </c>
      <c r="C645" s="66">
        <f t="shared" si="1251"/>
        <v>33</v>
      </c>
      <c r="E645" s="66">
        <f t="shared" ref="E645" si="1312">plan_id</f>
        <v>1952</v>
      </c>
      <c r="F645" s="66">
        <f t="shared" ca="1" si="1180"/>
        <v>2002</v>
      </c>
      <c r="G645" s="66">
        <f t="shared" ref="G645" ca="1" si="1313">VLOOKUP(INDIRECT(CHAR(39)&amp;$A645&amp;CHAR(39)&amp;"!r2c"&amp;$C645,0),variables,2,0)</f>
        <v>10951</v>
      </c>
      <c r="H645" s="71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2">
      <c r="A646" s="66" t="s">
        <v>1045</v>
      </c>
      <c r="B646" s="66">
        <f t="shared" si="1250"/>
        <v>5</v>
      </c>
      <c r="C646" s="66">
        <f t="shared" si="1251"/>
        <v>34</v>
      </c>
      <c r="E646" s="66">
        <f t="shared" ref="E646" si="1314">plan_id</f>
        <v>1952</v>
      </c>
      <c r="F646" s="66">
        <f t="shared" ca="1" si="1180"/>
        <v>2002</v>
      </c>
      <c r="G646" s="66">
        <f t="shared" ref="G646" ca="1" si="1315">VLOOKUP(INDIRECT(CHAR(39)&amp;$A646&amp;CHAR(39)&amp;"!r2c"&amp;$C646,0),variables,2,0)</f>
        <v>10950</v>
      </c>
      <c r="H646" s="71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2">
      <c r="A647" s="66" t="s">
        <v>1045</v>
      </c>
      <c r="B647" s="66">
        <f t="shared" si="1250"/>
        <v>5</v>
      </c>
      <c r="C647" s="66">
        <f t="shared" si="1251"/>
        <v>35</v>
      </c>
      <c r="E647" s="66">
        <f t="shared" ref="E647" si="1316">plan_id</f>
        <v>1952</v>
      </c>
      <c r="F647" s="66">
        <f t="shared" ca="1" si="1180"/>
        <v>2002</v>
      </c>
      <c r="G647" s="66">
        <f t="shared" ref="G647" ca="1" si="1317">VLOOKUP(INDIRECT(CHAR(39)&amp;$A647&amp;CHAR(39)&amp;"!r2c"&amp;$C647,0),variables,2,0)</f>
        <v>10954</v>
      </c>
      <c r="H647" s="71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2">
      <c r="A648" s="66" t="s">
        <v>1045</v>
      </c>
      <c r="B648" s="66">
        <f t="shared" si="1250"/>
        <v>5</v>
      </c>
      <c r="C648" s="66">
        <f t="shared" si="1251"/>
        <v>36</v>
      </c>
      <c r="E648" s="66">
        <f t="shared" ref="E648" si="1318">plan_id</f>
        <v>1952</v>
      </c>
      <c r="F648" s="66">
        <f t="shared" ca="1" si="1180"/>
        <v>2002</v>
      </c>
      <c r="G648" s="66">
        <f t="shared" ref="G648" ca="1" si="1319">VLOOKUP(INDIRECT(CHAR(39)&amp;$A648&amp;CHAR(39)&amp;"!r2c"&amp;$C648,0),variables,2,0)</f>
        <v>10955</v>
      </c>
      <c r="H648" s="71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2">
      <c r="A649" s="66" t="s">
        <v>1045</v>
      </c>
      <c r="B649" s="66">
        <f t="shared" si="1250"/>
        <v>5</v>
      </c>
      <c r="C649" s="66">
        <f t="shared" si="1251"/>
        <v>37</v>
      </c>
      <c r="E649" s="66">
        <f t="shared" ref="E649" si="1320">plan_id</f>
        <v>1952</v>
      </c>
      <c r="F649" s="66">
        <f t="shared" ca="1" si="1180"/>
        <v>2002</v>
      </c>
      <c r="G649" s="66">
        <f t="shared" ref="G649" ca="1" si="1321">VLOOKUP(INDIRECT(CHAR(39)&amp;$A649&amp;CHAR(39)&amp;"!r2c"&amp;$C649,0),variables,2,0)</f>
        <v>10956</v>
      </c>
      <c r="H649" s="71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0.03</v>
      </c>
    </row>
    <row r="650" spans="1:8" x14ac:dyDescent="0.2">
      <c r="A650" s="66" t="s">
        <v>1045</v>
      </c>
      <c r="B650" s="66">
        <f t="shared" si="1250"/>
        <v>5</v>
      </c>
      <c r="C650" s="66">
        <f t="shared" si="1251"/>
        <v>38</v>
      </c>
      <c r="E650" s="66">
        <f t="shared" ref="E650" si="1322">plan_id</f>
        <v>1952</v>
      </c>
      <c r="F650" s="66">
        <f t="shared" ca="1" si="1180"/>
        <v>2002</v>
      </c>
      <c r="G650" s="66">
        <f t="shared" ref="G650" ca="1" si="1323">VLOOKUP(INDIRECT(CHAR(39)&amp;$A650&amp;CHAR(39)&amp;"!r2c"&amp;$C650,0),variables,2,0)</f>
        <v>10959</v>
      </c>
      <c r="H650" s="71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SE-4.25% to 6.30% &amp; Teach 4.00% to 7.00%</v>
      </c>
    </row>
    <row r="651" spans="1:8" x14ac:dyDescent="0.2">
      <c r="A651" s="66" t="s">
        <v>1045</v>
      </c>
      <c r="B651" s="66">
        <f t="shared" si="1250"/>
        <v>5</v>
      </c>
      <c r="C651" s="66">
        <f t="shared" si="1251"/>
        <v>39</v>
      </c>
      <c r="E651" s="66">
        <f t="shared" ref="E651" si="1324">plan_id</f>
        <v>1952</v>
      </c>
      <c r="F651" s="66">
        <f t="shared" ca="1" si="1180"/>
        <v>2002</v>
      </c>
      <c r="G651" s="66">
        <f t="shared" ref="G651" ca="1" si="1325">VLOOKUP(INDIRECT(CHAR(39)&amp;$A651&amp;CHAR(39)&amp;"!r2c"&amp;$C651,0),variables,2,0)</f>
        <v>10962</v>
      </c>
      <c r="H651" s="71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Pg.117 &amp; 122</v>
      </c>
    </row>
    <row r="652" spans="1:8" x14ac:dyDescent="0.2">
      <c r="A652" s="66" t="s">
        <v>1045</v>
      </c>
      <c r="B652" s="66">
        <f t="shared" si="1250"/>
        <v>5</v>
      </c>
      <c r="C652" s="66">
        <f t="shared" si="1251"/>
        <v>40</v>
      </c>
      <c r="E652" s="66">
        <f t="shared" ref="E652" si="1326">plan_id</f>
        <v>1952</v>
      </c>
      <c r="F652" s="66">
        <f t="shared" ca="1" si="1180"/>
        <v>2002</v>
      </c>
      <c r="G652" s="66">
        <f t="shared" ref="G652" ca="1" si="1327">VLOOKUP(INDIRECT(CHAR(39)&amp;$A652&amp;CHAR(39)&amp;"!r2c"&amp;$C652,0),variables,2,0)</f>
        <v>10964</v>
      </c>
      <c r="H652" s="71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Pg.116 &amp; 121</v>
      </c>
    </row>
    <row r="653" spans="1:8" x14ac:dyDescent="0.2">
      <c r="A653" s="66" t="s">
        <v>1045</v>
      </c>
      <c r="B653" s="66">
        <f t="shared" si="1250"/>
        <v>5</v>
      </c>
      <c r="C653" s="66">
        <f t="shared" si="1251"/>
        <v>41</v>
      </c>
      <c r="E653" s="66">
        <f t="shared" ref="E653" si="1328">plan_id</f>
        <v>1952</v>
      </c>
      <c r="F653" s="66">
        <f t="shared" ca="1" si="1180"/>
        <v>2002</v>
      </c>
      <c r="G653" s="66">
        <f t="shared" ref="G653" ca="1" si="1329">VLOOKUP(INDIRECT(CHAR(39)&amp;$A653&amp;CHAR(39)&amp;"!r2c"&amp;$C653,0),variables,2,0)</f>
        <v>10967</v>
      </c>
      <c r="H653" s="71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1994 Group Annuity Mortality Table</v>
      </c>
    </row>
    <row r="654" spans="1:8" x14ac:dyDescent="0.2">
      <c r="A654" s="66" t="s">
        <v>1045</v>
      </c>
      <c r="B654" s="66">
        <f t="shared" si="1250"/>
        <v>5</v>
      </c>
      <c r="C654" s="66">
        <f t="shared" si="1251"/>
        <v>42</v>
      </c>
      <c r="E654" s="66">
        <f t="shared" ref="E654" si="1330">plan_id</f>
        <v>1952</v>
      </c>
      <c r="F654" s="66">
        <f t="shared" ca="1" si="1180"/>
        <v>2002</v>
      </c>
      <c r="G654" s="66">
        <f t="shared" ref="G654" ca="1" si="1331">VLOOKUP(INDIRECT(CHAR(39)&amp;$A654&amp;CHAR(39)&amp;"!r2c"&amp;$C654,0),variables,2,0)</f>
        <v>10968</v>
      </c>
      <c r="H654" s="71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2">
      <c r="A655" s="66" t="s">
        <v>1045</v>
      </c>
      <c r="B655" s="66">
        <f t="shared" si="1250"/>
        <v>5</v>
      </c>
      <c r="C655" s="66">
        <f t="shared" si="1251"/>
        <v>43</v>
      </c>
      <c r="E655" s="66">
        <f t="shared" ref="E655" si="1332">plan_id</f>
        <v>1952</v>
      </c>
      <c r="F655" s="66">
        <f t="shared" ca="1" si="1180"/>
        <v>2002</v>
      </c>
      <c r="G655" s="66">
        <f t="shared" ref="G655" ca="1" si="1333">VLOOKUP(INDIRECT(CHAR(39)&amp;$A655&amp;CHAR(39)&amp;"!r2c"&amp;$C655,0),variables,2,0)</f>
        <v>10969</v>
      </c>
      <c r="H655" s="71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66" t="s">
        <v>1045</v>
      </c>
      <c r="B656" s="66">
        <f t="shared" si="1250"/>
        <v>5</v>
      </c>
      <c r="C656" s="66">
        <f t="shared" si="1251"/>
        <v>44</v>
      </c>
      <c r="E656" s="66">
        <f t="shared" ref="E656" si="1334">plan_id</f>
        <v>1952</v>
      </c>
      <c r="F656" s="66">
        <f t="shared" ca="1" si="1180"/>
        <v>2002</v>
      </c>
      <c r="G656" s="66">
        <f t="shared" ref="G656" ca="1" si="1335">VLOOKUP(INDIRECT(CHAR(39)&amp;$A656&amp;CHAR(39)&amp;"!r2c"&amp;$C656,0),variables,2,0)</f>
        <v>10970</v>
      </c>
      <c r="H656" s="71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Teachers: Post Retirement- Males: 2 Years, Females: 1 Year</v>
      </c>
    </row>
    <row r="657" spans="1:8" x14ac:dyDescent="0.2">
      <c r="A657" s="66" t="s">
        <v>1045</v>
      </c>
      <c r="B657" s="66">
        <f t="shared" si="1250"/>
        <v>5</v>
      </c>
      <c r="C657" s="66">
        <f t="shared" si="1251"/>
        <v>45</v>
      </c>
      <c r="E657" s="66">
        <f t="shared" ref="E657" si="1336">plan_id</f>
        <v>1952</v>
      </c>
      <c r="F657" s="66">
        <f t="shared" ca="1" si="1180"/>
        <v>2002</v>
      </c>
      <c r="G657" s="66">
        <f t="shared" ref="G657" ca="1" si="1337">VLOOKUP(INDIRECT(CHAR(39)&amp;$A657&amp;CHAR(39)&amp;"!r2c"&amp;$C657,0),variables,2,0)</f>
        <v>10971</v>
      </c>
      <c r="H657" s="71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66" t="s">
        <v>1045</v>
      </c>
      <c r="B658" s="66">
        <f t="shared" si="1250"/>
        <v>5</v>
      </c>
      <c r="C658" s="66">
        <f t="shared" si="1251"/>
        <v>46</v>
      </c>
      <c r="E658" s="66">
        <f t="shared" ref="E658" si="1338">plan_id</f>
        <v>1952</v>
      </c>
      <c r="F658" s="66">
        <f t="shared" ca="1" si="1180"/>
        <v>2002</v>
      </c>
      <c r="G658" s="66">
        <f t="shared" ref="G658" ca="1" si="1339">VLOOKUP(INDIRECT(CHAR(39)&amp;$A658&amp;CHAR(39)&amp;"!r2c"&amp;$C658,0),variables,2,0)</f>
        <v>10972</v>
      </c>
      <c r="H658" s="71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Closed</v>
      </c>
    </row>
    <row r="659" spans="1:8" x14ac:dyDescent="0.2">
      <c r="A659" s="66" t="s">
        <v>1045</v>
      </c>
      <c r="B659" s="66">
        <f t="shared" si="1250"/>
        <v>5</v>
      </c>
      <c r="C659" s="66">
        <f t="shared" si="1251"/>
        <v>47</v>
      </c>
      <c r="E659" s="66">
        <f t="shared" ref="E659" si="1340">plan_id</f>
        <v>1952</v>
      </c>
      <c r="F659" s="66">
        <f t="shared" ca="1" si="1180"/>
        <v>2002</v>
      </c>
      <c r="G659" s="66">
        <f t="shared" ref="G659" ca="1" si="1341">VLOOKUP(INDIRECT(CHAR(39)&amp;$A659&amp;CHAR(39)&amp;"!r2c"&amp;$C659,0),variables,2,0)</f>
        <v>10973</v>
      </c>
      <c r="H659" s="71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24 Years</v>
      </c>
    </row>
    <row r="660" spans="1:8" x14ac:dyDescent="0.2">
      <c r="A660" s="66" t="s">
        <v>1045</v>
      </c>
      <c r="B660" s="66">
        <f t="shared" si="1250"/>
        <v>5</v>
      </c>
      <c r="C660" s="66">
        <f t="shared" si="1251"/>
        <v>48</v>
      </c>
      <c r="E660" s="66">
        <f t="shared" ref="E660" si="1342">plan_id</f>
        <v>1952</v>
      </c>
      <c r="F660" s="66">
        <f t="shared" ca="1" si="1180"/>
        <v>2002</v>
      </c>
      <c r="G660" s="66">
        <f t="shared" ref="G660" ca="1" si="1343">VLOOKUP(INDIRECT(CHAR(39)&amp;$A660&amp;CHAR(39)&amp;"!r2c"&amp;$C660,0),variables,2,0)</f>
        <v>10975</v>
      </c>
      <c r="H660" s="71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2">
      <c r="A661" s="66" t="s">
        <v>1045</v>
      </c>
      <c r="B661" s="66">
        <f t="shared" si="1250"/>
        <v>5</v>
      </c>
      <c r="C661" s="66">
        <f t="shared" si="1251"/>
        <v>49</v>
      </c>
      <c r="E661" s="66">
        <f t="shared" ref="E661" si="1344">plan_id</f>
        <v>1952</v>
      </c>
      <c r="F661" s="66">
        <f t="shared" ca="1" si="1180"/>
        <v>2002</v>
      </c>
      <c r="G661" s="66">
        <f t="shared" ref="G661" ca="1" si="1345">VLOOKUP(INDIRECT(CHAR(39)&amp;$A661&amp;CHAR(39)&amp;"!r2c"&amp;$C661,0),variables,2,0)</f>
        <v>10976</v>
      </c>
      <c r="H661" s="71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2">
      <c r="A662" s="66" t="s">
        <v>1045</v>
      </c>
      <c r="B662" s="66">
        <f t="shared" si="1250"/>
        <v>5</v>
      </c>
      <c r="C662" s="66">
        <f t="shared" si="1251"/>
        <v>50</v>
      </c>
      <c r="E662" s="66">
        <f t="shared" ref="E662" si="1346">plan_id</f>
        <v>1952</v>
      </c>
      <c r="F662" s="66">
        <f t="shared" ca="1" si="1180"/>
        <v>2002</v>
      </c>
      <c r="G662" s="66">
        <f t="shared" ref="G662" ca="1" si="1347">VLOOKUP(INDIRECT(CHAR(39)&amp;$A662&amp;CHAR(39)&amp;"!r2c"&amp;$C662,0),variables,2,0)</f>
        <v>10977</v>
      </c>
      <c r="H662" s="71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66" t="s">
        <v>1045</v>
      </c>
      <c r="B663" s="66">
        <f t="shared" si="1250"/>
        <v>5</v>
      </c>
      <c r="C663" s="66">
        <f t="shared" si="1251"/>
        <v>51</v>
      </c>
      <c r="E663" s="66">
        <f t="shared" ref="E663" si="1348">plan_id</f>
        <v>1952</v>
      </c>
      <c r="F663" s="66">
        <f t="shared" ca="1" si="1180"/>
        <v>2002</v>
      </c>
      <c r="G663" s="66">
        <f t="shared" ref="G663" ca="1" si="1349">VLOOKUP(INDIRECT(CHAR(39)&amp;$A663&amp;CHAR(39)&amp;"!r2c"&amp;$C663,0),variables,2,0)</f>
        <v>10978</v>
      </c>
      <c r="H663" s="71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2">
      <c r="A664" s="66" t="s">
        <v>1045</v>
      </c>
      <c r="B664" s="66">
        <f t="shared" si="1250"/>
        <v>5</v>
      </c>
      <c r="C664" s="66">
        <f t="shared" si="1251"/>
        <v>52</v>
      </c>
      <c r="E664" s="66">
        <f t="shared" ref="E664" si="1350">plan_id</f>
        <v>1952</v>
      </c>
      <c r="F664" s="66">
        <f t="shared" ca="1" si="1180"/>
        <v>2002</v>
      </c>
      <c r="G664" s="66">
        <f t="shared" ref="G664" ca="1" si="1351">VLOOKUP(INDIRECT(CHAR(39)&amp;$A664&amp;CHAR(39)&amp;"!r2c"&amp;$C664,0),variables,2,0)</f>
        <v>10979</v>
      </c>
      <c r="H664" s="71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2">
      <c r="A665" s="66" t="s">
        <v>1045</v>
      </c>
      <c r="B665" s="66">
        <f t="shared" si="1250"/>
        <v>5</v>
      </c>
      <c r="C665" s="66">
        <f t="shared" si="1251"/>
        <v>53</v>
      </c>
      <c r="E665" s="66">
        <f t="shared" ref="E665" si="1352">plan_id</f>
        <v>1952</v>
      </c>
      <c r="F665" s="66">
        <f t="shared" ca="1" si="1180"/>
        <v>2002</v>
      </c>
      <c r="G665" s="66">
        <f t="shared" ref="G665" ca="1" si="1353">VLOOKUP(INDIRECT(CHAR(39)&amp;$A665&amp;CHAR(39)&amp;"!r2c"&amp;$C665,0),variables,2,0)</f>
        <v>10980</v>
      </c>
      <c r="H665" s="71" t="str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State Employees: 3.83% ;Teachers: 3.75%</v>
      </c>
    </row>
    <row r="666" spans="1:8" x14ac:dyDescent="0.2">
      <c r="A666" s="66" t="s">
        <v>1045</v>
      </c>
      <c r="B666" s="66">
        <f t="shared" si="1250"/>
        <v>5</v>
      </c>
      <c r="C666" s="66">
        <f t="shared" si="1251"/>
        <v>54</v>
      </c>
      <c r="E666" s="66">
        <f t="shared" ref="E666" si="1354">plan_id</f>
        <v>1952</v>
      </c>
      <c r="F666" s="66">
        <f t="shared" ca="1" si="1180"/>
        <v>2002</v>
      </c>
      <c r="G666" s="66">
        <f t="shared" ref="G666" ca="1" si="1355">VLOOKUP(INDIRECT(CHAR(39)&amp;$A666&amp;CHAR(39)&amp;"!r2c"&amp;$C666,0),variables,2,0)</f>
        <v>10981</v>
      </c>
      <c r="H666" s="71" t="str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State Employees: -7.62% ;Teachers: -7.61%</v>
      </c>
    </row>
    <row r="667" spans="1:8" x14ac:dyDescent="0.2">
      <c r="A667" s="66" t="s">
        <v>1045</v>
      </c>
      <c r="B667" s="66">
        <f t="shared" si="1250"/>
        <v>5</v>
      </c>
      <c r="C667" s="66">
        <f t="shared" si="1251"/>
        <v>55</v>
      </c>
      <c r="E667" s="66">
        <f t="shared" ref="E667" si="1356">plan_id</f>
        <v>1952</v>
      </c>
      <c r="F667" s="66">
        <f t="shared" ca="1" si="1180"/>
        <v>2002</v>
      </c>
      <c r="G667" s="66">
        <f t="shared" ref="G667" ca="1" si="1357">VLOOKUP(INDIRECT(CHAR(39)&amp;$A667&amp;CHAR(39)&amp;"!r2c"&amp;$C667,0),variables,2,0)</f>
        <v>10706</v>
      </c>
      <c r="H667" s="71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7.6117716914490276E-4</v>
      </c>
    </row>
    <row r="668" spans="1:8" x14ac:dyDescent="0.2">
      <c r="A668" s="66" t="s">
        <v>1045</v>
      </c>
      <c r="B668" s="66">
        <f t="shared" si="1250"/>
        <v>5</v>
      </c>
      <c r="C668" s="66">
        <f t="shared" si="1251"/>
        <v>56</v>
      </c>
      <c r="E668" s="66">
        <f t="shared" ref="E668" si="1358">plan_id</f>
        <v>1952</v>
      </c>
      <c r="F668" s="66">
        <f t="shared" ca="1" si="1180"/>
        <v>2002</v>
      </c>
      <c r="G668" s="66">
        <f t="shared" ref="G668" ca="1" si="1359">VLOOKUP(INDIRECT(CHAR(39)&amp;$A668&amp;CHAR(39)&amp;"!r2c"&amp;$C668,0),variables,2,0)</f>
        <v>10983</v>
      </c>
      <c r="H668" s="71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2">
      <c r="A669" s="66" t="s">
        <v>1045</v>
      </c>
      <c r="B669" s="66">
        <f t="shared" si="1250"/>
        <v>5</v>
      </c>
      <c r="C669" s="66">
        <f t="shared" si="1251"/>
        <v>57</v>
      </c>
      <c r="E669" s="66">
        <f t="shared" ref="E669" si="1360">plan_id</f>
        <v>1952</v>
      </c>
      <c r="F669" s="66">
        <f t="shared" ca="1" si="1180"/>
        <v>2002</v>
      </c>
      <c r="G669" s="66">
        <f t="shared" ref="G669" ca="1" si="1361">VLOOKUP(INDIRECT(CHAR(39)&amp;$A669&amp;CHAR(39)&amp;"!r2c"&amp;$C669,0),variables,2,0)</f>
        <v>10989</v>
      </c>
      <c r="H669" s="7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30995675000</v>
      </c>
    </row>
    <row r="670" spans="1:8" x14ac:dyDescent="0.2">
      <c r="A670" s="66" t="s">
        <v>1045</v>
      </c>
      <c r="B670" s="66">
        <f t="shared" si="1250"/>
        <v>5</v>
      </c>
      <c r="C670" s="66">
        <f t="shared" si="1251"/>
        <v>58</v>
      </c>
      <c r="E670" s="66">
        <f t="shared" ref="E670" si="1362">plan_id</f>
        <v>1952</v>
      </c>
      <c r="F670" s="66">
        <f t="shared" ca="1" si="1180"/>
        <v>2002</v>
      </c>
      <c r="G670" s="66">
        <f t="shared" ref="G670" ca="1" si="1363">VLOOKUP(INDIRECT(CHAR(39)&amp;$A670&amp;CHAR(39)&amp;"!r2c"&amp;$C670,0),variables,2,0)</f>
        <v>10990</v>
      </c>
      <c r="H670" s="7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30639207000</v>
      </c>
    </row>
    <row r="671" spans="1:8" x14ac:dyDescent="0.2">
      <c r="A671" s="66" t="s">
        <v>1045</v>
      </c>
      <c r="B671" s="66">
        <f t="shared" si="1250"/>
        <v>5</v>
      </c>
      <c r="C671" s="66">
        <f t="shared" si="1251"/>
        <v>59</v>
      </c>
      <c r="E671" s="66">
        <f t="shared" ref="E671" si="1364">plan_id</f>
        <v>1952</v>
      </c>
      <c r="F671" s="66">
        <f t="shared" ca="1" si="1180"/>
        <v>2002</v>
      </c>
      <c r="G671" s="66">
        <f t="shared" ref="G671" ca="1" si="1365">VLOOKUP(INDIRECT(CHAR(39)&amp;$A671&amp;CHAR(39)&amp;"!r2c"&amp;$C671,0),variables,2,0)</f>
        <v>10991</v>
      </c>
      <c r="H671" s="7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-356468000</v>
      </c>
    </row>
    <row r="672" spans="1:8" x14ac:dyDescent="0.2">
      <c r="A672" s="66" t="s">
        <v>1045</v>
      </c>
      <c r="B672" s="66">
        <f t="shared" si="1250"/>
        <v>5</v>
      </c>
      <c r="C672" s="66">
        <f t="shared" si="1251"/>
        <v>60</v>
      </c>
      <c r="E672" s="66">
        <f t="shared" ref="E672" si="1366">plan_id</f>
        <v>1952</v>
      </c>
      <c r="F672" s="66">
        <f t="shared" ca="1" si="1180"/>
        <v>2002</v>
      </c>
      <c r="G672" s="66">
        <f t="shared" ref="G672" ca="1" si="1367">VLOOKUP(INDIRECT(CHAR(39)&amp;$A672&amp;CHAR(39)&amp;"!r2c"&amp;$C672,0),variables,2,0)</f>
        <v>10992</v>
      </c>
      <c r="H672" s="71" t="str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State Employees: 104.1%; Teachers: 99.4%</v>
      </c>
    </row>
    <row r="673" spans="1:8" x14ac:dyDescent="0.2">
      <c r="A673" s="66" t="s">
        <v>1045</v>
      </c>
      <c r="B673" s="66">
        <f t="shared" si="1250"/>
        <v>5</v>
      </c>
      <c r="C673" s="66">
        <f t="shared" si="1251"/>
        <v>61</v>
      </c>
      <c r="E673" s="66">
        <f t="shared" ref="E673" si="1368">plan_id</f>
        <v>1952</v>
      </c>
      <c r="F673" s="66">
        <f t="shared" ca="1" si="1180"/>
        <v>2002</v>
      </c>
      <c r="G673" s="66">
        <f t="shared" ref="G673" ca="1" si="1369">VLOOKUP(INDIRECT(CHAR(39)&amp;$A673&amp;CHAR(39)&amp;"!r2c"&amp;$C673,0),variables,2,0)</f>
        <v>10993</v>
      </c>
      <c r="H673" s="71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7890864000</v>
      </c>
    </row>
    <row r="674" spans="1:8" x14ac:dyDescent="0.2">
      <c r="A674" s="66" t="s">
        <v>1045</v>
      </c>
      <c r="B674" s="66">
        <f t="shared" si="1250"/>
        <v>5</v>
      </c>
      <c r="C674" s="66">
        <f t="shared" si="1251"/>
        <v>62</v>
      </c>
      <c r="E674" s="66">
        <f t="shared" ref="E674" si="1370">plan_id</f>
        <v>1952</v>
      </c>
      <c r="F674" s="66">
        <f t="shared" ca="1" si="1180"/>
        <v>2002</v>
      </c>
      <c r="G674" s="66">
        <f t="shared" ref="G674" ca="1" si="1371">VLOOKUP(INDIRECT(CHAR(39)&amp;$A674&amp;CHAR(39)&amp;"!r2c"&amp;$C674,0),variables,2,0)</f>
        <v>10801</v>
      </c>
      <c r="H674" s="71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66" t="s">
        <v>1045</v>
      </c>
      <c r="B675" s="66">
        <f t="shared" si="1250"/>
        <v>5</v>
      </c>
      <c r="C675" s="66">
        <f t="shared" si="1251"/>
        <v>63</v>
      </c>
      <c r="E675" s="66">
        <f t="shared" ref="E675" si="1372">plan_id</f>
        <v>1952</v>
      </c>
      <c r="F675" s="66">
        <f t="shared" ca="1" si="1180"/>
        <v>2002</v>
      </c>
      <c r="G675" s="66">
        <f t="shared" ref="G675" ca="1" si="1373">VLOOKUP(INDIRECT(CHAR(39)&amp;$A675&amp;CHAR(39)&amp;"!r2c"&amp;$C675,0),variables,2,0)</f>
        <v>10802</v>
      </c>
      <c r="H675" s="7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66" t="s">
        <v>1045</v>
      </c>
      <c r="B676" s="66">
        <f t="shared" si="1250"/>
        <v>5</v>
      </c>
      <c r="C676" s="66">
        <f t="shared" si="1251"/>
        <v>64</v>
      </c>
      <c r="E676" s="66">
        <f t="shared" ref="E676" si="1374">plan_id</f>
        <v>1952</v>
      </c>
      <c r="F676" s="66">
        <f t="shared" ca="1" si="1180"/>
        <v>2002</v>
      </c>
      <c r="G676" s="66">
        <f t="shared" ref="G676" ca="1" si="1375">VLOOKUP(INDIRECT(CHAR(39)&amp;$A676&amp;CHAR(39)&amp;"!r2c"&amp;$C676,0),variables,2,0)</f>
        <v>10803</v>
      </c>
      <c r="H676" s="71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66" t="s">
        <v>1045</v>
      </c>
      <c r="B677" s="66">
        <f t="shared" si="1250"/>
        <v>5</v>
      </c>
      <c r="C677" s="66">
        <f t="shared" si="1251"/>
        <v>65</v>
      </c>
      <c r="E677" s="66">
        <f t="shared" ref="E677" si="1376">plan_id</f>
        <v>1952</v>
      </c>
      <c r="F677" s="66">
        <f t="shared" ca="1" si="1180"/>
        <v>2002</v>
      </c>
      <c r="G677" s="66">
        <f t="shared" ref="G677" ca="1" si="1377">VLOOKUP(INDIRECT(CHAR(39)&amp;$A677&amp;CHAR(39)&amp;"!r2c"&amp;$C677,0),variables,2,0)</f>
        <v>10804</v>
      </c>
      <c r="H677" s="7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66" t="s">
        <v>1045</v>
      </c>
      <c r="B678" s="66">
        <f t="shared" si="1250"/>
        <v>5</v>
      </c>
      <c r="C678" s="66">
        <f t="shared" si="1251"/>
        <v>66</v>
      </c>
      <c r="E678" s="66">
        <f t="shared" ref="E678" si="1378">plan_id</f>
        <v>1952</v>
      </c>
      <c r="F678" s="66">
        <f t="shared" ca="1" si="1180"/>
        <v>2002</v>
      </c>
      <c r="G678" s="66">
        <f t="shared" ref="G678" ca="1" si="1379">VLOOKUP(INDIRECT(CHAR(39)&amp;$A678&amp;CHAR(39)&amp;"!r2c"&amp;$C678,0),variables,2,0)</f>
        <v>10805</v>
      </c>
      <c r="H678" s="7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66" t="s">
        <v>1045</v>
      </c>
      <c r="B679" s="66">
        <f t="shared" ref="B679" si="1380">B614+1</f>
        <v>5</v>
      </c>
      <c r="C679" s="66">
        <f t="shared" ref="C679:C742" si="1381">C588</f>
        <v>67</v>
      </c>
      <c r="E679" s="66">
        <f t="shared" ref="E679" si="1382">plan_id</f>
        <v>1952</v>
      </c>
      <c r="F679" s="66">
        <f t="shared" ca="1" si="1180"/>
        <v>2002</v>
      </c>
      <c r="G679" s="66">
        <f t="shared" ref="G679" ca="1" si="1383">VLOOKUP(INDIRECT(CHAR(39)&amp;$A679&amp;CHAR(39)&amp;"!r2c"&amp;$C679,0),variables,2,0)</f>
        <v>10806</v>
      </c>
      <c r="H679" s="7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66" t="s">
        <v>1045</v>
      </c>
      <c r="B680" s="66">
        <f>B679</f>
        <v>5</v>
      </c>
      <c r="C680" s="66">
        <f t="shared" si="1381"/>
        <v>68</v>
      </c>
      <c r="E680" s="66">
        <f t="shared" ref="E680" si="1384">plan_id</f>
        <v>1952</v>
      </c>
      <c r="F680" s="66">
        <f t="shared" ca="1" si="1180"/>
        <v>2002</v>
      </c>
      <c r="G680" s="66">
        <f t="shared" ref="G680" ca="1" si="1385">VLOOKUP(INDIRECT(CHAR(39)&amp;$A680&amp;CHAR(39)&amp;"!r2c"&amp;$C680,0),variables,2,0)</f>
        <v>10807</v>
      </c>
      <c r="H680" s="7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66" t="s">
        <v>1045</v>
      </c>
      <c r="B681" s="66">
        <f t="shared" ref="B681:B705" si="1386">B680</f>
        <v>5</v>
      </c>
      <c r="C681" s="66">
        <f t="shared" si="1381"/>
        <v>69</v>
      </c>
      <c r="E681" s="66">
        <f t="shared" ref="E681" si="1387">plan_id</f>
        <v>1952</v>
      </c>
      <c r="F681" s="66">
        <f t="shared" ca="1" si="1180"/>
        <v>2002</v>
      </c>
      <c r="G681" s="66">
        <f t="shared" ref="G681" ca="1" si="1388">VLOOKUP(INDIRECT(CHAR(39)&amp;$A681&amp;CHAR(39)&amp;"!r2c"&amp;$C681,0),variables,2,0)</f>
        <v>10808</v>
      </c>
      <c r="H681" s="7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66" t="s">
        <v>1045</v>
      </c>
      <c r="B682" s="66">
        <f t="shared" si="1386"/>
        <v>5</v>
      </c>
      <c r="C682" s="66">
        <f t="shared" si="1381"/>
        <v>70</v>
      </c>
      <c r="E682" s="66">
        <f t="shared" ref="E682" si="1389">plan_id</f>
        <v>1952</v>
      </c>
      <c r="F682" s="66">
        <f t="shared" ca="1" si="1180"/>
        <v>2002</v>
      </c>
      <c r="G682" s="66">
        <f t="shared" ref="G682" ca="1" si="1390">VLOOKUP(INDIRECT(CHAR(39)&amp;$A682&amp;CHAR(39)&amp;"!r2c"&amp;$C682,0),variables,2,0)</f>
        <v>10809</v>
      </c>
      <c r="H682" s="7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66" t="s">
        <v>1045</v>
      </c>
      <c r="B683" s="66">
        <f t="shared" si="1386"/>
        <v>5</v>
      </c>
      <c r="C683" s="66">
        <f t="shared" si="1381"/>
        <v>71</v>
      </c>
      <c r="E683" s="66">
        <f t="shared" ref="E683" si="1391">plan_id</f>
        <v>1952</v>
      </c>
      <c r="F683" s="66">
        <f t="shared" ca="1" si="1180"/>
        <v>2002</v>
      </c>
      <c r="G683" s="66">
        <f t="shared" ref="G683" ca="1" si="1392">VLOOKUP(INDIRECT(CHAR(39)&amp;$A683&amp;CHAR(39)&amp;"!r2c"&amp;$C683,0),variables,2,0)</f>
        <v>10810</v>
      </c>
      <c r="H683" s="71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66" t="s">
        <v>1045</v>
      </c>
      <c r="B684" s="66">
        <f t="shared" si="1386"/>
        <v>5</v>
      </c>
      <c r="C684" s="66">
        <f t="shared" si="1381"/>
        <v>72</v>
      </c>
      <c r="E684" s="66">
        <f t="shared" ref="E684" si="1393">plan_id</f>
        <v>1952</v>
      </c>
      <c r="F684" s="66">
        <f t="shared" ca="1" si="1180"/>
        <v>2002</v>
      </c>
      <c r="G684" s="66">
        <f t="shared" ref="G684" ca="1" si="1394">VLOOKUP(INDIRECT(CHAR(39)&amp;$A684&amp;CHAR(39)&amp;"!r2c"&amp;$C684,0),variables,2,0)</f>
        <v>10811</v>
      </c>
      <c r="H684" s="7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66" t="s">
        <v>1045</v>
      </c>
      <c r="B685" s="66">
        <f t="shared" si="1386"/>
        <v>5</v>
      </c>
      <c r="C685" s="66">
        <f t="shared" si="1381"/>
        <v>73</v>
      </c>
      <c r="E685" s="66">
        <f t="shared" ref="E685" si="1395">plan_id</f>
        <v>1952</v>
      </c>
      <c r="F685" s="66">
        <f t="shared" ca="1" si="1180"/>
        <v>2002</v>
      </c>
      <c r="G685" s="66">
        <f t="shared" ref="G685" ca="1" si="1396">VLOOKUP(INDIRECT(CHAR(39)&amp;$A685&amp;CHAR(39)&amp;"!r2c"&amp;$C685,0),variables,2,0)</f>
        <v>10812</v>
      </c>
      <c r="H685" s="7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66" t="s">
        <v>1045</v>
      </c>
      <c r="B686" s="66">
        <f t="shared" si="1386"/>
        <v>5</v>
      </c>
      <c r="C686" s="66">
        <f t="shared" si="1381"/>
        <v>74</v>
      </c>
      <c r="E686" s="66">
        <f t="shared" ref="E686" si="1397">plan_id</f>
        <v>1952</v>
      </c>
      <c r="F686" s="66">
        <f t="shared" ca="1" si="1180"/>
        <v>2002</v>
      </c>
      <c r="G686" s="66">
        <f t="shared" ref="G686" ca="1" si="1398">VLOOKUP(INDIRECT(CHAR(39)&amp;$A686&amp;CHAR(39)&amp;"!r2c"&amp;$C686,0),variables,2,0)</f>
        <v>10813</v>
      </c>
      <c r="H686" s="71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66" t="s">
        <v>1045</v>
      </c>
      <c r="B687" s="66">
        <f t="shared" si="1386"/>
        <v>5</v>
      </c>
      <c r="C687" s="66">
        <f t="shared" si="1381"/>
        <v>75</v>
      </c>
      <c r="E687" s="66">
        <f t="shared" ref="E687" si="1399">plan_id</f>
        <v>1952</v>
      </c>
      <c r="F687" s="66">
        <f t="shared" ca="1" si="1180"/>
        <v>2002</v>
      </c>
      <c r="G687" s="66">
        <f t="shared" ref="G687" ca="1" si="1400">VLOOKUP(INDIRECT(CHAR(39)&amp;$A687&amp;CHAR(39)&amp;"!r2c"&amp;$C687,0),variables,2,0)</f>
        <v>10814</v>
      </c>
      <c r="H687" s="71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66" t="s">
        <v>1045</v>
      </c>
      <c r="B688" s="66">
        <f t="shared" si="1386"/>
        <v>5</v>
      </c>
      <c r="C688" s="66">
        <f t="shared" si="1381"/>
        <v>76</v>
      </c>
      <c r="E688" s="66">
        <f t="shared" ref="E688" si="1401">plan_id</f>
        <v>1952</v>
      </c>
      <c r="F688" s="66">
        <f t="shared" ca="1" si="1180"/>
        <v>2002</v>
      </c>
      <c r="G688" s="66">
        <f t="shared" ref="G688" ca="1" si="1402">VLOOKUP(INDIRECT(CHAR(39)&amp;$A688&amp;CHAR(39)&amp;"!r2c"&amp;$C688,0),variables,2,0)</f>
        <v>10815</v>
      </c>
      <c r="H688" s="71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66" t="s">
        <v>1045</v>
      </c>
      <c r="B689" s="66">
        <f t="shared" si="1386"/>
        <v>5</v>
      </c>
      <c r="C689" s="66">
        <f t="shared" si="1381"/>
        <v>77</v>
      </c>
      <c r="E689" s="66">
        <f t="shared" ref="E689" si="1403">plan_id</f>
        <v>1952</v>
      </c>
      <c r="F689" s="66">
        <f t="shared" ca="1" si="1180"/>
        <v>2002</v>
      </c>
      <c r="G689" s="66">
        <f t="shared" ref="G689" ca="1" si="1404">VLOOKUP(INDIRECT(CHAR(39)&amp;$A689&amp;CHAR(39)&amp;"!r2c"&amp;$C689,0),variables,2,0)</f>
        <v>10816</v>
      </c>
      <c r="H689" s="7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66" t="s">
        <v>1045</v>
      </c>
      <c r="B690" s="66">
        <f t="shared" si="1386"/>
        <v>5</v>
      </c>
      <c r="C690" s="66">
        <f t="shared" si="1381"/>
        <v>78</v>
      </c>
      <c r="E690" s="66">
        <f t="shared" ref="E690" si="1405">plan_id</f>
        <v>1952</v>
      </c>
      <c r="F690" s="66">
        <f t="shared" ca="1" si="1180"/>
        <v>2002</v>
      </c>
      <c r="G690" s="66">
        <f t="shared" ref="G690" ca="1" si="1406">VLOOKUP(INDIRECT(CHAR(39)&amp;$A690&amp;CHAR(39)&amp;"!r2c"&amp;$C690,0),variables,2,0)</f>
        <v>10817</v>
      </c>
      <c r="H690" s="7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66" t="s">
        <v>1045</v>
      </c>
      <c r="B691" s="66">
        <f t="shared" si="1386"/>
        <v>5</v>
      </c>
      <c r="C691" s="66">
        <f t="shared" si="1381"/>
        <v>79</v>
      </c>
      <c r="E691" s="66">
        <f t="shared" ref="E691" si="1407">plan_id</f>
        <v>1952</v>
      </c>
      <c r="F691" s="66">
        <f t="shared" ca="1" si="1180"/>
        <v>2002</v>
      </c>
      <c r="G691" s="66">
        <f t="shared" ref="G691" ca="1" si="1408">VLOOKUP(INDIRECT(CHAR(39)&amp;$A691&amp;CHAR(39)&amp;"!r2c"&amp;$C691,0),variables,2,0)</f>
        <v>10818</v>
      </c>
      <c r="H691" s="71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66" t="s">
        <v>1045</v>
      </c>
      <c r="B692" s="66">
        <f t="shared" si="1386"/>
        <v>5</v>
      </c>
      <c r="C692" s="66">
        <f t="shared" si="1381"/>
        <v>80</v>
      </c>
      <c r="E692" s="66">
        <f t="shared" ref="E692" si="1409">plan_id</f>
        <v>1952</v>
      </c>
      <c r="F692" s="66">
        <f t="shared" ca="1" si="1180"/>
        <v>2002</v>
      </c>
      <c r="G692" s="66">
        <f t="shared" ref="G692" ca="1" si="1410">VLOOKUP(INDIRECT(CHAR(39)&amp;$A692&amp;CHAR(39)&amp;"!r2c"&amp;$C692,0),variables,2,0)</f>
        <v>10819</v>
      </c>
      <c r="H692" s="71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66" t="s">
        <v>1045</v>
      </c>
      <c r="B693" s="66">
        <f t="shared" si="1386"/>
        <v>5</v>
      </c>
      <c r="C693" s="66">
        <f t="shared" si="1381"/>
        <v>81</v>
      </c>
      <c r="E693" s="66">
        <f t="shared" ref="E693" si="1411">plan_id</f>
        <v>1952</v>
      </c>
      <c r="F693" s="66">
        <f t="shared" ca="1" si="1180"/>
        <v>2002</v>
      </c>
      <c r="G693" s="66">
        <f t="shared" ref="G693" ca="1" si="1412">VLOOKUP(INDIRECT(CHAR(39)&amp;$A693&amp;CHAR(39)&amp;"!r2c"&amp;$C693,0),variables,2,0)</f>
        <v>10820</v>
      </c>
      <c r="H693" s="71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66" t="s">
        <v>1045</v>
      </c>
      <c r="B694" s="66">
        <f t="shared" si="1386"/>
        <v>5</v>
      </c>
      <c r="C694" s="66">
        <f t="shared" si="1381"/>
        <v>82</v>
      </c>
      <c r="E694" s="66">
        <f t="shared" ref="E694" si="1413">plan_id</f>
        <v>1952</v>
      </c>
      <c r="F694" s="66">
        <f t="shared" ca="1" si="1180"/>
        <v>2002</v>
      </c>
      <c r="G694" s="66">
        <f t="shared" ref="G694" ca="1" si="1414">VLOOKUP(INDIRECT(CHAR(39)&amp;$A694&amp;CHAR(39)&amp;"!r2c"&amp;$C694,0),variables,2,0)</f>
        <v>10821</v>
      </c>
      <c r="H694" s="71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66" t="s">
        <v>1045</v>
      </c>
      <c r="B695" s="66">
        <f t="shared" si="1386"/>
        <v>5</v>
      </c>
      <c r="C695" s="66">
        <f t="shared" si="1381"/>
        <v>83</v>
      </c>
      <c r="E695" s="66">
        <f t="shared" ref="E695" si="1415">plan_id</f>
        <v>1952</v>
      </c>
      <c r="F695" s="66">
        <f t="shared" ca="1" si="1180"/>
        <v>2002</v>
      </c>
      <c r="G695" s="66">
        <f t="shared" ref="G695" ca="1" si="1416">VLOOKUP(INDIRECT(CHAR(39)&amp;$A695&amp;CHAR(39)&amp;"!r2c"&amp;$C695,0),variables,2,0)</f>
        <v>10822</v>
      </c>
      <c r="H695" s="71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66" t="s">
        <v>1045</v>
      </c>
      <c r="B696" s="66">
        <f t="shared" si="1386"/>
        <v>5</v>
      </c>
      <c r="C696" s="66">
        <f t="shared" si="1381"/>
        <v>84</v>
      </c>
      <c r="E696" s="66">
        <f t="shared" ref="E696" si="1417">plan_id</f>
        <v>1952</v>
      </c>
      <c r="F696" s="66">
        <f t="shared" ca="1" si="1180"/>
        <v>2002</v>
      </c>
      <c r="G696" s="66">
        <f t="shared" ref="G696" ca="1" si="1418">VLOOKUP(INDIRECT(CHAR(39)&amp;$A696&amp;CHAR(39)&amp;"!r2c"&amp;$C696,0),variables,2,0)</f>
        <v>10829</v>
      </c>
      <c r="H696" s="71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66" t="s">
        <v>1045</v>
      </c>
      <c r="B697" s="66">
        <f t="shared" si="1386"/>
        <v>5</v>
      </c>
      <c r="C697" s="66">
        <f t="shared" si="1381"/>
        <v>85</v>
      </c>
      <c r="E697" s="66">
        <f t="shared" ref="E697" si="1419">plan_id</f>
        <v>1952</v>
      </c>
      <c r="F697" s="66">
        <f t="shared" ca="1" si="1180"/>
        <v>2002</v>
      </c>
      <c r="G697" s="66">
        <f t="shared" ref="G697" ca="1" si="1420">VLOOKUP(INDIRECT(CHAR(39)&amp;$A697&amp;CHAR(39)&amp;"!r2c"&amp;$C697,0),variables,2,0)</f>
        <v>10823</v>
      </c>
      <c r="H697" s="71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66" t="s">
        <v>1045</v>
      </c>
      <c r="B698" s="66">
        <f t="shared" si="1386"/>
        <v>5</v>
      </c>
      <c r="C698" s="66">
        <f t="shared" si="1381"/>
        <v>86</v>
      </c>
      <c r="E698" s="66">
        <f t="shared" ref="E698" si="1421">plan_id</f>
        <v>1952</v>
      </c>
      <c r="F698" s="66">
        <f t="shared" ca="1" si="1180"/>
        <v>2002</v>
      </c>
      <c r="G698" s="66">
        <f t="shared" ref="G698" ca="1" si="1422">VLOOKUP(INDIRECT(CHAR(39)&amp;$A698&amp;CHAR(39)&amp;"!r2c"&amp;$C698,0),variables,2,0)</f>
        <v>10798</v>
      </c>
      <c r="H698" s="71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66" t="s">
        <v>1045</v>
      </c>
      <c r="B699" s="66">
        <f t="shared" si="1386"/>
        <v>5</v>
      </c>
      <c r="C699" s="66">
        <f t="shared" si="1381"/>
        <v>87</v>
      </c>
      <c r="E699" s="66">
        <f t="shared" ref="E699" si="1423">plan_id</f>
        <v>1952</v>
      </c>
      <c r="F699" s="66">
        <f t="shared" ca="1" si="1180"/>
        <v>2002</v>
      </c>
      <c r="G699" s="66">
        <f t="shared" ref="G699" ca="1" si="1424">VLOOKUP(INDIRECT(CHAR(39)&amp;$A699&amp;CHAR(39)&amp;"!r2c"&amp;$C699,0),variables,2,0)</f>
        <v>10799</v>
      </c>
      <c r="H699" s="7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66" t="s">
        <v>1045</v>
      </c>
      <c r="B700" s="66">
        <f t="shared" si="1386"/>
        <v>5</v>
      </c>
      <c r="C700" s="66">
        <f t="shared" si="1381"/>
        <v>88</v>
      </c>
      <c r="E700" s="66">
        <f t="shared" ref="E700" si="1425">plan_id</f>
        <v>1952</v>
      </c>
      <c r="F700" s="66">
        <f t="shared" ca="1" si="1180"/>
        <v>2002</v>
      </c>
      <c r="G700" s="66">
        <f t="shared" ref="G700" ca="1" si="1426">VLOOKUP(INDIRECT(CHAR(39)&amp;$A700&amp;CHAR(39)&amp;"!r2c"&amp;$C700,0),variables,2,0)</f>
        <v>10800</v>
      </c>
      <c r="H700" s="7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66" t="s">
        <v>1045</v>
      </c>
      <c r="B701" s="66">
        <f t="shared" si="1386"/>
        <v>5</v>
      </c>
      <c r="C701" s="66">
        <f t="shared" si="1381"/>
        <v>89</v>
      </c>
      <c r="E701" s="66">
        <f t="shared" ref="E701" si="1427">plan_id</f>
        <v>1952</v>
      </c>
      <c r="F701" s="66">
        <f t="shared" ca="1" si="1180"/>
        <v>2002</v>
      </c>
      <c r="G701" s="66">
        <f t="shared" ref="G701" ca="1" si="1428">VLOOKUP(INDIRECT(CHAR(39)&amp;$A701&amp;CHAR(39)&amp;"!r2c"&amp;$C701,0),variables,2,0)</f>
        <v>10824</v>
      </c>
      <c r="H701" s="7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66" t="s">
        <v>1045</v>
      </c>
      <c r="B702" s="66">
        <f t="shared" si="1386"/>
        <v>5</v>
      </c>
      <c r="C702" s="66">
        <f t="shared" si="1381"/>
        <v>90</v>
      </c>
      <c r="E702" s="66">
        <f t="shared" ref="E702" si="1429">plan_id</f>
        <v>1952</v>
      </c>
      <c r="F702" s="66">
        <f t="shared" ca="1" si="1180"/>
        <v>2002</v>
      </c>
      <c r="G702" s="66">
        <f t="shared" ref="G702" ca="1" si="1430">VLOOKUP(INDIRECT(CHAR(39)&amp;$A702&amp;CHAR(39)&amp;"!r2c"&amp;$C702,0),variables,2,0)</f>
        <v>10825</v>
      </c>
      <c r="H702" s="71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66" t="s">
        <v>1045</v>
      </c>
      <c r="B703" s="66">
        <f t="shared" si="1386"/>
        <v>5</v>
      </c>
      <c r="C703" s="66">
        <f t="shared" si="1381"/>
        <v>91</v>
      </c>
      <c r="E703" s="66">
        <f t="shared" ref="E703" si="1431">plan_id</f>
        <v>1952</v>
      </c>
      <c r="F703" s="66">
        <f t="shared" ca="1" si="1180"/>
        <v>2002</v>
      </c>
      <c r="G703" s="66">
        <f t="shared" ref="G703" ca="1" si="1432">VLOOKUP(INDIRECT(CHAR(39)&amp;$A703&amp;CHAR(39)&amp;"!r2c"&amp;$C703,0),variables,2,0)</f>
        <v>10826</v>
      </c>
      <c r="H703" s="71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66" t="s">
        <v>1045</v>
      </c>
      <c r="B704" s="66">
        <f t="shared" si="1386"/>
        <v>5</v>
      </c>
      <c r="C704" s="66">
        <f t="shared" si="1381"/>
        <v>92</v>
      </c>
      <c r="E704" s="66">
        <f t="shared" ref="E704" si="1433">plan_id</f>
        <v>1952</v>
      </c>
      <c r="F704" s="66">
        <f t="shared" ca="1" si="1180"/>
        <v>2002</v>
      </c>
      <c r="G704" s="66">
        <f t="shared" ref="G704" ca="1" si="1434">VLOOKUP(INDIRECT(CHAR(39)&amp;$A704&amp;CHAR(39)&amp;"!r2c"&amp;$C704,0),variables,2,0)</f>
        <v>10828</v>
      </c>
      <c r="H704" s="71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66" t="s">
        <v>1045</v>
      </c>
      <c r="B705" s="66">
        <f t="shared" si="1386"/>
        <v>5</v>
      </c>
      <c r="C705" s="66">
        <f t="shared" si="1381"/>
        <v>93</v>
      </c>
      <c r="E705" s="66">
        <f t="shared" ref="E705" si="1435">plan_id</f>
        <v>1952</v>
      </c>
      <c r="F705" s="66">
        <f t="shared" ca="1" si="1180"/>
        <v>2002</v>
      </c>
      <c r="G705" s="66">
        <f t="shared" ref="G705" ca="1" si="1436">VLOOKUP(INDIRECT(CHAR(39)&amp;$A705&amp;CHAR(39)&amp;"!r2c"&amp;$C705,0),variables,2,0)</f>
        <v>10827</v>
      </c>
      <c r="H705" s="71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66" t="s">
        <v>1045</v>
      </c>
      <c r="B706" s="66">
        <f t="shared" ref="B706:B769" si="1437">B641+1</f>
        <v>6</v>
      </c>
      <c r="C706" s="66">
        <f t="shared" si="1381"/>
        <v>3</v>
      </c>
      <c r="E706" s="66">
        <f t="shared" ref="E706" si="1438">plan_id</f>
        <v>1952</v>
      </c>
      <c r="F706" s="66">
        <f t="shared" ca="1" si="1180"/>
        <v>2003</v>
      </c>
      <c r="G706" s="66">
        <f t="shared" ref="G706" ca="1" si="1439">VLOOKUP(INDIRECT(CHAR(39)&amp;$A706&amp;CHAR(39)&amp;"!r2c"&amp;$C706,0),variables,2,0)</f>
        <v>10703</v>
      </c>
      <c r="H706" s="71" t="str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2004 - 2006</v>
      </c>
    </row>
    <row r="707" spans="1:8" x14ac:dyDescent="0.2">
      <c r="A707" s="66" t="s">
        <v>1045</v>
      </c>
      <c r="B707" s="66">
        <f t="shared" si="1437"/>
        <v>6</v>
      </c>
      <c r="C707" s="66">
        <f t="shared" si="1381"/>
        <v>4</v>
      </c>
      <c r="E707" s="66">
        <f t="shared" ref="E707" si="1440">plan_id</f>
        <v>1952</v>
      </c>
      <c r="F707" s="66">
        <f t="shared" ca="1" si="1180"/>
        <v>2003</v>
      </c>
      <c r="G707" s="66">
        <f t="shared" ref="G707" ca="1" si="1441">VLOOKUP(INDIRECT(CHAR(39)&amp;$A707&amp;CHAR(39)&amp;"!r2c"&amp;$C707,0),variables,2,0)</f>
        <v>10845</v>
      </c>
      <c r="H707" s="71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GABRIEL,ROEDER,SMITH &amp; COMPANY</v>
      </c>
    </row>
    <row r="708" spans="1:8" x14ac:dyDescent="0.2">
      <c r="A708" s="66" t="s">
        <v>1045</v>
      </c>
      <c r="B708" s="66">
        <f t="shared" si="1437"/>
        <v>6</v>
      </c>
      <c r="C708" s="66">
        <f t="shared" si="1381"/>
        <v>5</v>
      </c>
      <c r="E708" s="66">
        <f t="shared" ref="E708" si="1442">plan_id</f>
        <v>1952</v>
      </c>
      <c r="F708" s="66">
        <f t="shared" ca="1" si="1180"/>
        <v>2003</v>
      </c>
      <c r="G708" s="66">
        <f t="shared" ref="G708" ca="1" si="1443">VLOOKUP(INDIRECT(CHAR(39)&amp;$A708&amp;CHAR(39)&amp;"!r2c"&amp;$C708,0),variables,2,0)</f>
        <v>10924</v>
      </c>
      <c r="H708" s="71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(i)9%; (ii)11.03%</v>
      </c>
    </row>
    <row r="709" spans="1:8" x14ac:dyDescent="0.2">
      <c r="A709" s="66" t="s">
        <v>1045</v>
      </c>
      <c r="B709" s="66">
        <f t="shared" si="1437"/>
        <v>6</v>
      </c>
      <c r="C709" s="66">
        <f t="shared" si="1381"/>
        <v>6</v>
      </c>
      <c r="E709" s="66">
        <f t="shared" ref="E709" si="1444">plan_id</f>
        <v>1952</v>
      </c>
      <c r="F709" s="66">
        <f t="shared" ca="1" si="1180"/>
        <v>2003</v>
      </c>
      <c r="G709" s="66">
        <f t="shared" ref="G709" ca="1" si="1445">VLOOKUP(INDIRECT(CHAR(39)&amp;$A709&amp;CHAR(39)&amp;"!r2c"&amp;$C709,0),variables,2,0)</f>
        <v>10925</v>
      </c>
      <c r="H709" s="71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(i)4%; (ii)6.03%</v>
      </c>
    </row>
    <row r="710" spans="1:8" x14ac:dyDescent="0.2">
      <c r="A710" s="66" t="s">
        <v>1045</v>
      </c>
      <c r="B710" s="66">
        <f t="shared" si="1437"/>
        <v>6</v>
      </c>
      <c r="C710" s="66">
        <f t="shared" si="1381"/>
        <v>7</v>
      </c>
      <c r="E710" s="66">
        <f t="shared" ref="E710" si="1446">plan_id</f>
        <v>1952</v>
      </c>
      <c r="F710" s="66">
        <f t="shared" ca="1" si="1180"/>
        <v>2003</v>
      </c>
      <c r="G710" s="66">
        <f t="shared" ref="G710" ca="1" si="1447">VLOOKUP(INDIRECT(CHAR(39)&amp;$A710&amp;CHAR(39)&amp;"!r2c"&amp;$C710,0),variables,2,0)</f>
        <v>10926</v>
      </c>
      <c r="H710" s="71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(i)5%; (ii)5%</v>
      </c>
    </row>
    <row r="711" spans="1:8" x14ac:dyDescent="0.2">
      <c r="A711" s="66" t="s">
        <v>1045</v>
      </c>
      <c r="B711" s="66">
        <f t="shared" si="1437"/>
        <v>6</v>
      </c>
      <c r="C711" s="66">
        <f t="shared" si="1381"/>
        <v>8</v>
      </c>
      <c r="E711" s="66">
        <f t="shared" ref="E711" si="1448">plan_id</f>
        <v>1952</v>
      </c>
      <c r="F711" s="66">
        <f t="shared" ca="1" si="1180"/>
        <v>2003</v>
      </c>
      <c r="G711" s="66">
        <f t="shared" ref="G711" ca="1" si="1449">VLOOKUP(INDIRECT(CHAR(39)&amp;$A711&amp;CHAR(39)&amp;"!r2c"&amp;$C711,0),variables,2,0)</f>
        <v>10704</v>
      </c>
      <c r="H711" s="71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66" t="s">
        <v>1045</v>
      </c>
      <c r="B712" s="66">
        <f t="shared" si="1437"/>
        <v>6</v>
      </c>
      <c r="C712" s="66">
        <f t="shared" si="1381"/>
        <v>9</v>
      </c>
      <c r="E712" s="66">
        <f t="shared" ref="E712" si="1450">plan_id</f>
        <v>1952</v>
      </c>
      <c r="F712" s="66">
        <f t="shared" ca="1" si="1180"/>
        <v>2003</v>
      </c>
      <c r="G712" s="66">
        <f t="shared" ref="G712" ca="1" si="1451">VLOOKUP(INDIRECT(CHAR(39)&amp;$A712&amp;CHAR(39)&amp;"!r2c"&amp;$C712,0),variables,2,0)</f>
        <v>10928</v>
      </c>
      <c r="H712" s="71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(i)-0.11%; (ii)2.07%</v>
      </c>
    </row>
    <row r="713" spans="1:8" x14ac:dyDescent="0.2">
      <c r="A713" s="66" t="s">
        <v>1045</v>
      </c>
      <c r="B713" s="66">
        <f t="shared" si="1437"/>
        <v>6</v>
      </c>
      <c r="C713" s="66">
        <f t="shared" si="1381"/>
        <v>10</v>
      </c>
      <c r="E713" s="66">
        <f t="shared" ref="E713" si="1452">plan_id</f>
        <v>1952</v>
      </c>
      <c r="F713" s="66">
        <f t="shared" ca="1" si="1180"/>
        <v>2003</v>
      </c>
      <c r="G713" s="66">
        <f t="shared" ref="G713" ca="1" si="1453">VLOOKUP(INDIRECT(CHAR(39)&amp;$A713&amp;CHAR(39)&amp;"!r2c"&amp;$C713,0),variables,2,0)</f>
        <v>10929</v>
      </c>
      <c r="H713" s="71" t="str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(i)-0.11%; (ii)2.07%</v>
      </c>
    </row>
    <row r="714" spans="1:8" x14ac:dyDescent="0.2">
      <c r="A714" s="66" t="s">
        <v>1045</v>
      </c>
      <c r="B714" s="66">
        <f t="shared" si="1437"/>
        <v>6</v>
      </c>
      <c r="C714" s="66">
        <f t="shared" si="1381"/>
        <v>11</v>
      </c>
      <c r="E714" s="66">
        <f t="shared" ref="E714" si="1454">plan_id</f>
        <v>1952</v>
      </c>
      <c r="F714" s="66">
        <f t="shared" ca="1" si="1180"/>
        <v>2003</v>
      </c>
      <c r="G714" s="66">
        <f t="shared" ref="G714" ca="1" si="1455">VLOOKUP(INDIRECT(CHAR(39)&amp;$A714&amp;CHAR(39)&amp;"!r2c"&amp;$C714,0),variables,2,0)</f>
        <v>10930</v>
      </c>
      <c r="H714" s="71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66" t="s">
        <v>1045</v>
      </c>
      <c r="B715" s="66">
        <f t="shared" si="1437"/>
        <v>6</v>
      </c>
      <c r="C715" s="66">
        <f t="shared" si="1381"/>
        <v>12</v>
      </c>
      <c r="E715" s="66">
        <f t="shared" ref="E715" si="1456">plan_id</f>
        <v>1952</v>
      </c>
      <c r="F715" s="66">
        <f t="shared" ca="1" si="1180"/>
        <v>2003</v>
      </c>
      <c r="G715" s="66">
        <f t="shared" ref="G715" ca="1" si="1457">VLOOKUP(INDIRECT(CHAR(39)&amp;$A715&amp;CHAR(39)&amp;"!r2c"&amp;$C715,0),variables,2,0)</f>
        <v>10705</v>
      </c>
      <c r="H715" s="7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464664000</v>
      </c>
    </row>
    <row r="716" spans="1:8" x14ac:dyDescent="0.2">
      <c r="A716" s="66" t="s">
        <v>1045</v>
      </c>
      <c r="B716" s="66">
        <f t="shared" si="1437"/>
        <v>6</v>
      </c>
      <c r="C716" s="66">
        <f t="shared" si="1381"/>
        <v>13</v>
      </c>
      <c r="E716" s="66">
        <f t="shared" ref="E716" si="1458">plan_id</f>
        <v>1952</v>
      </c>
      <c r="F716" s="66">
        <f t="shared" ca="1" si="1180"/>
        <v>2003</v>
      </c>
      <c r="G716" s="66">
        <f t="shared" ref="G716" ca="1" si="1459">VLOOKUP(INDIRECT(CHAR(39)&amp;$A716&amp;CHAR(39)&amp;"!r2c"&amp;$C716,0),variables,2,0)</f>
        <v>10842</v>
      </c>
      <c r="H716" s="71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66" t="s">
        <v>1045</v>
      </c>
      <c r="B717" s="66">
        <f t="shared" si="1437"/>
        <v>6</v>
      </c>
      <c r="C717" s="66">
        <f t="shared" si="1381"/>
        <v>14</v>
      </c>
      <c r="E717" s="66">
        <f t="shared" ref="E717" si="1460">plan_id</f>
        <v>1952</v>
      </c>
      <c r="F717" s="66">
        <f t="shared" ca="1" si="1180"/>
        <v>2003</v>
      </c>
      <c r="G717" s="66">
        <f t="shared" ref="G717" ca="1" si="1461">VLOOKUP(INDIRECT(CHAR(39)&amp;$A717&amp;CHAR(39)&amp;"!r2c"&amp;$C717,0),variables,2,0)</f>
        <v>10843</v>
      </c>
      <c r="H717" s="71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66" t="s">
        <v>1045</v>
      </c>
      <c r="B718" s="66">
        <f t="shared" si="1437"/>
        <v>6</v>
      </c>
      <c r="C718" s="66">
        <f t="shared" si="1381"/>
        <v>15</v>
      </c>
      <c r="E718" s="66">
        <f t="shared" ref="E718" si="1462">plan_id</f>
        <v>1952</v>
      </c>
      <c r="F718" s="66">
        <f t="shared" ca="1" si="1180"/>
        <v>2003</v>
      </c>
      <c r="G718" s="66">
        <f t="shared" ref="G718" ca="1" si="1463">VLOOKUP(INDIRECT(CHAR(39)&amp;$A718&amp;CHAR(39)&amp;"!r2c"&amp;$C718,0),variables,2,0)</f>
        <v>10931</v>
      </c>
      <c r="H718" s="7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66" t="s">
        <v>1045</v>
      </c>
      <c r="B719" s="66">
        <f t="shared" si="1437"/>
        <v>6</v>
      </c>
      <c r="C719" s="66">
        <f t="shared" si="1381"/>
        <v>16</v>
      </c>
      <c r="E719" s="66">
        <f t="shared" ref="E719" si="1464">plan_id</f>
        <v>1952</v>
      </c>
      <c r="F719" s="66">
        <f t="shared" ca="1" si="1180"/>
        <v>2003</v>
      </c>
      <c r="G719" s="66">
        <f t="shared" ref="G719" ca="1" si="1465">VLOOKUP(INDIRECT(CHAR(39)&amp;$A719&amp;CHAR(39)&amp;"!r2c"&amp;$C719,0),variables,2,0)</f>
        <v>10932</v>
      </c>
      <c r="H719" s="7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66" t="s">
        <v>1045</v>
      </c>
      <c r="B720" s="66">
        <f t="shared" si="1437"/>
        <v>6</v>
      </c>
      <c r="C720" s="66">
        <f t="shared" si="1381"/>
        <v>17</v>
      </c>
      <c r="E720" s="66">
        <f t="shared" ref="E720" si="1466">plan_id</f>
        <v>1952</v>
      </c>
      <c r="F720" s="66">
        <f t="shared" ca="1" si="1180"/>
        <v>2003</v>
      </c>
      <c r="G720" s="66">
        <f t="shared" ref="G720" ca="1" si="1467">VLOOKUP(INDIRECT(CHAR(39)&amp;$A720&amp;CHAR(39)&amp;"!r2c"&amp;$C720,0),variables,2,0)</f>
        <v>10933</v>
      </c>
      <c r="H720" s="71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(i)3.89%; (ii)8.1%</v>
      </c>
    </row>
    <row r="721" spans="1:8" x14ac:dyDescent="0.2">
      <c r="A721" s="66" t="s">
        <v>1045</v>
      </c>
      <c r="B721" s="66">
        <f t="shared" si="1437"/>
        <v>6</v>
      </c>
      <c r="C721" s="66">
        <f t="shared" si="1381"/>
        <v>18</v>
      </c>
      <c r="E721" s="66">
        <f t="shared" ref="E721" si="1468">plan_id</f>
        <v>1952</v>
      </c>
      <c r="F721" s="66">
        <f t="shared" ca="1" si="1180"/>
        <v>2003</v>
      </c>
      <c r="G721" s="66">
        <f t="shared" ref="G721" ca="1" si="1469">VLOOKUP(INDIRECT(CHAR(39)&amp;$A721&amp;CHAR(39)&amp;"!r2c"&amp;$C721,0),variables,2,0)</f>
        <v>10934</v>
      </c>
      <c r="H721" s="71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(i)5%; (ii)5%</v>
      </c>
    </row>
    <row r="722" spans="1:8" x14ac:dyDescent="0.2">
      <c r="A722" s="66" t="s">
        <v>1045</v>
      </c>
      <c r="B722" s="66">
        <f t="shared" si="1437"/>
        <v>6</v>
      </c>
      <c r="C722" s="66">
        <f t="shared" si="1381"/>
        <v>19</v>
      </c>
      <c r="E722" s="66">
        <f t="shared" ref="E722" si="1470">plan_id</f>
        <v>1952</v>
      </c>
      <c r="F722" s="66">
        <f t="shared" ca="1" si="1180"/>
        <v>2003</v>
      </c>
      <c r="G722" s="66">
        <f t="shared" ref="G722" ca="1" si="1471">VLOOKUP(INDIRECT(CHAR(39)&amp;$A722&amp;CHAR(39)&amp;"!r2c"&amp;$C722,0),variables,2,0)</f>
        <v>10935</v>
      </c>
      <c r="H722" s="71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</v>
      </c>
    </row>
    <row r="723" spans="1:8" x14ac:dyDescent="0.2">
      <c r="A723" s="66" t="s">
        <v>1045</v>
      </c>
      <c r="B723" s="66">
        <f t="shared" si="1437"/>
        <v>6</v>
      </c>
      <c r="C723" s="66">
        <f t="shared" si="1381"/>
        <v>20</v>
      </c>
      <c r="E723" s="66">
        <f t="shared" ref="E723" si="1472">plan_id</f>
        <v>1952</v>
      </c>
      <c r="F723" s="66">
        <f t="shared" ca="1" si="1180"/>
        <v>2003</v>
      </c>
      <c r="G723" s="66">
        <f t="shared" ref="G723" ca="1" si="1473">VLOOKUP(INDIRECT(CHAR(39)&amp;$A723&amp;CHAR(39)&amp;"!r2c"&amp;$C723,0),variables,2,0)</f>
        <v>10937</v>
      </c>
      <c r="H723" s="71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66" t="s">
        <v>1045</v>
      </c>
      <c r="B724" s="66">
        <f t="shared" si="1437"/>
        <v>6</v>
      </c>
      <c r="C724" s="66">
        <f t="shared" si="1381"/>
        <v>21</v>
      </c>
      <c r="E724" s="66">
        <f t="shared" ref="E724" si="1474">plan_id</f>
        <v>1952</v>
      </c>
      <c r="F724" s="66">
        <f t="shared" ca="1" si="1180"/>
        <v>2003</v>
      </c>
      <c r="G724" s="66">
        <f t="shared" ref="G724" ca="1" si="1475">VLOOKUP(INDIRECT(CHAR(39)&amp;$A724&amp;CHAR(39)&amp;"!r2c"&amp;$C724,0),variables,2,0)</f>
        <v>10938</v>
      </c>
      <c r="H724" s="7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66" t="s">
        <v>1045</v>
      </c>
      <c r="B725" s="66">
        <f t="shared" si="1437"/>
        <v>6</v>
      </c>
      <c r="C725" s="66">
        <f t="shared" si="1381"/>
        <v>22</v>
      </c>
      <c r="E725" s="66">
        <f t="shared" ref="E725" si="1476">plan_id</f>
        <v>1952</v>
      </c>
      <c r="F725" s="66">
        <f t="shared" ca="1" si="1180"/>
        <v>2003</v>
      </c>
      <c r="G725" s="66">
        <f t="shared" ref="G725" ca="1" si="1477">VLOOKUP(INDIRECT(CHAR(39)&amp;$A725&amp;CHAR(39)&amp;"!r2c"&amp;$C725,0),variables,2,0)</f>
        <v>11007</v>
      </c>
      <c r="H725" s="71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1.7% of AFC times years of service</v>
      </c>
    </row>
    <row r="726" spans="1:8" x14ac:dyDescent="0.2">
      <c r="A726" s="66" t="s">
        <v>1045</v>
      </c>
      <c r="B726" s="66">
        <f t="shared" si="1437"/>
        <v>6</v>
      </c>
      <c r="C726" s="66">
        <f t="shared" si="1381"/>
        <v>23</v>
      </c>
      <c r="E726" s="66">
        <f t="shared" ref="E726" si="1478">plan_id</f>
        <v>1952</v>
      </c>
      <c r="F726" s="66">
        <f t="shared" ca="1" si="1180"/>
        <v>2003</v>
      </c>
      <c r="G726" s="66">
        <f t="shared" ref="G726" ca="1" si="1479">VLOOKUP(INDIRECT(CHAR(39)&amp;$A726&amp;CHAR(39)&amp;"!r2c"&amp;$C726,0),variables,2,0)</f>
        <v>10941</v>
      </c>
      <c r="H726" s="71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2">
      <c r="A727" s="66" t="s">
        <v>1045</v>
      </c>
      <c r="B727" s="66">
        <f t="shared" si="1437"/>
        <v>6</v>
      </c>
      <c r="C727" s="66">
        <f t="shared" si="1381"/>
        <v>24</v>
      </c>
      <c r="E727" s="66">
        <f t="shared" ref="E727" si="1480">plan_id</f>
        <v>1952</v>
      </c>
      <c r="F727" s="66">
        <f t="shared" ca="1" si="1180"/>
        <v>2003</v>
      </c>
      <c r="G727" s="66">
        <f t="shared" ref="G727" ca="1" si="1481">VLOOKUP(INDIRECT(CHAR(39)&amp;$A727&amp;CHAR(39)&amp;"!r2c"&amp;$C727,0),variables,2,0)</f>
        <v>10942</v>
      </c>
      <c r="H727" s="71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2">
      <c r="A728" s="66" t="s">
        <v>1045</v>
      </c>
      <c r="B728" s="66">
        <f t="shared" si="1437"/>
        <v>6</v>
      </c>
      <c r="C728" s="66">
        <f t="shared" si="1381"/>
        <v>25</v>
      </c>
      <c r="E728" s="66">
        <f t="shared" ref="E728" si="1482">plan_id</f>
        <v>1952</v>
      </c>
      <c r="F728" s="66">
        <f t="shared" ca="1" si="1180"/>
        <v>2003</v>
      </c>
      <c r="G728" s="66">
        <f t="shared" ref="G728" ca="1" si="1483">VLOOKUP(INDIRECT(CHAR(39)&amp;$A728&amp;CHAR(39)&amp;"!r2c"&amp;$C728,0),variables,2,0)</f>
        <v>10701</v>
      </c>
      <c r="H728" s="71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66" t="s">
        <v>1045</v>
      </c>
      <c r="B729" s="66">
        <f t="shared" si="1437"/>
        <v>6</v>
      </c>
      <c r="C729" s="66">
        <f t="shared" si="1381"/>
        <v>26</v>
      </c>
      <c r="E729" s="66">
        <f t="shared" ref="E729" si="1484">plan_id</f>
        <v>1952</v>
      </c>
      <c r="F729" s="66">
        <f t="shared" ca="1" si="1180"/>
        <v>2003</v>
      </c>
      <c r="G729" s="66">
        <f t="shared" ref="G729" ca="1" si="1485">VLOOKUP(INDIRECT(CHAR(39)&amp;$A729&amp;CHAR(39)&amp;"!r2c"&amp;$C729,0),variables,2,0)</f>
        <v>10702</v>
      </c>
      <c r="H729" s="71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66" t="s">
        <v>1045</v>
      </c>
      <c r="B730" s="66">
        <f t="shared" si="1437"/>
        <v>6</v>
      </c>
      <c r="C730" s="66">
        <f t="shared" si="1381"/>
        <v>27</v>
      </c>
      <c r="E730" s="66">
        <f t="shared" ref="E730" si="1486">plan_id</f>
        <v>1952</v>
      </c>
      <c r="F730" s="66">
        <f t="shared" ca="1" si="1180"/>
        <v>2003</v>
      </c>
      <c r="G730" s="66">
        <f t="shared" ref="G730" ca="1" si="1487">VLOOKUP(INDIRECT(CHAR(39)&amp;$A730&amp;CHAR(39)&amp;"!r2c"&amp;$C730,0),variables,2,0)</f>
        <v>10943</v>
      </c>
      <c r="H730" s="71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0.03</v>
      </c>
    </row>
    <row r="731" spans="1:8" x14ac:dyDescent="0.2">
      <c r="A731" s="66" t="s">
        <v>1045</v>
      </c>
      <c r="B731" s="66">
        <f t="shared" si="1437"/>
        <v>6</v>
      </c>
      <c r="C731" s="66">
        <f t="shared" si="1381"/>
        <v>28</v>
      </c>
      <c r="E731" s="66">
        <f t="shared" ref="E731" si="1488">plan_id</f>
        <v>1952</v>
      </c>
      <c r="F731" s="66">
        <f t="shared" ca="1" si="1180"/>
        <v>2003</v>
      </c>
      <c r="G731" s="66">
        <f t="shared" ref="G731" ca="1" si="1489">VLOOKUP(INDIRECT(CHAR(39)&amp;$A731&amp;CHAR(39)&amp;"!r2c"&amp;$C731,0),variables,2,0)</f>
        <v>10944</v>
      </c>
      <c r="H731" s="71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2">
      <c r="A732" s="66" t="s">
        <v>1045</v>
      </c>
      <c r="B732" s="66">
        <f t="shared" si="1437"/>
        <v>6</v>
      </c>
      <c r="C732" s="66">
        <f t="shared" si="1381"/>
        <v>29</v>
      </c>
      <c r="E732" s="66">
        <f t="shared" ref="E732" si="1490">plan_id</f>
        <v>1952</v>
      </c>
      <c r="F732" s="66">
        <f t="shared" ca="1" si="1180"/>
        <v>2003</v>
      </c>
      <c r="G732" s="66">
        <f t="shared" ref="G732" ca="1" si="1491">VLOOKUP(INDIRECT(CHAR(39)&amp;$A732&amp;CHAR(39)&amp;"!r2c"&amp;$C732,0),variables,2,0)</f>
        <v>10945</v>
      </c>
      <c r="H732" s="71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66" t="s">
        <v>1045</v>
      </c>
      <c r="B733" s="66">
        <f t="shared" si="1437"/>
        <v>6</v>
      </c>
      <c r="C733" s="66">
        <f t="shared" si="1381"/>
        <v>30</v>
      </c>
      <c r="E733" s="66">
        <f t="shared" ref="E733" si="1492">plan_id</f>
        <v>1952</v>
      </c>
      <c r="F733" s="66">
        <f t="shared" ca="1" si="1180"/>
        <v>2003</v>
      </c>
      <c r="G733" s="66">
        <f t="shared" ref="G733" ca="1" si="1493">VLOOKUP(INDIRECT(CHAR(39)&amp;$A733&amp;CHAR(39)&amp;"!r2c"&amp;$C733,0),variables,2,0)</f>
        <v>10947</v>
      </c>
      <c r="H733" s="71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66" t="s">
        <v>1045</v>
      </c>
      <c r="B734" s="66">
        <f t="shared" si="1437"/>
        <v>6</v>
      </c>
      <c r="C734" s="66">
        <f t="shared" si="1381"/>
        <v>31</v>
      </c>
      <c r="E734" s="66">
        <f t="shared" ref="E734" si="1494">plan_id</f>
        <v>1952</v>
      </c>
      <c r="F734" s="66">
        <f t="shared" ca="1" si="1180"/>
        <v>2003</v>
      </c>
      <c r="G734" s="66">
        <f t="shared" ref="G734" ca="1" si="1495">VLOOKUP(INDIRECT(CHAR(39)&amp;$A734&amp;CHAR(39)&amp;"!r2c"&amp;$C734,0),variables,2,0)</f>
        <v>10948</v>
      </c>
      <c r="H734" s="71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2">
      <c r="A735" s="66" t="s">
        <v>1045</v>
      </c>
      <c r="B735" s="66">
        <f t="shared" si="1437"/>
        <v>6</v>
      </c>
      <c r="C735" s="66">
        <f t="shared" si="1381"/>
        <v>32</v>
      </c>
      <c r="E735" s="66">
        <f t="shared" ref="E735" si="1496">plan_id</f>
        <v>1952</v>
      </c>
      <c r="F735" s="66">
        <f t="shared" ca="1" si="1180"/>
        <v>2003</v>
      </c>
      <c r="G735" s="66">
        <f t="shared" ref="G735" ca="1" si="1497">VLOOKUP(INDIRECT(CHAR(39)&amp;$A735&amp;CHAR(39)&amp;"!r2c"&amp;$C735,0),variables,2,0)</f>
        <v>10949</v>
      </c>
      <c r="H735" s="71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66" t="s">
        <v>1045</v>
      </c>
      <c r="B736" s="66">
        <f t="shared" si="1437"/>
        <v>6</v>
      </c>
      <c r="C736" s="66">
        <f t="shared" si="1381"/>
        <v>33</v>
      </c>
      <c r="E736" s="66">
        <f t="shared" ref="E736" si="1498">plan_id</f>
        <v>1952</v>
      </c>
      <c r="F736" s="66">
        <f t="shared" ca="1" si="1180"/>
        <v>2003</v>
      </c>
      <c r="G736" s="66">
        <f t="shared" ref="G736" ca="1" si="1499">VLOOKUP(INDIRECT(CHAR(39)&amp;$A736&amp;CHAR(39)&amp;"!r2c"&amp;$C736,0),variables,2,0)</f>
        <v>10951</v>
      </c>
      <c r="H736" s="71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2">
      <c r="A737" s="66" t="s">
        <v>1045</v>
      </c>
      <c r="B737" s="66">
        <f t="shared" si="1437"/>
        <v>6</v>
      </c>
      <c r="C737" s="66">
        <f t="shared" si="1381"/>
        <v>34</v>
      </c>
      <c r="E737" s="66">
        <f t="shared" ref="E737" si="1500">plan_id</f>
        <v>1952</v>
      </c>
      <c r="F737" s="66">
        <f t="shared" ca="1" si="1180"/>
        <v>2003</v>
      </c>
      <c r="G737" s="66">
        <f t="shared" ref="G737" ca="1" si="1501">VLOOKUP(INDIRECT(CHAR(39)&amp;$A737&amp;CHAR(39)&amp;"!r2c"&amp;$C737,0),variables,2,0)</f>
        <v>10950</v>
      </c>
      <c r="H737" s="71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2">
      <c r="A738" s="66" t="s">
        <v>1045</v>
      </c>
      <c r="B738" s="66">
        <f t="shared" si="1437"/>
        <v>6</v>
      </c>
      <c r="C738" s="66">
        <f t="shared" si="1381"/>
        <v>35</v>
      </c>
      <c r="E738" s="66">
        <f t="shared" ref="E738" si="1502">plan_id</f>
        <v>1952</v>
      </c>
      <c r="F738" s="66">
        <f t="shared" ca="1" si="1180"/>
        <v>2003</v>
      </c>
      <c r="G738" s="66">
        <f t="shared" ref="G738" ca="1" si="1503">VLOOKUP(INDIRECT(CHAR(39)&amp;$A738&amp;CHAR(39)&amp;"!r2c"&amp;$C738,0),variables,2,0)</f>
        <v>10954</v>
      </c>
      <c r="H738" s="71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2">
      <c r="A739" s="66" t="s">
        <v>1045</v>
      </c>
      <c r="B739" s="66">
        <f t="shared" si="1437"/>
        <v>6</v>
      </c>
      <c r="C739" s="66">
        <f t="shared" si="1381"/>
        <v>36</v>
      </c>
      <c r="E739" s="66">
        <f t="shared" ref="E739" si="1504">plan_id</f>
        <v>1952</v>
      </c>
      <c r="F739" s="66">
        <f t="shared" ca="1" si="1180"/>
        <v>2003</v>
      </c>
      <c r="G739" s="66">
        <f t="shared" ref="G739" ca="1" si="1505">VLOOKUP(INDIRECT(CHAR(39)&amp;$A739&amp;CHAR(39)&amp;"!r2c"&amp;$C739,0),variables,2,0)</f>
        <v>10955</v>
      </c>
      <c r="H739" s="71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2">
      <c r="A740" s="66" t="s">
        <v>1045</v>
      </c>
      <c r="B740" s="66">
        <f t="shared" si="1437"/>
        <v>6</v>
      </c>
      <c r="C740" s="66">
        <f t="shared" si="1381"/>
        <v>37</v>
      </c>
      <c r="E740" s="66">
        <f t="shared" ref="E740" si="1506">plan_id</f>
        <v>1952</v>
      </c>
      <c r="F740" s="66">
        <f t="shared" ca="1" si="1180"/>
        <v>2003</v>
      </c>
      <c r="G740" s="66">
        <f t="shared" ref="G740" ca="1" si="1507">VLOOKUP(INDIRECT(CHAR(39)&amp;$A740&amp;CHAR(39)&amp;"!r2c"&amp;$C740,0),variables,2,0)</f>
        <v>10956</v>
      </c>
      <c r="H740" s="71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0.03</v>
      </c>
    </row>
    <row r="741" spans="1:8" x14ac:dyDescent="0.2">
      <c r="A741" s="66" t="s">
        <v>1045</v>
      </c>
      <c r="B741" s="66">
        <f t="shared" si="1437"/>
        <v>6</v>
      </c>
      <c r="C741" s="66">
        <f t="shared" si="1381"/>
        <v>38</v>
      </c>
      <c r="E741" s="66">
        <f t="shared" ref="E741" si="1508">plan_id</f>
        <v>1952</v>
      </c>
      <c r="F741" s="66">
        <f t="shared" ca="1" si="1180"/>
        <v>2003</v>
      </c>
      <c r="G741" s="66">
        <f t="shared" ref="G741" ca="1" si="1509">VLOOKUP(INDIRECT(CHAR(39)&amp;$A741&amp;CHAR(39)&amp;"!r2c"&amp;$C741,0),variables,2,0)</f>
        <v>10959</v>
      </c>
      <c r="H741" s="71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SE-4.25% to 6.30% &amp; Teach 4.00% to 7.00%</v>
      </c>
    </row>
    <row r="742" spans="1:8" x14ac:dyDescent="0.2">
      <c r="A742" s="66" t="s">
        <v>1045</v>
      </c>
      <c r="B742" s="66">
        <f t="shared" si="1437"/>
        <v>6</v>
      </c>
      <c r="C742" s="66">
        <f t="shared" si="1381"/>
        <v>39</v>
      </c>
      <c r="E742" s="66">
        <f t="shared" ref="E742" si="1510">plan_id</f>
        <v>1952</v>
      </c>
      <c r="F742" s="66">
        <f t="shared" ca="1" si="1180"/>
        <v>2003</v>
      </c>
      <c r="G742" s="66">
        <f t="shared" ref="G742" ca="1" si="1511">VLOOKUP(INDIRECT(CHAR(39)&amp;$A742&amp;CHAR(39)&amp;"!r2c"&amp;$C742,0),variables,2,0)</f>
        <v>10962</v>
      </c>
      <c r="H742" s="71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Pg.116 &amp; 121</v>
      </c>
    </row>
    <row r="743" spans="1:8" x14ac:dyDescent="0.2">
      <c r="A743" s="66" t="s">
        <v>1045</v>
      </c>
      <c r="B743" s="66">
        <f t="shared" si="1437"/>
        <v>6</v>
      </c>
      <c r="C743" s="66">
        <f t="shared" ref="C743:C806" si="1512">C652</f>
        <v>40</v>
      </c>
      <c r="E743" s="66">
        <f t="shared" ref="E743" si="1513">plan_id</f>
        <v>1952</v>
      </c>
      <c r="F743" s="66">
        <f t="shared" ca="1" si="1180"/>
        <v>2003</v>
      </c>
      <c r="G743" s="66">
        <f t="shared" ref="G743" ca="1" si="1514">VLOOKUP(INDIRECT(CHAR(39)&amp;$A743&amp;CHAR(39)&amp;"!r2c"&amp;$C743,0),variables,2,0)</f>
        <v>10964</v>
      </c>
      <c r="H743" s="71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Pg.115 &amp; 120</v>
      </c>
    </row>
    <row r="744" spans="1:8" x14ac:dyDescent="0.2">
      <c r="A744" s="66" t="s">
        <v>1045</v>
      </c>
      <c r="B744" s="66">
        <f t="shared" si="1437"/>
        <v>6</v>
      </c>
      <c r="C744" s="66">
        <f t="shared" si="1512"/>
        <v>41</v>
      </c>
      <c r="E744" s="66">
        <f t="shared" ref="E744" si="1515">plan_id</f>
        <v>1952</v>
      </c>
      <c r="F744" s="66">
        <f t="shared" ca="1" si="1180"/>
        <v>2003</v>
      </c>
      <c r="G744" s="66">
        <f t="shared" ref="G744" ca="1" si="1516">VLOOKUP(INDIRECT(CHAR(39)&amp;$A744&amp;CHAR(39)&amp;"!r2c"&amp;$C744,0),variables,2,0)</f>
        <v>10967</v>
      </c>
      <c r="H744" s="71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1994 Group Annuity Mortality Table</v>
      </c>
    </row>
    <row r="745" spans="1:8" x14ac:dyDescent="0.2">
      <c r="A745" s="66" t="s">
        <v>1045</v>
      </c>
      <c r="B745" s="66">
        <f t="shared" si="1437"/>
        <v>6</v>
      </c>
      <c r="C745" s="66">
        <f t="shared" si="1512"/>
        <v>42</v>
      </c>
      <c r="E745" s="66">
        <f t="shared" ref="E745" si="1517">plan_id</f>
        <v>1952</v>
      </c>
      <c r="F745" s="66">
        <f t="shared" ca="1" si="1180"/>
        <v>2003</v>
      </c>
      <c r="G745" s="66">
        <f t="shared" ref="G745" ca="1" si="1518">VLOOKUP(INDIRECT(CHAR(39)&amp;$A745&amp;CHAR(39)&amp;"!r2c"&amp;$C745,0),variables,2,0)</f>
        <v>10968</v>
      </c>
      <c r="H745" s="71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2">
      <c r="A746" s="66" t="s">
        <v>1045</v>
      </c>
      <c r="B746" s="66">
        <f t="shared" si="1437"/>
        <v>6</v>
      </c>
      <c r="C746" s="66">
        <f t="shared" si="1512"/>
        <v>43</v>
      </c>
      <c r="E746" s="66">
        <f t="shared" ref="E746" si="1519">plan_id</f>
        <v>1952</v>
      </c>
      <c r="F746" s="66">
        <f t="shared" ca="1" si="1180"/>
        <v>2003</v>
      </c>
      <c r="G746" s="66">
        <f t="shared" ref="G746" ca="1" si="1520">VLOOKUP(INDIRECT(CHAR(39)&amp;$A746&amp;CHAR(39)&amp;"!r2c"&amp;$C746,0),variables,2,0)</f>
        <v>10969</v>
      </c>
      <c r="H746" s="71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66" t="s">
        <v>1045</v>
      </c>
      <c r="B747" s="66">
        <f t="shared" si="1437"/>
        <v>6</v>
      </c>
      <c r="C747" s="66">
        <f t="shared" si="1512"/>
        <v>44</v>
      </c>
      <c r="E747" s="66">
        <f t="shared" ref="E747" si="1521">plan_id</f>
        <v>1952</v>
      </c>
      <c r="F747" s="66">
        <f t="shared" ca="1" si="1180"/>
        <v>2003</v>
      </c>
      <c r="G747" s="66">
        <f t="shared" ref="G747" ca="1" si="1522">VLOOKUP(INDIRECT(CHAR(39)&amp;$A747&amp;CHAR(39)&amp;"!r2c"&amp;$C747,0),variables,2,0)</f>
        <v>10970</v>
      </c>
      <c r="H747" s="71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Teachers: Post Retirement- Males: 2 Years, Females: 1 Year</v>
      </c>
    </row>
    <row r="748" spans="1:8" x14ac:dyDescent="0.2">
      <c r="A748" s="66" t="s">
        <v>1045</v>
      </c>
      <c r="B748" s="66">
        <f t="shared" si="1437"/>
        <v>6</v>
      </c>
      <c r="C748" s="66">
        <f t="shared" si="1512"/>
        <v>45</v>
      </c>
      <c r="E748" s="66">
        <f t="shared" ref="E748" si="1523">plan_id</f>
        <v>1952</v>
      </c>
      <c r="F748" s="66">
        <f t="shared" ca="1" si="1180"/>
        <v>2003</v>
      </c>
      <c r="G748" s="66">
        <f t="shared" ref="G748" ca="1" si="1524">VLOOKUP(INDIRECT(CHAR(39)&amp;$A748&amp;CHAR(39)&amp;"!r2c"&amp;$C748,0),variables,2,0)</f>
        <v>10971</v>
      </c>
      <c r="H748" s="71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66" t="s">
        <v>1045</v>
      </c>
      <c r="B749" s="66">
        <f t="shared" si="1437"/>
        <v>6</v>
      </c>
      <c r="C749" s="66">
        <f t="shared" si="1512"/>
        <v>46</v>
      </c>
      <c r="E749" s="66">
        <f t="shared" ref="E749" si="1525">plan_id</f>
        <v>1952</v>
      </c>
      <c r="F749" s="66">
        <f t="shared" ca="1" si="1180"/>
        <v>2003</v>
      </c>
      <c r="G749" s="66">
        <f t="shared" ref="G749" ca="1" si="1526">VLOOKUP(INDIRECT(CHAR(39)&amp;$A749&amp;CHAR(39)&amp;"!r2c"&amp;$C749,0),variables,2,0)</f>
        <v>10972</v>
      </c>
      <c r="H749" s="71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Closed</v>
      </c>
    </row>
    <row r="750" spans="1:8" x14ac:dyDescent="0.2">
      <c r="A750" s="66" t="s">
        <v>1045</v>
      </c>
      <c r="B750" s="66">
        <f t="shared" si="1437"/>
        <v>6</v>
      </c>
      <c r="C750" s="66">
        <f t="shared" si="1512"/>
        <v>47</v>
      </c>
      <c r="E750" s="66">
        <f t="shared" ref="E750" si="1527">plan_id</f>
        <v>1952</v>
      </c>
      <c r="F750" s="66">
        <f t="shared" ca="1" si="1180"/>
        <v>2003</v>
      </c>
      <c r="G750" s="66">
        <f t="shared" ref="G750" ca="1" si="1528">VLOOKUP(INDIRECT(CHAR(39)&amp;$A750&amp;CHAR(39)&amp;"!r2c"&amp;$C750,0),variables,2,0)</f>
        <v>10973</v>
      </c>
      <c r="H750" s="71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23 Years</v>
      </c>
    </row>
    <row r="751" spans="1:8" x14ac:dyDescent="0.2">
      <c r="A751" s="66" t="s">
        <v>1045</v>
      </c>
      <c r="B751" s="66">
        <f t="shared" si="1437"/>
        <v>6</v>
      </c>
      <c r="C751" s="66">
        <f t="shared" si="1512"/>
        <v>48</v>
      </c>
      <c r="E751" s="66">
        <f t="shared" ref="E751" si="1529">plan_id</f>
        <v>1952</v>
      </c>
      <c r="F751" s="66">
        <f t="shared" ca="1" si="1180"/>
        <v>2003</v>
      </c>
      <c r="G751" s="66">
        <f t="shared" ref="G751" ca="1" si="1530">VLOOKUP(INDIRECT(CHAR(39)&amp;$A751&amp;CHAR(39)&amp;"!r2c"&amp;$C751,0),variables,2,0)</f>
        <v>10975</v>
      </c>
      <c r="H751" s="71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2">
      <c r="A752" s="66" t="s">
        <v>1045</v>
      </c>
      <c r="B752" s="66">
        <f t="shared" si="1437"/>
        <v>6</v>
      </c>
      <c r="C752" s="66">
        <f t="shared" si="1512"/>
        <v>49</v>
      </c>
      <c r="E752" s="66">
        <f t="shared" ref="E752" si="1531">plan_id</f>
        <v>1952</v>
      </c>
      <c r="F752" s="66">
        <f t="shared" ca="1" si="1180"/>
        <v>2003</v>
      </c>
      <c r="G752" s="66">
        <f t="shared" ref="G752" ca="1" si="1532">VLOOKUP(INDIRECT(CHAR(39)&amp;$A752&amp;CHAR(39)&amp;"!r2c"&amp;$C752,0),variables,2,0)</f>
        <v>10976</v>
      </c>
      <c r="H752" s="71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2">
      <c r="A753" s="66" t="s">
        <v>1045</v>
      </c>
      <c r="B753" s="66">
        <f t="shared" si="1437"/>
        <v>6</v>
      </c>
      <c r="C753" s="66">
        <f t="shared" si="1512"/>
        <v>50</v>
      </c>
      <c r="E753" s="66">
        <f t="shared" ref="E753" si="1533">plan_id</f>
        <v>1952</v>
      </c>
      <c r="F753" s="66">
        <f t="shared" ca="1" si="1180"/>
        <v>2003</v>
      </c>
      <c r="G753" s="66">
        <f t="shared" ref="G753" ca="1" si="1534">VLOOKUP(INDIRECT(CHAR(39)&amp;$A753&amp;CHAR(39)&amp;"!r2c"&amp;$C753,0),variables,2,0)</f>
        <v>10977</v>
      </c>
      <c r="H753" s="71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66" t="s">
        <v>1045</v>
      </c>
      <c r="B754" s="66">
        <f t="shared" si="1437"/>
        <v>6</v>
      </c>
      <c r="C754" s="66">
        <f t="shared" si="1512"/>
        <v>51</v>
      </c>
      <c r="E754" s="66">
        <f t="shared" ref="E754" si="1535">plan_id</f>
        <v>1952</v>
      </c>
      <c r="F754" s="66">
        <f t="shared" ca="1" si="1180"/>
        <v>2003</v>
      </c>
      <c r="G754" s="66">
        <f t="shared" ref="G754" ca="1" si="1536">VLOOKUP(INDIRECT(CHAR(39)&amp;$A754&amp;CHAR(39)&amp;"!r2c"&amp;$C754,0),variables,2,0)</f>
        <v>10978</v>
      </c>
      <c r="H754" s="71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2">
      <c r="A755" s="66" t="s">
        <v>1045</v>
      </c>
      <c r="B755" s="66">
        <f t="shared" si="1437"/>
        <v>6</v>
      </c>
      <c r="C755" s="66">
        <f t="shared" si="1512"/>
        <v>52</v>
      </c>
      <c r="E755" s="66">
        <f t="shared" ref="E755" si="1537">plan_id</f>
        <v>1952</v>
      </c>
      <c r="F755" s="66">
        <f t="shared" ca="1" si="1180"/>
        <v>2003</v>
      </c>
      <c r="G755" s="66">
        <f t="shared" ref="G755" ca="1" si="1538">VLOOKUP(INDIRECT(CHAR(39)&amp;$A755&amp;CHAR(39)&amp;"!r2c"&amp;$C755,0),variables,2,0)</f>
        <v>10979</v>
      </c>
      <c r="H755" s="71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2">
      <c r="A756" s="66" t="s">
        <v>1045</v>
      </c>
      <c r="B756" s="66">
        <f t="shared" si="1437"/>
        <v>6</v>
      </c>
      <c r="C756" s="66">
        <f t="shared" si="1512"/>
        <v>53</v>
      </c>
      <c r="E756" s="66">
        <f t="shared" ref="E756" si="1539">plan_id</f>
        <v>1952</v>
      </c>
      <c r="F756" s="66">
        <f t="shared" ca="1" si="1180"/>
        <v>2003</v>
      </c>
      <c r="G756" s="66">
        <f t="shared" ref="G756" ca="1" si="1540">VLOOKUP(INDIRECT(CHAR(39)&amp;$A756&amp;CHAR(39)&amp;"!r2c"&amp;$C756,0),variables,2,0)</f>
        <v>10980</v>
      </c>
      <c r="H756" s="71" t="str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State Employees: 2.26% ;Teachers: 2.48%</v>
      </c>
    </row>
    <row r="757" spans="1:8" x14ac:dyDescent="0.2">
      <c r="A757" s="66" t="s">
        <v>1045</v>
      </c>
      <c r="B757" s="66">
        <f t="shared" si="1437"/>
        <v>6</v>
      </c>
      <c r="C757" s="66">
        <f t="shared" si="1512"/>
        <v>54</v>
      </c>
      <c r="E757" s="66">
        <f t="shared" ref="E757" si="1541">plan_id</f>
        <v>1952</v>
      </c>
      <c r="F757" s="66">
        <f t="shared" ca="1" si="1180"/>
        <v>2003</v>
      </c>
      <c r="G757" s="66">
        <f t="shared" ref="G757" ca="1" si="1542">VLOOKUP(INDIRECT(CHAR(39)&amp;$A757&amp;CHAR(39)&amp;"!r2c"&amp;$C757,0),variables,2,0)</f>
        <v>10981</v>
      </c>
      <c r="H757" s="71" t="str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State Employees: -2.81% ;Teachers: -2.82%</v>
      </c>
    </row>
    <row r="758" spans="1:8" x14ac:dyDescent="0.2">
      <c r="A758" s="66" t="s">
        <v>1045</v>
      </c>
      <c r="B758" s="66">
        <f t="shared" si="1437"/>
        <v>6</v>
      </c>
      <c r="C758" s="66">
        <f t="shared" si="1512"/>
        <v>55</v>
      </c>
      <c r="E758" s="66">
        <f t="shared" ref="E758" si="1543">plan_id</f>
        <v>1952</v>
      </c>
      <c r="F758" s="66">
        <f t="shared" ca="1" si="1180"/>
        <v>2003</v>
      </c>
      <c r="G758" s="66">
        <f t="shared" ref="G758" ca="1" si="1544">VLOOKUP(INDIRECT(CHAR(39)&amp;$A758&amp;CHAR(39)&amp;"!r2c"&amp;$C758,0),variables,2,0)</f>
        <v>10706</v>
      </c>
      <c r="H758" s="71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6.1433996933973835E-4</v>
      </c>
    </row>
    <row r="759" spans="1:8" x14ac:dyDescent="0.2">
      <c r="A759" s="66" t="s">
        <v>1045</v>
      </c>
      <c r="B759" s="66">
        <f t="shared" si="1437"/>
        <v>6</v>
      </c>
      <c r="C759" s="66">
        <f t="shared" si="1512"/>
        <v>56</v>
      </c>
      <c r="E759" s="66">
        <f t="shared" ref="E759" si="1545">plan_id</f>
        <v>1952</v>
      </c>
      <c r="F759" s="66">
        <f t="shared" ca="1" si="1180"/>
        <v>2003</v>
      </c>
      <c r="G759" s="66">
        <f t="shared" ref="G759" ca="1" si="1546">VLOOKUP(INDIRECT(CHAR(39)&amp;$A759&amp;CHAR(39)&amp;"!r2c"&amp;$C759,0),variables,2,0)</f>
        <v>10983</v>
      </c>
      <c r="H759" s="71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2">
      <c r="A760" s="66" t="s">
        <v>1045</v>
      </c>
      <c r="B760" s="66">
        <f t="shared" si="1437"/>
        <v>6</v>
      </c>
      <c r="C760" s="66">
        <f t="shared" si="1512"/>
        <v>57</v>
      </c>
      <c r="E760" s="66">
        <f t="shared" ref="E760" si="1547">plan_id</f>
        <v>1952</v>
      </c>
      <c r="F760" s="66">
        <f t="shared" ca="1" si="1180"/>
        <v>2003</v>
      </c>
      <c r="G760" s="66">
        <f t="shared" ref="G760" ca="1" si="1548">VLOOKUP(INDIRECT(CHAR(39)&amp;$A760&amp;CHAR(39)&amp;"!r2c"&amp;$C760,0),variables,2,0)</f>
        <v>10989</v>
      </c>
      <c r="H760" s="7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31090928000</v>
      </c>
    </row>
    <row r="761" spans="1:8" x14ac:dyDescent="0.2">
      <c r="A761" s="66" t="s">
        <v>1045</v>
      </c>
      <c r="B761" s="66">
        <f t="shared" si="1437"/>
        <v>6</v>
      </c>
      <c r="C761" s="66">
        <f t="shared" si="1512"/>
        <v>58</v>
      </c>
      <c r="E761" s="66">
        <f t="shared" ref="E761" si="1549">plan_id</f>
        <v>1952</v>
      </c>
      <c r="F761" s="66">
        <f t="shared" ca="1" si="1180"/>
        <v>2003</v>
      </c>
      <c r="G761" s="66">
        <f t="shared" ref="G761" ca="1" si="1550">VLOOKUP(INDIRECT(CHAR(39)&amp;$A761&amp;CHAR(39)&amp;"!r2c"&amp;$C761,0),variables,2,0)</f>
        <v>10990</v>
      </c>
      <c r="H761" s="7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32340895000</v>
      </c>
    </row>
    <row r="762" spans="1:8" x14ac:dyDescent="0.2">
      <c r="A762" s="66" t="s">
        <v>1045</v>
      </c>
      <c r="B762" s="66">
        <f t="shared" si="1437"/>
        <v>6</v>
      </c>
      <c r="C762" s="66">
        <f t="shared" si="1512"/>
        <v>59</v>
      </c>
      <c r="E762" s="66">
        <f t="shared" ref="E762" si="1551">plan_id</f>
        <v>1952</v>
      </c>
      <c r="F762" s="66">
        <f t="shared" ca="1" si="1180"/>
        <v>2003</v>
      </c>
      <c r="G762" s="66">
        <f t="shared" ref="G762" ca="1" si="1552">VLOOKUP(INDIRECT(CHAR(39)&amp;$A762&amp;CHAR(39)&amp;"!r2c"&amp;$C762,0),variables,2,0)</f>
        <v>10991</v>
      </c>
      <c r="H762" s="7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1249967000</v>
      </c>
    </row>
    <row r="763" spans="1:8" x14ac:dyDescent="0.2">
      <c r="A763" s="66" t="s">
        <v>1045</v>
      </c>
      <c r="B763" s="66">
        <f t="shared" si="1437"/>
        <v>6</v>
      </c>
      <c r="C763" s="66">
        <f t="shared" si="1512"/>
        <v>60</v>
      </c>
      <c r="E763" s="66">
        <f t="shared" ref="E763" si="1553">plan_id</f>
        <v>1952</v>
      </c>
      <c r="F763" s="66">
        <f t="shared" ca="1" si="1180"/>
        <v>2003</v>
      </c>
      <c r="G763" s="66">
        <f t="shared" ref="G763" ca="1" si="1554">VLOOKUP(INDIRECT(CHAR(39)&amp;$A763&amp;CHAR(39)&amp;"!r2c"&amp;$C763,0),variables,2,0)</f>
        <v>10992</v>
      </c>
      <c r="H763" s="71" t="str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State Employees: 100.4%; Teachers: 93.7%</v>
      </c>
    </row>
    <row r="764" spans="1:8" x14ac:dyDescent="0.2">
      <c r="A764" s="66" t="s">
        <v>1045</v>
      </c>
      <c r="B764" s="66">
        <f t="shared" si="1437"/>
        <v>6</v>
      </c>
      <c r="C764" s="66">
        <f t="shared" si="1512"/>
        <v>61</v>
      </c>
      <c r="E764" s="66">
        <f t="shared" ref="E764" si="1555">plan_id</f>
        <v>1952</v>
      </c>
      <c r="F764" s="66">
        <f t="shared" ca="1" si="1180"/>
        <v>2003</v>
      </c>
      <c r="G764" s="66">
        <f t="shared" ref="G764" ca="1" si="1556">VLOOKUP(INDIRECT(CHAR(39)&amp;$A764&amp;CHAR(39)&amp;"!r2c"&amp;$C764,0),variables,2,0)</f>
        <v>10993</v>
      </c>
      <c r="H764" s="71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7962210000</v>
      </c>
    </row>
    <row r="765" spans="1:8" x14ac:dyDescent="0.2">
      <c r="A765" s="66" t="s">
        <v>1045</v>
      </c>
      <c r="B765" s="66">
        <f t="shared" si="1437"/>
        <v>6</v>
      </c>
      <c r="C765" s="66">
        <f t="shared" si="1512"/>
        <v>62</v>
      </c>
      <c r="E765" s="66">
        <f t="shared" ref="E765" si="1557">plan_id</f>
        <v>1952</v>
      </c>
      <c r="F765" s="66">
        <f t="shared" ca="1" si="1180"/>
        <v>2003</v>
      </c>
      <c r="G765" s="66">
        <f t="shared" ref="G765" ca="1" si="1558">VLOOKUP(INDIRECT(CHAR(39)&amp;$A765&amp;CHAR(39)&amp;"!r2c"&amp;$C765,0),variables,2,0)</f>
        <v>10801</v>
      </c>
      <c r="H765" s="71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66" t="s">
        <v>1045</v>
      </c>
      <c r="B766" s="66">
        <f t="shared" si="1437"/>
        <v>6</v>
      </c>
      <c r="C766" s="66">
        <f t="shared" si="1512"/>
        <v>63</v>
      </c>
      <c r="E766" s="66">
        <f t="shared" ref="E766" si="1559">plan_id</f>
        <v>1952</v>
      </c>
      <c r="F766" s="66">
        <f t="shared" ca="1" si="1180"/>
        <v>2003</v>
      </c>
      <c r="G766" s="66">
        <f t="shared" ref="G766" ca="1" si="1560">VLOOKUP(INDIRECT(CHAR(39)&amp;$A766&amp;CHAR(39)&amp;"!r2c"&amp;$C766,0),variables,2,0)</f>
        <v>10802</v>
      </c>
      <c r="H766" s="7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66" t="s">
        <v>1045</v>
      </c>
      <c r="B767" s="66">
        <f t="shared" si="1437"/>
        <v>6</v>
      </c>
      <c r="C767" s="66">
        <f t="shared" si="1512"/>
        <v>64</v>
      </c>
      <c r="E767" s="66">
        <f t="shared" ref="E767" si="1561">plan_id</f>
        <v>1952</v>
      </c>
      <c r="F767" s="66">
        <f t="shared" ca="1" si="1180"/>
        <v>2003</v>
      </c>
      <c r="G767" s="66">
        <f t="shared" ref="G767" ca="1" si="1562">VLOOKUP(INDIRECT(CHAR(39)&amp;$A767&amp;CHAR(39)&amp;"!r2c"&amp;$C767,0),variables,2,0)</f>
        <v>10803</v>
      </c>
      <c r="H767" s="71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66" t="s">
        <v>1045</v>
      </c>
      <c r="B768" s="66">
        <f t="shared" si="1437"/>
        <v>6</v>
      </c>
      <c r="C768" s="66">
        <f t="shared" si="1512"/>
        <v>65</v>
      </c>
      <c r="E768" s="66">
        <f t="shared" ref="E768" si="1563">plan_id</f>
        <v>1952</v>
      </c>
      <c r="F768" s="66">
        <f t="shared" ca="1" si="1180"/>
        <v>2003</v>
      </c>
      <c r="G768" s="66">
        <f t="shared" ref="G768" ca="1" si="1564">VLOOKUP(INDIRECT(CHAR(39)&amp;$A768&amp;CHAR(39)&amp;"!r2c"&amp;$C768,0),variables,2,0)</f>
        <v>10804</v>
      </c>
      <c r="H768" s="7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66" t="s">
        <v>1045</v>
      </c>
      <c r="B769" s="66">
        <f t="shared" si="1437"/>
        <v>6</v>
      </c>
      <c r="C769" s="66">
        <f t="shared" si="1512"/>
        <v>66</v>
      </c>
      <c r="E769" s="66">
        <f t="shared" ref="E769" si="1565">plan_id</f>
        <v>1952</v>
      </c>
      <c r="F769" s="66">
        <f t="shared" ca="1" si="1180"/>
        <v>2003</v>
      </c>
      <c r="G769" s="66">
        <f t="shared" ref="G769" ca="1" si="1566">VLOOKUP(INDIRECT(CHAR(39)&amp;$A769&amp;CHAR(39)&amp;"!r2c"&amp;$C769,0),variables,2,0)</f>
        <v>10805</v>
      </c>
      <c r="H769" s="7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66" t="s">
        <v>1045</v>
      </c>
      <c r="B770" s="66">
        <f t="shared" ref="B770" si="1567">B705+1</f>
        <v>6</v>
      </c>
      <c r="C770" s="66">
        <f t="shared" si="1512"/>
        <v>67</v>
      </c>
      <c r="E770" s="66">
        <f t="shared" ref="E770" si="1568">plan_id</f>
        <v>1952</v>
      </c>
      <c r="F770" s="66">
        <f t="shared" ca="1" si="1180"/>
        <v>2003</v>
      </c>
      <c r="G770" s="66">
        <f t="shared" ref="G770" ca="1" si="1569">VLOOKUP(INDIRECT(CHAR(39)&amp;$A770&amp;CHAR(39)&amp;"!r2c"&amp;$C770,0),variables,2,0)</f>
        <v>10806</v>
      </c>
      <c r="H770" s="7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66" t="s">
        <v>1045</v>
      </c>
      <c r="B771" s="66">
        <f>B770</f>
        <v>6</v>
      </c>
      <c r="C771" s="66">
        <f t="shared" si="1512"/>
        <v>68</v>
      </c>
      <c r="E771" s="66">
        <f t="shared" ref="E771" si="1570">plan_id</f>
        <v>1952</v>
      </c>
      <c r="F771" s="66">
        <f t="shared" ca="1" si="1180"/>
        <v>2003</v>
      </c>
      <c r="G771" s="66">
        <f t="shared" ref="G771" ca="1" si="1571">VLOOKUP(INDIRECT(CHAR(39)&amp;$A771&amp;CHAR(39)&amp;"!r2c"&amp;$C771,0),variables,2,0)</f>
        <v>10807</v>
      </c>
      <c r="H771" s="7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66" t="s">
        <v>1045</v>
      </c>
      <c r="B772" s="66">
        <f t="shared" ref="B772:B796" si="1572">B771</f>
        <v>6</v>
      </c>
      <c r="C772" s="66">
        <f t="shared" si="1512"/>
        <v>69</v>
      </c>
      <c r="E772" s="66">
        <f t="shared" ref="E772" si="1573">plan_id</f>
        <v>1952</v>
      </c>
      <c r="F772" s="66">
        <f t="shared" ca="1" si="1180"/>
        <v>2003</v>
      </c>
      <c r="G772" s="66">
        <f t="shared" ref="G772" ca="1" si="1574">VLOOKUP(INDIRECT(CHAR(39)&amp;$A772&amp;CHAR(39)&amp;"!r2c"&amp;$C772,0),variables,2,0)</f>
        <v>10808</v>
      </c>
      <c r="H772" s="7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66" t="s">
        <v>1045</v>
      </c>
      <c r="B773" s="66">
        <f t="shared" si="1572"/>
        <v>6</v>
      </c>
      <c r="C773" s="66">
        <f t="shared" si="1512"/>
        <v>70</v>
      </c>
      <c r="E773" s="66">
        <f t="shared" ref="E773" si="1575">plan_id</f>
        <v>1952</v>
      </c>
      <c r="F773" s="66">
        <f t="shared" ca="1" si="1180"/>
        <v>2003</v>
      </c>
      <c r="G773" s="66">
        <f t="shared" ref="G773" ca="1" si="1576">VLOOKUP(INDIRECT(CHAR(39)&amp;$A773&amp;CHAR(39)&amp;"!r2c"&amp;$C773,0),variables,2,0)</f>
        <v>10809</v>
      </c>
      <c r="H773" s="7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66" t="s">
        <v>1045</v>
      </c>
      <c r="B774" s="66">
        <f t="shared" si="1572"/>
        <v>6</v>
      </c>
      <c r="C774" s="66">
        <f t="shared" si="1512"/>
        <v>71</v>
      </c>
      <c r="E774" s="66">
        <f t="shared" ref="E774" si="1577">plan_id</f>
        <v>1952</v>
      </c>
      <c r="F774" s="66">
        <f t="shared" ca="1" si="1180"/>
        <v>2003</v>
      </c>
      <c r="G774" s="66">
        <f t="shared" ref="G774" ca="1" si="1578">VLOOKUP(INDIRECT(CHAR(39)&amp;$A774&amp;CHAR(39)&amp;"!r2c"&amp;$C774,0),variables,2,0)</f>
        <v>10810</v>
      </c>
      <c r="H774" s="71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66" t="s">
        <v>1045</v>
      </c>
      <c r="B775" s="66">
        <f t="shared" si="1572"/>
        <v>6</v>
      </c>
      <c r="C775" s="66">
        <f t="shared" si="1512"/>
        <v>72</v>
      </c>
      <c r="E775" s="66">
        <f t="shared" ref="E775" si="1579">plan_id</f>
        <v>1952</v>
      </c>
      <c r="F775" s="66">
        <f t="shared" ca="1" si="1180"/>
        <v>2003</v>
      </c>
      <c r="G775" s="66">
        <f t="shared" ref="G775" ca="1" si="1580">VLOOKUP(INDIRECT(CHAR(39)&amp;$A775&amp;CHAR(39)&amp;"!r2c"&amp;$C775,0),variables,2,0)</f>
        <v>10811</v>
      </c>
      <c r="H775" s="7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66" t="s">
        <v>1045</v>
      </c>
      <c r="B776" s="66">
        <f t="shared" si="1572"/>
        <v>6</v>
      </c>
      <c r="C776" s="66">
        <f t="shared" si="1512"/>
        <v>73</v>
      </c>
      <c r="E776" s="66">
        <f t="shared" ref="E776" si="1581">plan_id</f>
        <v>1952</v>
      </c>
      <c r="F776" s="66">
        <f t="shared" ca="1" si="1180"/>
        <v>2003</v>
      </c>
      <c r="G776" s="66">
        <f t="shared" ref="G776" ca="1" si="1582">VLOOKUP(INDIRECT(CHAR(39)&amp;$A776&amp;CHAR(39)&amp;"!r2c"&amp;$C776,0),variables,2,0)</f>
        <v>10812</v>
      </c>
      <c r="H776" s="7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66" t="s">
        <v>1045</v>
      </c>
      <c r="B777" s="66">
        <f t="shared" si="1572"/>
        <v>6</v>
      </c>
      <c r="C777" s="66">
        <f t="shared" si="1512"/>
        <v>74</v>
      </c>
      <c r="E777" s="66">
        <f t="shared" ref="E777" si="1583">plan_id</f>
        <v>1952</v>
      </c>
      <c r="F777" s="66">
        <f t="shared" ca="1" si="1180"/>
        <v>2003</v>
      </c>
      <c r="G777" s="66">
        <f t="shared" ref="G777" ca="1" si="1584">VLOOKUP(INDIRECT(CHAR(39)&amp;$A777&amp;CHAR(39)&amp;"!r2c"&amp;$C777,0),variables,2,0)</f>
        <v>10813</v>
      </c>
      <c r="H777" s="71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66" t="s">
        <v>1045</v>
      </c>
      <c r="B778" s="66">
        <f t="shared" si="1572"/>
        <v>6</v>
      </c>
      <c r="C778" s="66">
        <f t="shared" si="1512"/>
        <v>75</v>
      </c>
      <c r="E778" s="66">
        <f t="shared" ref="E778" si="1585">plan_id</f>
        <v>1952</v>
      </c>
      <c r="F778" s="66">
        <f t="shared" ca="1" si="1180"/>
        <v>2003</v>
      </c>
      <c r="G778" s="66">
        <f t="shared" ref="G778" ca="1" si="1586">VLOOKUP(INDIRECT(CHAR(39)&amp;$A778&amp;CHAR(39)&amp;"!r2c"&amp;$C778,0),variables,2,0)</f>
        <v>10814</v>
      </c>
      <c r="H778" s="71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66" t="s">
        <v>1045</v>
      </c>
      <c r="B779" s="66">
        <f t="shared" si="1572"/>
        <v>6</v>
      </c>
      <c r="C779" s="66">
        <f t="shared" si="1512"/>
        <v>76</v>
      </c>
      <c r="E779" s="66">
        <f t="shared" ref="E779" si="1587">plan_id</f>
        <v>1952</v>
      </c>
      <c r="F779" s="66">
        <f t="shared" ca="1" si="1180"/>
        <v>2003</v>
      </c>
      <c r="G779" s="66">
        <f t="shared" ref="G779" ca="1" si="1588">VLOOKUP(INDIRECT(CHAR(39)&amp;$A779&amp;CHAR(39)&amp;"!r2c"&amp;$C779,0),variables,2,0)</f>
        <v>10815</v>
      </c>
      <c r="H779" s="71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66" t="s">
        <v>1045</v>
      </c>
      <c r="B780" s="66">
        <f t="shared" si="1572"/>
        <v>6</v>
      </c>
      <c r="C780" s="66">
        <f t="shared" si="1512"/>
        <v>77</v>
      </c>
      <c r="E780" s="66">
        <f t="shared" ref="E780" si="1589">plan_id</f>
        <v>1952</v>
      </c>
      <c r="F780" s="66">
        <f t="shared" ca="1" si="1180"/>
        <v>2003</v>
      </c>
      <c r="G780" s="66">
        <f t="shared" ref="G780" ca="1" si="1590">VLOOKUP(INDIRECT(CHAR(39)&amp;$A780&amp;CHAR(39)&amp;"!r2c"&amp;$C780,0),variables,2,0)</f>
        <v>10816</v>
      </c>
      <c r="H780" s="7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66" t="s">
        <v>1045</v>
      </c>
      <c r="B781" s="66">
        <f t="shared" si="1572"/>
        <v>6</v>
      </c>
      <c r="C781" s="66">
        <f t="shared" si="1512"/>
        <v>78</v>
      </c>
      <c r="E781" s="66">
        <f t="shared" ref="E781" si="1591">plan_id</f>
        <v>1952</v>
      </c>
      <c r="F781" s="66">
        <f t="shared" ca="1" si="1180"/>
        <v>2003</v>
      </c>
      <c r="G781" s="66">
        <f t="shared" ref="G781" ca="1" si="1592">VLOOKUP(INDIRECT(CHAR(39)&amp;$A781&amp;CHAR(39)&amp;"!r2c"&amp;$C781,0),variables,2,0)</f>
        <v>10817</v>
      </c>
      <c r="H781" s="7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66" t="s">
        <v>1045</v>
      </c>
      <c r="B782" s="66">
        <f t="shared" si="1572"/>
        <v>6</v>
      </c>
      <c r="C782" s="66">
        <f t="shared" si="1512"/>
        <v>79</v>
      </c>
      <c r="E782" s="66">
        <f t="shared" ref="E782" si="1593">plan_id</f>
        <v>1952</v>
      </c>
      <c r="F782" s="66">
        <f t="shared" ca="1" si="1180"/>
        <v>2003</v>
      </c>
      <c r="G782" s="66">
        <f t="shared" ref="G782" ca="1" si="1594">VLOOKUP(INDIRECT(CHAR(39)&amp;$A782&amp;CHAR(39)&amp;"!r2c"&amp;$C782,0),variables,2,0)</f>
        <v>10818</v>
      </c>
      <c r="H782" s="71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66" t="s">
        <v>1045</v>
      </c>
      <c r="B783" s="66">
        <f t="shared" si="1572"/>
        <v>6</v>
      </c>
      <c r="C783" s="66">
        <f t="shared" si="1512"/>
        <v>80</v>
      </c>
      <c r="E783" s="66">
        <f t="shared" ref="E783" si="1595">plan_id</f>
        <v>1952</v>
      </c>
      <c r="F783" s="66">
        <f t="shared" ca="1" si="1180"/>
        <v>2003</v>
      </c>
      <c r="G783" s="66">
        <f t="shared" ref="G783" ca="1" si="1596">VLOOKUP(INDIRECT(CHAR(39)&amp;$A783&amp;CHAR(39)&amp;"!r2c"&amp;$C783,0),variables,2,0)</f>
        <v>10819</v>
      </c>
      <c r="H783" s="71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66" t="s">
        <v>1045</v>
      </c>
      <c r="B784" s="66">
        <f t="shared" si="1572"/>
        <v>6</v>
      </c>
      <c r="C784" s="66">
        <f t="shared" si="1512"/>
        <v>81</v>
      </c>
      <c r="E784" s="66">
        <f t="shared" ref="E784" si="1597">plan_id</f>
        <v>1952</v>
      </c>
      <c r="F784" s="66">
        <f t="shared" ca="1" si="1180"/>
        <v>2003</v>
      </c>
      <c r="G784" s="66">
        <f t="shared" ref="G784" ca="1" si="1598">VLOOKUP(INDIRECT(CHAR(39)&amp;$A784&amp;CHAR(39)&amp;"!r2c"&amp;$C784,0),variables,2,0)</f>
        <v>10820</v>
      </c>
      <c r="H784" s="71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66" t="s">
        <v>1045</v>
      </c>
      <c r="B785" s="66">
        <f t="shared" si="1572"/>
        <v>6</v>
      </c>
      <c r="C785" s="66">
        <f t="shared" si="1512"/>
        <v>82</v>
      </c>
      <c r="E785" s="66">
        <f t="shared" ref="E785" si="1599">plan_id</f>
        <v>1952</v>
      </c>
      <c r="F785" s="66">
        <f t="shared" ca="1" si="1180"/>
        <v>2003</v>
      </c>
      <c r="G785" s="66">
        <f t="shared" ref="G785" ca="1" si="1600">VLOOKUP(INDIRECT(CHAR(39)&amp;$A785&amp;CHAR(39)&amp;"!r2c"&amp;$C785,0),variables,2,0)</f>
        <v>10821</v>
      </c>
      <c r="H785" s="71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66" t="s">
        <v>1045</v>
      </c>
      <c r="B786" s="66">
        <f t="shared" si="1572"/>
        <v>6</v>
      </c>
      <c r="C786" s="66">
        <f t="shared" si="1512"/>
        <v>83</v>
      </c>
      <c r="E786" s="66">
        <f t="shared" ref="E786" si="1601">plan_id</f>
        <v>1952</v>
      </c>
      <c r="F786" s="66">
        <f t="shared" ca="1" si="1180"/>
        <v>2003</v>
      </c>
      <c r="G786" s="66">
        <f t="shared" ref="G786" ca="1" si="1602">VLOOKUP(INDIRECT(CHAR(39)&amp;$A786&amp;CHAR(39)&amp;"!r2c"&amp;$C786,0),variables,2,0)</f>
        <v>10822</v>
      </c>
      <c r="H786" s="71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66" t="s">
        <v>1045</v>
      </c>
      <c r="B787" s="66">
        <f t="shared" si="1572"/>
        <v>6</v>
      </c>
      <c r="C787" s="66">
        <f t="shared" si="1512"/>
        <v>84</v>
      </c>
      <c r="E787" s="66">
        <f t="shared" ref="E787" si="1603">plan_id</f>
        <v>1952</v>
      </c>
      <c r="F787" s="66">
        <f t="shared" ca="1" si="1180"/>
        <v>2003</v>
      </c>
      <c r="G787" s="66">
        <f t="shared" ref="G787" ca="1" si="1604">VLOOKUP(INDIRECT(CHAR(39)&amp;$A787&amp;CHAR(39)&amp;"!r2c"&amp;$C787,0),variables,2,0)</f>
        <v>10829</v>
      </c>
      <c r="H787" s="71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66" t="s">
        <v>1045</v>
      </c>
      <c r="B788" s="66">
        <f t="shared" si="1572"/>
        <v>6</v>
      </c>
      <c r="C788" s="66">
        <f t="shared" si="1512"/>
        <v>85</v>
      </c>
      <c r="E788" s="66">
        <f t="shared" ref="E788" si="1605">plan_id</f>
        <v>1952</v>
      </c>
      <c r="F788" s="66">
        <f t="shared" ca="1" si="1180"/>
        <v>2003</v>
      </c>
      <c r="G788" s="66">
        <f t="shared" ref="G788" ca="1" si="1606">VLOOKUP(INDIRECT(CHAR(39)&amp;$A788&amp;CHAR(39)&amp;"!r2c"&amp;$C788,0),variables,2,0)</f>
        <v>10823</v>
      </c>
      <c r="H788" s="71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66" t="s">
        <v>1045</v>
      </c>
      <c r="B789" s="66">
        <f t="shared" si="1572"/>
        <v>6</v>
      </c>
      <c r="C789" s="66">
        <f t="shared" si="1512"/>
        <v>86</v>
      </c>
      <c r="E789" s="66">
        <f t="shared" ref="E789" si="1607">plan_id</f>
        <v>1952</v>
      </c>
      <c r="F789" s="66">
        <f t="shared" ca="1" si="1180"/>
        <v>2003</v>
      </c>
      <c r="G789" s="66">
        <f t="shared" ref="G789" ca="1" si="1608">VLOOKUP(INDIRECT(CHAR(39)&amp;$A789&amp;CHAR(39)&amp;"!r2c"&amp;$C789,0),variables,2,0)</f>
        <v>10798</v>
      </c>
      <c r="H789" s="71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66" t="s">
        <v>1045</v>
      </c>
      <c r="B790" s="66">
        <f t="shared" si="1572"/>
        <v>6</v>
      </c>
      <c r="C790" s="66">
        <f t="shared" si="1512"/>
        <v>87</v>
      </c>
      <c r="E790" s="66">
        <f t="shared" ref="E790" si="1609">plan_id</f>
        <v>1952</v>
      </c>
      <c r="F790" s="66">
        <f t="shared" ca="1" si="1180"/>
        <v>2003</v>
      </c>
      <c r="G790" s="66">
        <f t="shared" ref="G790" ca="1" si="1610">VLOOKUP(INDIRECT(CHAR(39)&amp;$A790&amp;CHAR(39)&amp;"!r2c"&amp;$C790,0),variables,2,0)</f>
        <v>10799</v>
      </c>
      <c r="H790" s="7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66" t="s">
        <v>1045</v>
      </c>
      <c r="B791" s="66">
        <f t="shared" si="1572"/>
        <v>6</v>
      </c>
      <c r="C791" s="66">
        <f t="shared" si="1512"/>
        <v>88</v>
      </c>
      <c r="E791" s="66">
        <f t="shared" ref="E791" si="1611">plan_id</f>
        <v>1952</v>
      </c>
      <c r="F791" s="66">
        <f t="shared" ca="1" si="1180"/>
        <v>2003</v>
      </c>
      <c r="G791" s="66">
        <f t="shared" ref="G791" ca="1" si="1612">VLOOKUP(INDIRECT(CHAR(39)&amp;$A791&amp;CHAR(39)&amp;"!r2c"&amp;$C791,0),variables,2,0)</f>
        <v>10800</v>
      </c>
      <c r="H791" s="7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66" t="s">
        <v>1045</v>
      </c>
      <c r="B792" s="66">
        <f t="shared" si="1572"/>
        <v>6</v>
      </c>
      <c r="C792" s="66">
        <f t="shared" si="1512"/>
        <v>89</v>
      </c>
      <c r="E792" s="66">
        <f t="shared" ref="E792" si="1613">plan_id</f>
        <v>1952</v>
      </c>
      <c r="F792" s="66">
        <f t="shared" ca="1" si="1180"/>
        <v>2003</v>
      </c>
      <c r="G792" s="66">
        <f t="shared" ref="G792" ca="1" si="1614">VLOOKUP(INDIRECT(CHAR(39)&amp;$A792&amp;CHAR(39)&amp;"!r2c"&amp;$C792,0),variables,2,0)</f>
        <v>10824</v>
      </c>
      <c r="H792" s="7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66" t="s">
        <v>1045</v>
      </c>
      <c r="B793" s="66">
        <f t="shared" si="1572"/>
        <v>6</v>
      </c>
      <c r="C793" s="66">
        <f t="shared" si="1512"/>
        <v>90</v>
      </c>
      <c r="E793" s="66">
        <f t="shared" ref="E793" si="1615">plan_id</f>
        <v>1952</v>
      </c>
      <c r="F793" s="66">
        <f t="shared" ca="1" si="1180"/>
        <v>2003</v>
      </c>
      <c r="G793" s="66">
        <f t="shared" ref="G793" ca="1" si="1616">VLOOKUP(INDIRECT(CHAR(39)&amp;$A793&amp;CHAR(39)&amp;"!r2c"&amp;$C793,0),variables,2,0)</f>
        <v>10825</v>
      </c>
      <c r="H793" s="71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66" t="s">
        <v>1045</v>
      </c>
      <c r="B794" s="66">
        <f t="shared" si="1572"/>
        <v>6</v>
      </c>
      <c r="C794" s="66">
        <f t="shared" si="1512"/>
        <v>91</v>
      </c>
      <c r="E794" s="66">
        <f t="shared" ref="E794" si="1617">plan_id</f>
        <v>1952</v>
      </c>
      <c r="F794" s="66">
        <f t="shared" ca="1" si="1180"/>
        <v>2003</v>
      </c>
      <c r="G794" s="66">
        <f t="shared" ref="G794" ca="1" si="1618">VLOOKUP(INDIRECT(CHAR(39)&amp;$A794&amp;CHAR(39)&amp;"!r2c"&amp;$C794,0),variables,2,0)</f>
        <v>10826</v>
      </c>
      <c r="H794" s="71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66" t="s">
        <v>1045</v>
      </c>
      <c r="B795" s="66">
        <f t="shared" si="1572"/>
        <v>6</v>
      </c>
      <c r="C795" s="66">
        <f t="shared" si="1512"/>
        <v>92</v>
      </c>
      <c r="E795" s="66">
        <f t="shared" ref="E795" si="1619">plan_id</f>
        <v>1952</v>
      </c>
      <c r="F795" s="66">
        <f t="shared" ca="1" si="1180"/>
        <v>2003</v>
      </c>
      <c r="G795" s="66">
        <f t="shared" ref="G795" ca="1" si="1620">VLOOKUP(INDIRECT(CHAR(39)&amp;$A795&amp;CHAR(39)&amp;"!r2c"&amp;$C795,0),variables,2,0)</f>
        <v>10828</v>
      </c>
      <c r="H795" s="71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66" t="s">
        <v>1045</v>
      </c>
      <c r="B796" s="66">
        <f t="shared" si="1572"/>
        <v>6</v>
      </c>
      <c r="C796" s="66">
        <f t="shared" si="1512"/>
        <v>93</v>
      </c>
      <c r="E796" s="66">
        <f t="shared" ref="E796" si="1621">plan_id</f>
        <v>1952</v>
      </c>
      <c r="F796" s="66">
        <f t="shared" ca="1" si="1180"/>
        <v>2003</v>
      </c>
      <c r="G796" s="66">
        <f t="shared" ref="G796" ca="1" si="1622">VLOOKUP(INDIRECT(CHAR(39)&amp;$A796&amp;CHAR(39)&amp;"!r2c"&amp;$C796,0),variables,2,0)</f>
        <v>10827</v>
      </c>
      <c r="H796" s="71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66" t="s">
        <v>1045</v>
      </c>
      <c r="B797" s="66">
        <f t="shared" ref="B797:B860" si="1623">B732+1</f>
        <v>7</v>
      </c>
      <c r="C797" s="66">
        <f t="shared" si="1512"/>
        <v>3</v>
      </c>
      <c r="E797" s="66">
        <f t="shared" ref="E797" si="1624">plan_id</f>
        <v>1952</v>
      </c>
      <c r="F797" s="66">
        <f t="shared" ca="1" si="1180"/>
        <v>2004</v>
      </c>
      <c r="G797" s="66">
        <f t="shared" ref="G797" ca="1" si="1625">VLOOKUP(INDIRECT(CHAR(39)&amp;$A797&amp;CHAR(39)&amp;"!r2c"&amp;$C797,0),variables,2,0)</f>
        <v>10703</v>
      </c>
      <c r="H797" s="71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2006 - 2008</v>
      </c>
    </row>
    <row r="798" spans="1:8" x14ac:dyDescent="0.2">
      <c r="A798" s="66" t="s">
        <v>1045</v>
      </c>
      <c r="B798" s="66">
        <f t="shared" si="1623"/>
        <v>7</v>
      </c>
      <c r="C798" s="66">
        <f t="shared" si="1512"/>
        <v>4</v>
      </c>
      <c r="E798" s="66">
        <f t="shared" ref="E798" si="1626">plan_id</f>
        <v>1952</v>
      </c>
      <c r="F798" s="66">
        <f t="shared" ca="1" si="1180"/>
        <v>2004</v>
      </c>
      <c r="G798" s="66">
        <f t="shared" ref="G798" ca="1" si="1627">VLOOKUP(INDIRECT(CHAR(39)&amp;$A798&amp;CHAR(39)&amp;"!r2c"&amp;$C798,0),variables,2,0)</f>
        <v>10845</v>
      </c>
      <c r="H798" s="71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GABRIEL,ROEDER,SMITH &amp; COMPANY</v>
      </c>
    </row>
    <row r="799" spans="1:8" x14ac:dyDescent="0.2">
      <c r="A799" s="66" t="s">
        <v>1045</v>
      </c>
      <c r="B799" s="66">
        <f t="shared" si="1623"/>
        <v>7</v>
      </c>
      <c r="C799" s="66">
        <f t="shared" si="1512"/>
        <v>5</v>
      </c>
      <c r="E799" s="66">
        <f t="shared" ref="E799" si="1628">plan_id</f>
        <v>1952</v>
      </c>
      <c r="F799" s="66">
        <f t="shared" ca="1" si="1180"/>
        <v>2004</v>
      </c>
      <c r="G799" s="66">
        <f t="shared" ref="G799" ca="1" si="1629">VLOOKUP(INDIRECT(CHAR(39)&amp;$A799&amp;CHAR(39)&amp;"!r2c"&amp;$C799,0),variables,2,0)</f>
        <v>10924</v>
      </c>
      <c r="H799" s="71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(i)9%; (ii)11.03%</v>
      </c>
    </row>
    <row r="800" spans="1:8" x14ac:dyDescent="0.2">
      <c r="A800" s="66" t="s">
        <v>1045</v>
      </c>
      <c r="B800" s="66">
        <f t="shared" si="1623"/>
        <v>7</v>
      </c>
      <c r="C800" s="66">
        <f t="shared" si="1512"/>
        <v>6</v>
      </c>
      <c r="E800" s="66">
        <f t="shared" ref="E800" si="1630">plan_id</f>
        <v>1952</v>
      </c>
      <c r="F800" s="66">
        <f t="shared" ca="1" si="1180"/>
        <v>2004</v>
      </c>
      <c r="G800" s="66">
        <f t="shared" ref="G800" ca="1" si="1631">VLOOKUP(INDIRECT(CHAR(39)&amp;$A800&amp;CHAR(39)&amp;"!r2c"&amp;$C800,0),variables,2,0)</f>
        <v>10925</v>
      </c>
      <c r="H800" s="71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(i)4%; (ii)6.03%</v>
      </c>
    </row>
    <row r="801" spans="1:8" x14ac:dyDescent="0.2">
      <c r="A801" s="66" t="s">
        <v>1045</v>
      </c>
      <c r="B801" s="66">
        <f t="shared" si="1623"/>
        <v>7</v>
      </c>
      <c r="C801" s="66">
        <f t="shared" si="1512"/>
        <v>7</v>
      </c>
      <c r="E801" s="66">
        <f t="shared" ref="E801" si="1632">plan_id</f>
        <v>1952</v>
      </c>
      <c r="F801" s="66">
        <f t="shared" ca="1" si="1180"/>
        <v>2004</v>
      </c>
      <c r="G801" s="66">
        <f t="shared" ref="G801" ca="1" si="1633">VLOOKUP(INDIRECT(CHAR(39)&amp;$A801&amp;CHAR(39)&amp;"!r2c"&amp;$C801,0),variables,2,0)</f>
        <v>10926</v>
      </c>
      <c r="H801" s="71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(i)5%; (ii)5%</v>
      </c>
    </row>
    <row r="802" spans="1:8" x14ac:dyDescent="0.2">
      <c r="A802" s="66" t="s">
        <v>1045</v>
      </c>
      <c r="B802" s="66">
        <f t="shared" si="1623"/>
        <v>7</v>
      </c>
      <c r="C802" s="66">
        <f t="shared" si="1512"/>
        <v>8</v>
      </c>
      <c r="E802" s="66">
        <f t="shared" ref="E802" si="1634">plan_id</f>
        <v>1952</v>
      </c>
      <c r="F802" s="66">
        <f t="shared" ca="1" si="1180"/>
        <v>2004</v>
      </c>
      <c r="G802" s="66">
        <f t="shared" ref="G802" ca="1" si="1635">VLOOKUP(INDIRECT(CHAR(39)&amp;$A802&amp;CHAR(39)&amp;"!r2c"&amp;$C802,0),variables,2,0)</f>
        <v>10704</v>
      </c>
      <c r="H802" s="71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66" t="s">
        <v>1045</v>
      </c>
      <c r="B803" s="66">
        <f t="shared" si="1623"/>
        <v>7</v>
      </c>
      <c r="C803" s="66">
        <f t="shared" si="1512"/>
        <v>9</v>
      </c>
      <c r="E803" s="66">
        <f t="shared" ref="E803" si="1636">plan_id</f>
        <v>1952</v>
      </c>
      <c r="F803" s="66">
        <f t="shared" ca="1" si="1180"/>
        <v>2004</v>
      </c>
      <c r="G803" s="66">
        <f t="shared" ref="G803" ca="1" si="1637">VLOOKUP(INDIRECT(CHAR(39)&amp;$A803&amp;CHAR(39)&amp;"!r2c"&amp;$C803,0),variables,2,0)</f>
        <v>10928</v>
      </c>
      <c r="H803" s="71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(i)1.95%; (ii)4.24%</v>
      </c>
    </row>
    <row r="804" spans="1:8" x14ac:dyDescent="0.2">
      <c r="A804" s="66" t="s">
        <v>1045</v>
      </c>
      <c r="B804" s="66">
        <f t="shared" si="1623"/>
        <v>7</v>
      </c>
      <c r="C804" s="66">
        <f t="shared" si="1512"/>
        <v>10</v>
      </c>
      <c r="E804" s="66">
        <f t="shared" ref="E804" si="1638">plan_id</f>
        <v>1952</v>
      </c>
      <c r="F804" s="66">
        <f t="shared" ca="1" si="1180"/>
        <v>2004</v>
      </c>
      <c r="G804" s="66">
        <f t="shared" ref="G804" ca="1" si="1639">VLOOKUP(INDIRECT(CHAR(39)&amp;$A804&amp;CHAR(39)&amp;"!r2c"&amp;$C804,0),variables,2,0)</f>
        <v>10929</v>
      </c>
      <c r="H804" s="71" t="str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(i)1.95%; (ii)4.24%</v>
      </c>
    </row>
    <row r="805" spans="1:8" x14ac:dyDescent="0.2">
      <c r="A805" s="66" t="s">
        <v>1045</v>
      </c>
      <c r="B805" s="66">
        <f t="shared" si="1623"/>
        <v>7</v>
      </c>
      <c r="C805" s="66">
        <f t="shared" si="1512"/>
        <v>11</v>
      </c>
      <c r="E805" s="66">
        <f t="shared" ref="E805" si="1640">plan_id</f>
        <v>1952</v>
      </c>
      <c r="F805" s="66">
        <f t="shared" ca="1" si="1180"/>
        <v>2004</v>
      </c>
      <c r="G805" s="66">
        <f t="shared" ref="G805" ca="1" si="1641">VLOOKUP(INDIRECT(CHAR(39)&amp;$A805&amp;CHAR(39)&amp;"!r2c"&amp;$C805,0),variables,2,0)</f>
        <v>10930</v>
      </c>
      <c r="H805" s="71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66" t="s">
        <v>1045</v>
      </c>
      <c r="B806" s="66">
        <f t="shared" si="1623"/>
        <v>7</v>
      </c>
      <c r="C806" s="66">
        <f t="shared" si="1512"/>
        <v>12</v>
      </c>
      <c r="E806" s="66">
        <f t="shared" ref="E806" si="1642">plan_id</f>
        <v>1952</v>
      </c>
      <c r="F806" s="66">
        <f t="shared" ca="1" si="1180"/>
        <v>2004</v>
      </c>
      <c r="G806" s="66">
        <f t="shared" ref="G806" ca="1" si="1643">VLOOKUP(INDIRECT(CHAR(39)&amp;$A806&amp;CHAR(39)&amp;"!r2c"&amp;$C806,0),variables,2,0)</f>
        <v>10705</v>
      </c>
      <c r="H806" s="7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478704000</v>
      </c>
    </row>
    <row r="807" spans="1:8" x14ac:dyDescent="0.2">
      <c r="A807" s="66" t="s">
        <v>1045</v>
      </c>
      <c r="B807" s="66">
        <f t="shared" si="1623"/>
        <v>7</v>
      </c>
      <c r="C807" s="66">
        <f t="shared" ref="C807:C870" si="1644">C716</f>
        <v>13</v>
      </c>
      <c r="E807" s="66">
        <f t="shared" ref="E807" si="1645">plan_id</f>
        <v>1952</v>
      </c>
      <c r="F807" s="66">
        <f t="shared" ca="1" si="1180"/>
        <v>2004</v>
      </c>
      <c r="G807" s="66">
        <f t="shared" ref="G807" ca="1" si="1646">VLOOKUP(INDIRECT(CHAR(39)&amp;$A807&amp;CHAR(39)&amp;"!r2c"&amp;$C807,0),variables,2,0)</f>
        <v>10842</v>
      </c>
      <c r="H807" s="71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66" t="s">
        <v>1045</v>
      </c>
      <c r="B808" s="66">
        <f t="shared" si="1623"/>
        <v>7</v>
      </c>
      <c r="C808" s="66">
        <f t="shared" si="1644"/>
        <v>14</v>
      </c>
      <c r="E808" s="66">
        <f t="shared" ref="E808" si="1647">plan_id</f>
        <v>1952</v>
      </c>
      <c r="F808" s="66">
        <f t="shared" ca="1" si="1180"/>
        <v>2004</v>
      </c>
      <c r="G808" s="66">
        <f t="shared" ref="G808" ca="1" si="1648">VLOOKUP(INDIRECT(CHAR(39)&amp;$A808&amp;CHAR(39)&amp;"!r2c"&amp;$C808,0),variables,2,0)</f>
        <v>10843</v>
      </c>
      <c r="H808" s="71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66" t="s">
        <v>1045</v>
      </c>
      <c r="B809" s="66">
        <f t="shared" si="1623"/>
        <v>7</v>
      </c>
      <c r="C809" s="66">
        <f t="shared" si="1644"/>
        <v>15</v>
      </c>
      <c r="E809" s="66">
        <f t="shared" ref="E809" si="1649">plan_id</f>
        <v>1952</v>
      </c>
      <c r="F809" s="66">
        <f t="shared" ca="1" si="1180"/>
        <v>2004</v>
      </c>
      <c r="G809" s="66">
        <f t="shared" ref="G809" ca="1" si="1650">VLOOKUP(INDIRECT(CHAR(39)&amp;$A809&amp;CHAR(39)&amp;"!r2c"&amp;$C809,0),variables,2,0)</f>
        <v>10931</v>
      </c>
      <c r="H809" s="7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66" t="s">
        <v>1045</v>
      </c>
      <c r="B810" s="66">
        <f t="shared" si="1623"/>
        <v>7</v>
      </c>
      <c r="C810" s="66">
        <f t="shared" si="1644"/>
        <v>16</v>
      </c>
      <c r="E810" s="66">
        <f t="shared" ref="E810" si="1651">plan_id</f>
        <v>1952</v>
      </c>
      <c r="F810" s="66">
        <f t="shared" ca="1" si="1180"/>
        <v>2004</v>
      </c>
      <c r="G810" s="66">
        <f t="shared" ref="G810" ca="1" si="1652">VLOOKUP(INDIRECT(CHAR(39)&amp;$A810&amp;CHAR(39)&amp;"!r2c"&amp;$C810,0),variables,2,0)</f>
        <v>10932</v>
      </c>
      <c r="H810" s="7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66" t="s">
        <v>1045</v>
      </c>
      <c r="B811" s="66">
        <f t="shared" si="1623"/>
        <v>7</v>
      </c>
      <c r="C811" s="66">
        <f t="shared" si="1644"/>
        <v>17</v>
      </c>
      <c r="E811" s="66">
        <f t="shared" ref="E811" si="1653">plan_id</f>
        <v>1952</v>
      </c>
      <c r="F811" s="66">
        <f t="shared" ca="1" si="1180"/>
        <v>2004</v>
      </c>
      <c r="G811" s="66">
        <f t="shared" ref="G811" ca="1" si="1654">VLOOKUP(INDIRECT(CHAR(39)&amp;$A811&amp;CHAR(39)&amp;"!r2c"&amp;$C811,0),variables,2,0)</f>
        <v>10933</v>
      </c>
      <c r="H811" s="71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(i)5.95%; (ii)10.27%</v>
      </c>
    </row>
    <row r="812" spans="1:8" x14ac:dyDescent="0.2">
      <c r="A812" s="66" t="s">
        <v>1045</v>
      </c>
      <c r="B812" s="66">
        <f t="shared" si="1623"/>
        <v>7</v>
      </c>
      <c r="C812" s="66">
        <f t="shared" si="1644"/>
        <v>18</v>
      </c>
      <c r="E812" s="66">
        <f t="shared" ref="E812" si="1655">plan_id</f>
        <v>1952</v>
      </c>
      <c r="F812" s="66">
        <f t="shared" ca="1" si="1180"/>
        <v>2004</v>
      </c>
      <c r="G812" s="66">
        <f t="shared" ref="G812" ca="1" si="1656">VLOOKUP(INDIRECT(CHAR(39)&amp;$A812&amp;CHAR(39)&amp;"!r2c"&amp;$C812,0),variables,2,0)</f>
        <v>10934</v>
      </c>
      <c r="H812" s="71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(i)5%; (ii)5%</v>
      </c>
    </row>
    <row r="813" spans="1:8" x14ac:dyDescent="0.2">
      <c r="A813" s="66" t="s">
        <v>1045</v>
      </c>
      <c r="B813" s="66">
        <f t="shared" si="1623"/>
        <v>7</v>
      </c>
      <c r="C813" s="66">
        <f t="shared" si="1644"/>
        <v>19</v>
      </c>
      <c r="E813" s="66">
        <f t="shared" ref="E813" si="1657">plan_id</f>
        <v>1952</v>
      </c>
      <c r="F813" s="66">
        <f t="shared" ca="1" si="1180"/>
        <v>2004</v>
      </c>
      <c r="G813" s="66">
        <f t="shared" ref="G813" ca="1" si="1658">VLOOKUP(INDIRECT(CHAR(39)&amp;$A813&amp;CHAR(39)&amp;"!r2c"&amp;$C813,0),variables,2,0)</f>
        <v>10935</v>
      </c>
      <c r="H813" s="71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</v>
      </c>
    </row>
    <row r="814" spans="1:8" x14ac:dyDescent="0.2">
      <c r="A814" s="66" t="s">
        <v>1045</v>
      </c>
      <c r="B814" s="66">
        <f t="shared" si="1623"/>
        <v>7</v>
      </c>
      <c r="C814" s="66">
        <f t="shared" si="1644"/>
        <v>20</v>
      </c>
      <c r="E814" s="66">
        <f t="shared" ref="E814" si="1659">plan_id</f>
        <v>1952</v>
      </c>
      <c r="F814" s="66">
        <f t="shared" ca="1" si="1180"/>
        <v>2004</v>
      </c>
      <c r="G814" s="66">
        <f t="shared" ref="G814" ca="1" si="1660">VLOOKUP(INDIRECT(CHAR(39)&amp;$A814&amp;CHAR(39)&amp;"!r2c"&amp;$C814,0),variables,2,0)</f>
        <v>10937</v>
      </c>
      <c r="H814" s="71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66" t="s">
        <v>1045</v>
      </c>
      <c r="B815" s="66">
        <f t="shared" si="1623"/>
        <v>7</v>
      </c>
      <c r="C815" s="66">
        <f t="shared" si="1644"/>
        <v>21</v>
      </c>
      <c r="E815" s="66">
        <f t="shared" ref="E815" si="1661">plan_id</f>
        <v>1952</v>
      </c>
      <c r="F815" s="66">
        <f t="shared" ca="1" si="1180"/>
        <v>2004</v>
      </c>
      <c r="G815" s="66">
        <f t="shared" ref="G815" ca="1" si="1662">VLOOKUP(INDIRECT(CHAR(39)&amp;$A815&amp;CHAR(39)&amp;"!r2c"&amp;$C815,0),variables,2,0)</f>
        <v>10938</v>
      </c>
      <c r="H815" s="7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66" t="s">
        <v>1045</v>
      </c>
      <c r="B816" s="66">
        <f t="shared" si="1623"/>
        <v>7</v>
      </c>
      <c r="C816" s="66">
        <f t="shared" si="1644"/>
        <v>22</v>
      </c>
      <c r="E816" s="66">
        <f t="shared" ref="E816" si="1663">plan_id</f>
        <v>1952</v>
      </c>
      <c r="F816" s="66">
        <f t="shared" ca="1" si="1180"/>
        <v>2004</v>
      </c>
      <c r="G816" s="66">
        <f t="shared" ref="G816" ca="1" si="1664">VLOOKUP(INDIRECT(CHAR(39)&amp;$A816&amp;CHAR(39)&amp;"!r2c"&amp;$C816,0),variables,2,0)</f>
        <v>11007</v>
      </c>
      <c r="H816" s="71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1.7% of AFC times years of service</v>
      </c>
    </row>
    <row r="817" spans="1:8" x14ac:dyDescent="0.2">
      <c r="A817" s="66" t="s">
        <v>1045</v>
      </c>
      <c r="B817" s="66">
        <f t="shared" si="1623"/>
        <v>7</v>
      </c>
      <c r="C817" s="66">
        <f t="shared" si="1644"/>
        <v>23</v>
      </c>
      <c r="E817" s="66">
        <f t="shared" ref="E817" si="1665">plan_id</f>
        <v>1952</v>
      </c>
      <c r="F817" s="66">
        <f t="shared" ca="1" si="1180"/>
        <v>2004</v>
      </c>
      <c r="G817" s="66">
        <f t="shared" ref="G817" ca="1" si="1666">VLOOKUP(INDIRECT(CHAR(39)&amp;$A817&amp;CHAR(39)&amp;"!r2c"&amp;$C817,0),variables,2,0)</f>
        <v>10941</v>
      </c>
      <c r="H817" s="71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2">
      <c r="A818" s="66" t="s">
        <v>1045</v>
      </c>
      <c r="B818" s="66">
        <f t="shared" si="1623"/>
        <v>7</v>
      </c>
      <c r="C818" s="66">
        <f t="shared" si="1644"/>
        <v>24</v>
      </c>
      <c r="E818" s="66">
        <f t="shared" ref="E818" si="1667">plan_id</f>
        <v>1952</v>
      </c>
      <c r="F818" s="66">
        <f t="shared" ca="1" si="1180"/>
        <v>2004</v>
      </c>
      <c r="G818" s="66">
        <f t="shared" ref="G818" ca="1" si="1668">VLOOKUP(INDIRECT(CHAR(39)&amp;$A818&amp;CHAR(39)&amp;"!r2c"&amp;$C818,0),variables,2,0)</f>
        <v>10942</v>
      </c>
      <c r="H818" s="71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2">
      <c r="A819" s="66" t="s">
        <v>1045</v>
      </c>
      <c r="B819" s="66">
        <f t="shared" si="1623"/>
        <v>7</v>
      </c>
      <c r="C819" s="66">
        <f t="shared" si="1644"/>
        <v>25</v>
      </c>
      <c r="E819" s="66">
        <f t="shared" ref="E819" si="1669">plan_id</f>
        <v>1952</v>
      </c>
      <c r="F819" s="66">
        <f t="shared" ca="1" si="1180"/>
        <v>2004</v>
      </c>
      <c r="G819" s="66">
        <f t="shared" ref="G819" ca="1" si="1670">VLOOKUP(INDIRECT(CHAR(39)&amp;$A819&amp;CHAR(39)&amp;"!r2c"&amp;$C819,0),variables,2,0)</f>
        <v>10701</v>
      </c>
      <c r="H819" s="71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66" t="s">
        <v>1045</v>
      </c>
      <c r="B820" s="66">
        <f t="shared" si="1623"/>
        <v>7</v>
      </c>
      <c r="C820" s="66">
        <f t="shared" si="1644"/>
        <v>26</v>
      </c>
      <c r="E820" s="66">
        <f t="shared" ref="E820" si="1671">plan_id</f>
        <v>1952</v>
      </c>
      <c r="F820" s="66">
        <f t="shared" ca="1" si="1180"/>
        <v>2004</v>
      </c>
      <c r="G820" s="66">
        <f t="shared" ref="G820" ca="1" si="1672">VLOOKUP(INDIRECT(CHAR(39)&amp;$A820&amp;CHAR(39)&amp;"!r2c"&amp;$C820,0),variables,2,0)</f>
        <v>10702</v>
      </c>
      <c r="H820" s="71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66" t="s">
        <v>1045</v>
      </c>
      <c r="B821" s="66">
        <f t="shared" si="1623"/>
        <v>7</v>
      </c>
      <c r="C821" s="66">
        <f t="shared" si="1644"/>
        <v>27</v>
      </c>
      <c r="E821" s="66">
        <f t="shared" ref="E821" si="1673">plan_id</f>
        <v>1952</v>
      </c>
      <c r="F821" s="66">
        <f t="shared" ca="1" si="1180"/>
        <v>2004</v>
      </c>
      <c r="G821" s="66">
        <f t="shared" ref="G821" ca="1" si="1674">VLOOKUP(INDIRECT(CHAR(39)&amp;$A821&amp;CHAR(39)&amp;"!r2c"&amp;$C821,0),variables,2,0)</f>
        <v>10943</v>
      </c>
      <c r="H821" s="71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0.03</v>
      </c>
    </row>
    <row r="822" spans="1:8" x14ac:dyDescent="0.2">
      <c r="A822" s="66" t="s">
        <v>1045</v>
      </c>
      <c r="B822" s="66">
        <f t="shared" si="1623"/>
        <v>7</v>
      </c>
      <c r="C822" s="66">
        <f t="shared" si="1644"/>
        <v>28</v>
      </c>
      <c r="E822" s="66">
        <f t="shared" ref="E822" si="1675">plan_id</f>
        <v>1952</v>
      </c>
      <c r="F822" s="66">
        <f t="shared" ca="1" si="1180"/>
        <v>2004</v>
      </c>
      <c r="G822" s="66">
        <f t="shared" ref="G822" ca="1" si="1676">VLOOKUP(INDIRECT(CHAR(39)&amp;$A822&amp;CHAR(39)&amp;"!r2c"&amp;$C822,0),variables,2,0)</f>
        <v>10944</v>
      </c>
      <c r="H822" s="71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66" t="s">
        <v>1045</v>
      </c>
      <c r="B823" s="66">
        <f t="shared" si="1623"/>
        <v>7</v>
      </c>
      <c r="C823" s="66">
        <f t="shared" si="1644"/>
        <v>29</v>
      </c>
      <c r="E823" s="66">
        <f t="shared" ref="E823" si="1677">plan_id</f>
        <v>1952</v>
      </c>
      <c r="F823" s="66">
        <f t="shared" ca="1" si="1180"/>
        <v>2004</v>
      </c>
      <c r="G823" s="66">
        <f t="shared" ref="G823" ca="1" si="1678">VLOOKUP(INDIRECT(CHAR(39)&amp;$A823&amp;CHAR(39)&amp;"!r2c"&amp;$C823,0),variables,2,0)</f>
        <v>10945</v>
      </c>
      <c r="H823" s="71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66" t="s">
        <v>1045</v>
      </c>
      <c r="B824" s="66">
        <f t="shared" si="1623"/>
        <v>7</v>
      </c>
      <c r="C824" s="66">
        <f t="shared" si="1644"/>
        <v>30</v>
      </c>
      <c r="E824" s="66">
        <f t="shared" ref="E824" si="1679">plan_id</f>
        <v>1952</v>
      </c>
      <c r="F824" s="66">
        <f t="shared" ca="1" si="1180"/>
        <v>2004</v>
      </c>
      <c r="G824" s="66">
        <f t="shared" ref="G824" ca="1" si="1680">VLOOKUP(INDIRECT(CHAR(39)&amp;$A824&amp;CHAR(39)&amp;"!r2c"&amp;$C824,0),variables,2,0)</f>
        <v>10947</v>
      </c>
      <c r="H824" s="71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66" t="s">
        <v>1045</v>
      </c>
      <c r="B825" s="66">
        <f t="shared" si="1623"/>
        <v>7</v>
      </c>
      <c r="C825" s="66">
        <f t="shared" si="1644"/>
        <v>31</v>
      </c>
      <c r="E825" s="66">
        <f t="shared" ref="E825" si="1681">plan_id</f>
        <v>1952</v>
      </c>
      <c r="F825" s="66">
        <f t="shared" ca="1" si="1180"/>
        <v>2004</v>
      </c>
      <c r="G825" s="66">
        <f t="shared" ref="G825" ca="1" si="1682">VLOOKUP(INDIRECT(CHAR(39)&amp;$A825&amp;CHAR(39)&amp;"!r2c"&amp;$C825,0),variables,2,0)</f>
        <v>10948</v>
      </c>
      <c r="H825" s="71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2">
      <c r="A826" s="66" t="s">
        <v>1045</v>
      </c>
      <c r="B826" s="66">
        <f t="shared" si="1623"/>
        <v>7</v>
      </c>
      <c r="C826" s="66">
        <f t="shared" si="1644"/>
        <v>32</v>
      </c>
      <c r="E826" s="66">
        <f t="shared" ref="E826" si="1683">plan_id</f>
        <v>1952</v>
      </c>
      <c r="F826" s="66">
        <f t="shared" ca="1" si="1180"/>
        <v>2004</v>
      </c>
      <c r="G826" s="66">
        <f t="shared" ref="G826" ca="1" si="1684">VLOOKUP(INDIRECT(CHAR(39)&amp;$A826&amp;CHAR(39)&amp;"!r2c"&amp;$C826,0),variables,2,0)</f>
        <v>10949</v>
      </c>
      <c r="H826" s="71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66" t="s">
        <v>1045</v>
      </c>
      <c r="B827" s="66">
        <f t="shared" si="1623"/>
        <v>7</v>
      </c>
      <c r="C827" s="66">
        <f t="shared" si="1644"/>
        <v>33</v>
      </c>
      <c r="E827" s="66">
        <f t="shared" ref="E827" si="1685">plan_id</f>
        <v>1952</v>
      </c>
      <c r="F827" s="66">
        <f t="shared" ca="1" si="1180"/>
        <v>2004</v>
      </c>
      <c r="G827" s="66">
        <f t="shared" ref="G827" ca="1" si="1686">VLOOKUP(INDIRECT(CHAR(39)&amp;$A827&amp;CHAR(39)&amp;"!r2c"&amp;$C827,0),variables,2,0)</f>
        <v>10951</v>
      </c>
      <c r="H827" s="71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2">
      <c r="A828" s="66" t="s">
        <v>1045</v>
      </c>
      <c r="B828" s="66">
        <f t="shared" si="1623"/>
        <v>7</v>
      </c>
      <c r="C828" s="66">
        <f t="shared" si="1644"/>
        <v>34</v>
      </c>
      <c r="E828" s="66">
        <f t="shared" ref="E828" si="1687">plan_id</f>
        <v>1952</v>
      </c>
      <c r="F828" s="66">
        <f t="shared" ca="1" si="1180"/>
        <v>2004</v>
      </c>
      <c r="G828" s="66">
        <f t="shared" ref="G828" ca="1" si="1688">VLOOKUP(INDIRECT(CHAR(39)&amp;$A828&amp;CHAR(39)&amp;"!r2c"&amp;$C828,0),variables,2,0)</f>
        <v>10950</v>
      </c>
      <c r="H828" s="71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2">
      <c r="A829" s="66" t="s">
        <v>1045</v>
      </c>
      <c r="B829" s="66">
        <f t="shared" si="1623"/>
        <v>7</v>
      </c>
      <c r="C829" s="66">
        <f t="shared" si="1644"/>
        <v>35</v>
      </c>
      <c r="E829" s="66">
        <f t="shared" ref="E829" si="1689">plan_id</f>
        <v>1952</v>
      </c>
      <c r="F829" s="66">
        <f t="shared" ca="1" si="1180"/>
        <v>2004</v>
      </c>
      <c r="G829" s="66">
        <f t="shared" ref="G829" ca="1" si="1690">VLOOKUP(INDIRECT(CHAR(39)&amp;$A829&amp;CHAR(39)&amp;"!r2c"&amp;$C829,0),variables,2,0)</f>
        <v>10954</v>
      </c>
      <c r="H829" s="71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2">
      <c r="A830" s="66" t="s">
        <v>1045</v>
      </c>
      <c r="B830" s="66">
        <f t="shared" si="1623"/>
        <v>7</v>
      </c>
      <c r="C830" s="66">
        <f t="shared" si="1644"/>
        <v>36</v>
      </c>
      <c r="E830" s="66">
        <f t="shared" ref="E830" si="1691">plan_id</f>
        <v>1952</v>
      </c>
      <c r="F830" s="66">
        <f t="shared" ca="1" si="1180"/>
        <v>2004</v>
      </c>
      <c r="G830" s="66">
        <f t="shared" ref="G830" ca="1" si="1692">VLOOKUP(INDIRECT(CHAR(39)&amp;$A830&amp;CHAR(39)&amp;"!r2c"&amp;$C830,0),variables,2,0)</f>
        <v>10955</v>
      </c>
      <c r="H830" s="71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2">
      <c r="A831" s="66" t="s">
        <v>1045</v>
      </c>
      <c r="B831" s="66">
        <f t="shared" si="1623"/>
        <v>7</v>
      </c>
      <c r="C831" s="66">
        <f t="shared" si="1644"/>
        <v>37</v>
      </c>
      <c r="E831" s="66">
        <f t="shared" ref="E831" si="1693">plan_id</f>
        <v>1952</v>
      </c>
      <c r="F831" s="66">
        <f t="shared" ca="1" si="1180"/>
        <v>2004</v>
      </c>
      <c r="G831" s="66">
        <f t="shared" ref="G831" ca="1" si="1694">VLOOKUP(INDIRECT(CHAR(39)&amp;$A831&amp;CHAR(39)&amp;"!r2c"&amp;$C831,0),variables,2,0)</f>
        <v>10956</v>
      </c>
      <c r="H831" s="71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0.03</v>
      </c>
    </row>
    <row r="832" spans="1:8" x14ac:dyDescent="0.2">
      <c r="A832" s="66" t="s">
        <v>1045</v>
      </c>
      <c r="B832" s="66">
        <f t="shared" si="1623"/>
        <v>7</v>
      </c>
      <c r="C832" s="66">
        <f t="shared" si="1644"/>
        <v>38</v>
      </c>
      <c r="E832" s="66">
        <f t="shared" ref="E832" si="1695">plan_id</f>
        <v>1952</v>
      </c>
      <c r="F832" s="66">
        <f t="shared" ca="1" si="1180"/>
        <v>2004</v>
      </c>
      <c r="G832" s="66">
        <f t="shared" ref="G832" ca="1" si="1696">VLOOKUP(INDIRECT(CHAR(39)&amp;$A832&amp;CHAR(39)&amp;"!r2c"&amp;$C832,0),variables,2,0)</f>
        <v>10959</v>
      </c>
      <c r="H832" s="71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SE-4.25% to 6.30% &amp; Teach 4.00% to 7.00%</v>
      </c>
    </row>
    <row r="833" spans="1:8" x14ac:dyDescent="0.2">
      <c r="A833" s="66" t="s">
        <v>1045</v>
      </c>
      <c r="B833" s="66">
        <f t="shared" si="1623"/>
        <v>7</v>
      </c>
      <c r="C833" s="66">
        <f t="shared" si="1644"/>
        <v>39</v>
      </c>
      <c r="E833" s="66">
        <f t="shared" ref="E833" si="1697">plan_id</f>
        <v>1952</v>
      </c>
      <c r="F833" s="66">
        <f t="shared" ca="1" si="1180"/>
        <v>2004</v>
      </c>
      <c r="G833" s="66">
        <f t="shared" ref="G833" ca="1" si="1698">VLOOKUP(INDIRECT(CHAR(39)&amp;$A833&amp;CHAR(39)&amp;"!r2c"&amp;$C833,0),variables,2,0)</f>
        <v>10962</v>
      </c>
      <c r="H833" s="71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Pg.116 &amp; 121</v>
      </c>
    </row>
    <row r="834" spans="1:8" x14ac:dyDescent="0.2">
      <c r="A834" s="66" t="s">
        <v>1045</v>
      </c>
      <c r="B834" s="66">
        <f t="shared" si="1623"/>
        <v>7</v>
      </c>
      <c r="C834" s="66">
        <f t="shared" si="1644"/>
        <v>40</v>
      </c>
      <c r="E834" s="66">
        <f t="shared" ref="E834" si="1699">plan_id</f>
        <v>1952</v>
      </c>
      <c r="F834" s="66">
        <f t="shared" ca="1" si="1180"/>
        <v>2004</v>
      </c>
      <c r="G834" s="66">
        <f t="shared" ref="G834" ca="1" si="1700">VLOOKUP(INDIRECT(CHAR(39)&amp;$A834&amp;CHAR(39)&amp;"!r2c"&amp;$C834,0),variables,2,0)</f>
        <v>10964</v>
      </c>
      <c r="H834" s="71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Pg.115 &amp; 120</v>
      </c>
    </row>
    <row r="835" spans="1:8" x14ac:dyDescent="0.2">
      <c r="A835" s="66" t="s">
        <v>1045</v>
      </c>
      <c r="B835" s="66">
        <f t="shared" si="1623"/>
        <v>7</v>
      </c>
      <c r="C835" s="66">
        <f t="shared" si="1644"/>
        <v>41</v>
      </c>
      <c r="E835" s="66">
        <f t="shared" ref="E835" si="1701">plan_id</f>
        <v>1952</v>
      </c>
      <c r="F835" s="66">
        <f t="shared" ca="1" si="1180"/>
        <v>2004</v>
      </c>
      <c r="G835" s="66">
        <f t="shared" ref="G835" ca="1" si="1702">VLOOKUP(INDIRECT(CHAR(39)&amp;$A835&amp;CHAR(39)&amp;"!r2c"&amp;$C835,0),variables,2,0)</f>
        <v>10967</v>
      </c>
      <c r="H835" s="71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1994 Group Annuity Mortality Table</v>
      </c>
    </row>
    <row r="836" spans="1:8" x14ac:dyDescent="0.2">
      <c r="A836" s="66" t="s">
        <v>1045</v>
      </c>
      <c r="B836" s="66">
        <f t="shared" si="1623"/>
        <v>7</v>
      </c>
      <c r="C836" s="66">
        <f t="shared" si="1644"/>
        <v>42</v>
      </c>
      <c r="E836" s="66">
        <f t="shared" ref="E836" si="1703">plan_id</f>
        <v>1952</v>
      </c>
      <c r="F836" s="66">
        <f t="shared" ref="F836:F928" ca="1" si="1704">INDIRECT(CHAR(39)&amp;$A836&amp;CHAR(39)&amp;"!r"&amp;$B836&amp;"c2",0)</f>
        <v>2004</v>
      </c>
      <c r="G836" s="66">
        <f t="shared" ref="G836" ca="1" si="1705">VLOOKUP(INDIRECT(CHAR(39)&amp;$A836&amp;CHAR(39)&amp;"!r2c"&amp;$C836,0),variables,2,0)</f>
        <v>10968</v>
      </c>
      <c r="H836" s="71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2">
      <c r="A837" s="66" t="s">
        <v>1045</v>
      </c>
      <c r="B837" s="66">
        <f t="shared" si="1623"/>
        <v>7</v>
      </c>
      <c r="C837" s="66">
        <f t="shared" si="1644"/>
        <v>43</v>
      </c>
      <c r="E837" s="66">
        <f t="shared" ref="E837" si="1706">plan_id</f>
        <v>1952</v>
      </c>
      <c r="F837" s="66">
        <f t="shared" ca="1" si="1704"/>
        <v>2004</v>
      </c>
      <c r="G837" s="66">
        <f t="shared" ref="G837" ca="1" si="1707">VLOOKUP(INDIRECT(CHAR(39)&amp;$A837&amp;CHAR(39)&amp;"!r2c"&amp;$C837,0),variables,2,0)</f>
        <v>10969</v>
      </c>
      <c r="H837" s="71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66" t="s">
        <v>1045</v>
      </c>
      <c r="B838" s="66">
        <f t="shared" si="1623"/>
        <v>7</v>
      </c>
      <c r="C838" s="66">
        <f t="shared" si="1644"/>
        <v>44</v>
      </c>
      <c r="E838" s="66">
        <f t="shared" ref="E838" si="1708">plan_id</f>
        <v>1952</v>
      </c>
      <c r="F838" s="66">
        <f t="shared" ca="1" si="1704"/>
        <v>2004</v>
      </c>
      <c r="G838" s="66">
        <f t="shared" ref="G838" ca="1" si="1709">VLOOKUP(INDIRECT(CHAR(39)&amp;$A838&amp;CHAR(39)&amp;"!r2c"&amp;$C838,0),variables,2,0)</f>
        <v>10970</v>
      </c>
      <c r="H838" s="71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Teachers: Post Retirement- Males: 2 Years, Females: 1 Year</v>
      </c>
    </row>
    <row r="839" spans="1:8" x14ac:dyDescent="0.2">
      <c r="A839" s="66" t="s">
        <v>1045</v>
      </c>
      <c r="B839" s="66">
        <f t="shared" si="1623"/>
        <v>7</v>
      </c>
      <c r="C839" s="66">
        <f t="shared" si="1644"/>
        <v>45</v>
      </c>
      <c r="E839" s="66">
        <f t="shared" ref="E839" si="1710">plan_id</f>
        <v>1952</v>
      </c>
      <c r="F839" s="66">
        <f t="shared" ca="1" si="1704"/>
        <v>2004</v>
      </c>
      <c r="G839" s="66">
        <f t="shared" ref="G839" ca="1" si="1711">VLOOKUP(INDIRECT(CHAR(39)&amp;$A839&amp;CHAR(39)&amp;"!r2c"&amp;$C839,0),variables,2,0)</f>
        <v>10971</v>
      </c>
      <c r="H839" s="71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66" t="s">
        <v>1045</v>
      </c>
      <c r="B840" s="66">
        <f t="shared" si="1623"/>
        <v>7</v>
      </c>
      <c r="C840" s="66">
        <f t="shared" si="1644"/>
        <v>46</v>
      </c>
      <c r="E840" s="66">
        <f t="shared" ref="E840" si="1712">plan_id</f>
        <v>1952</v>
      </c>
      <c r="F840" s="66">
        <f t="shared" ca="1" si="1704"/>
        <v>2004</v>
      </c>
      <c r="G840" s="66">
        <f t="shared" ref="G840" ca="1" si="1713">VLOOKUP(INDIRECT(CHAR(39)&amp;$A840&amp;CHAR(39)&amp;"!r2c"&amp;$C840,0),variables,2,0)</f>
        <v>10972</v>
      </c>
      <c r="H840" s="71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Closed</v>
      </c>
    </row>
    <row r="841" spans="1:8" x14ac:dyDescent="0.2">
      <c r="A841" s="66" t="s">
        <v>1045</v>
      </c>
      <c r="B841" s="66">
        <f t="shared" si="1623"/>
        <v>7</v>
      </c>
      <c r="C841" s="66">
        <f t="shared" si="1644"/>
        <v>47</v>
      </c>
      <c r="E841" s="66">
        <f t="shared" ref="E841" si="1714">plan_id</f>
        <v>1952</v>
      </c>
      <c r="F841" s="66">
        <f t="shared" ca="1" si="1704"/>
        <v>2004</v>
      </c>
      <c r="G841" s="66">
        <f t="shared" ref="G841" ca="1" si="1715">VLOOKUP(INDIRECT(CHAR(39)&amp;$A841&amp;CHAR(39)&amp;"!r2c"&amp;$C841,0),variables,2,0)</f>
        <v>10973</v>
      </c>
      <c r="H841" s="71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22 Years</v>
      </c>
    </row>
    <row r="842" spans="1:8" x14ac:dyDescent="0.2">
      <c r="A842" s="66" t="s">
        <v>1045</v>
      </c>
      <c r="B842" s="66">
        <f t="shared" si="1623"/>
        <v>7</v>
      </c>
      <c r="C842" s="66">
        <f t="shared" si="1644"/>
        <v>48</v>
      </c>
      <c r="E842" s="66">
        <f t="shared" ref="E842" si="1716">plan_id</f>
        <v>1952</v>
      </c>
      <c r="F842" s="66">
        <f t="shared" ca="1" si="1704"/>
        <v>2004</v>
      </c>
      <c r="G842" s="66">
        <f t="shared" ref="G842" ca="1" si="1717">VLOOKUP(INDIRECT(CHAR(39)&amp;$A842&amp;CHAR(39)&amp;"!r2c"&amp;$C842,0),variables,2,0)</f>
        <v>10975</v>
      </c>
      <c r="H842" s="71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2">
      <c r="A843" s="66" t="s">
        <v>1045</v>
      </c>
      <c r="B843" s="66">
        <f t="shared" si="1623"/>
        <v>7</v>
      </c>
      <c r="C843" s="66">
        <f t="shared" si="1644"/>
        <v>49</v>
      </c>
      <c r="E843" s="66">
        <f t="shared" ref="E843" si="1718">plan_id</f>
        <v>1952</v>
      </c>
      <c r="F843" s="66">
        <f t="shared" ca="1" si="1704"/>
        <v>2004</v>
      </c>
      <c r="G843" s="66">
        <f t="shared" ref="G843" ca="1" si="1719">VLOOKUP(INDIRECT(CHAR(39)&amp;$A843&amp;CHAR(39)&amp;"!r2c"&amp;$C843,0),variables,2,0)</f>
        <v>10976</v>
      </c>
      <c r="H843" s="71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2">
      <c r="A844" s="66" t="s">
        <v>1045</v>
      </c>
      <c r="B844" s="66">
        <f t="shared" si="1623"/>
        <v>7</v>
      </c>
      <c r="C844" s="66">
        <f t="shared" si="1644"/>
        <v>50</v>
      </c>
      <c r="E844" s="66">
        <f t="shared" ref="E844" si="1720">plan_id</f>
        <v>1952</v>
      </c>
      <c r="F844" s="66">
        <f t="shared" ca="1" si="1704"/>
        <v>2004</v>
      </c>
      <c r="G844" s="66">
        <f t="shared" ref="G844" ca="1" si="1721">VLOOKUP(INDIRECT(CHAR(39)&amp;$A844&amp;CHAR(39)&amp;"!r2c"&amp;$C844,0),variables,2,0)</f>
        <v>10977</v>
      </c>
      <c r="H844" s="71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66" t="s">
        <v>1045</v>
      </c>
      <c r="B845" s="66">
        <f t="shared" si="1623"/>
        <v>7</v>
      </c>
      <c r="C845" s="66">
        <f t="shared" si="1644"/>
        <v>51</v>
      </c>
      <c r="E845" s="66">
        <f t="shared" ref="E845" si="1722">plan_id</f>
        <v>1952</v>
      </c>
      <c r="F845" s="66">
        <f t="shared" ca="1" si="1704"/>
        <v>2004</v>
      </c>
      <c r="G845" s="66">
        <f t="shared" ref="G845" ca="1" si="1723">VLOOKUP(INDIRECT(CHAR(39)&amp;$A845&amp;CHAR(39)&amp;"!r2c"&amp;$C845,0),variables,2,0)</f>
        <v>10978</v>
      </c>
      <c r="H845" s="71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2">
      <c r="A846" s="66" t="s">
        <v>1045</v>
      </c>
      <c r="B846" s="66">
        <f t="shared" si="1623"/>
        <v>7</v>
      </c>
      <c r="C846" s="66">
        <f t="shared" si="1644"/>
        <v>52</v>
      </c>
      <c r="E846" s="66">
        <f t="shared" ref="E846" si="1724">plan_id</f>
        <v>1952</v>
      </c>
      <c r="F846" s="66">
        <f t="shared" ca="1" si="1704"/>
        <v>2004</v>
      </c>
      <c r="G846" s="66">
        <f t="shared" ref="G846" ca="1" si="1725">VLOOKUP(INDIRECT(CHAR(39)&amp;$A846&amp;CHAR(39)&amp;"!r2c"&amp;$C846,0),variables,2,0)</f>
        <v>10979</v>
      </c>
      <c r="H846" s="71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2">
      <c r="A847" s="66" t="s">
        <v>1045</v>
      </c>
      <c r="B847" s="66">
        <f t="shared" si="1623"/>
        <v>7</v>
      </c>
      <c r="C847" s="66">
        <f t="shared" si="1644"/>
        <v>53</v>
      </c>
      <c r="E847" s="66">
        <f t="shared" ref="E847" si="1726">plan_id</f>
        <v>1952</v>
      </c>
      <c r="F847" s="66">
        <f t="shared" ca="1" si="1704"/>
        <v>2004</v>
      </c>
      <c r="G847" s="66">
        <f t="shared" ref="G847" ca="1" si="1727">VLOOKUP(INDIRECT(CHAR(39)&amp;$A847&amp;CHAR(39)&amp;"!r2c"&amp;$C847,0),variables,2,0)</f>
        <v>10980</v>
      </c>
      <c r="H847" s="71" t="str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State Employees: 3.03% ;Teachers: 2.78%</v>
      </c>
    </row>
    <row r="848" spans="1:8" x14ac:dyDescent="0.2">
      <c r="A848" s="66" t="s">
        <v>1045</v>
      </c>
      <c r="B848" s="66">
        <f t="shared" si="1623"/>
        <v>7</v>
      </c>
      <c r="C848" s="66">
        <f t="shared" si="1644"/>
        <v>54</v>
      </c>
      <c r="E848" s="66">
        <f t="shared" ref="E848" si="1728">plan_id</f>
        <v>1952</v>
      </c>
      <c r="F848" s="66">
        <f t="shared" ca="1" si="1704"/>
        <v>2004</v>
      </c>
      <c r="G848" s="66">
        <f t="shared" ref="G848" ca="1" si="1729">VLOOKUP(INDIRECT(CHAR(39)&amp;$A848&amp;CHAR(39)&amp;"!r2c"&amp;$C848,0),variables,2,0)</f>
        <v>10981</v>
      </c>
      <c r="H848" s="71" t="str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State Employees: -17.78% ;Teachers: -17.65%</v>
      </c>
    </row>
    <row r="849" spans="1:8" x14ac:dyDescent="0.2">
      <c r="A849" s="66" t="s">
        <v>1045</v>
      </c>
      <c r="B849" s="66">
        <f t="shared" si="1623"/>
        <v>7</v>
      </c>
      <c r="C849" s="66">
        <f t="shared" si="1644"/>
        <v>55</v>
      </c>
      <c r="E849" s="66">
        <f t="shared" ref="E849" si="1730">plan_id</f>
        <v>1952</v>
      </c>
      <c r="F849" s="66">
        <f t="shared" ca="1" si="1704"/>
        <v>2004</v>
      </c>
      <c r="G849" s="66">
        <f t="shared" ref="G849" ca="1" si="1731">VLOOKUP(INDIRECT(CHAR(39)&amp;$A849&amp;CHAR(39)&amp;"!r2c"&amp;$C849,0),variables,2,0)</f>
        <v>10706</v>
      </c>
      <c r="H849" s="71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6.5832143778825488E-4</v>
      </c>
    </row>
    <row r="850" spans="1:8" x14ac:dyDescent="0.2">
      <c r="A850" s="66" t="s">
        <v>1045</v>
      </c>
      <c r="B850" s="66">
        <f t="shared" si="1623"/>
        <v>7</v>
      </c>
      <c r="C850" s="66">
        <f t="shared" si="1644"/>
        <v>56</v>
      </c>
      <c r="E850" s="66">
        <f t="shared" ref="E850" si="1732">plan_id</f>
        <v>1952</v>
      </c>
      <c r="F850" s="66">
        <f t="shared" ca="1" si="1704"/>
        <v>2004</v>
      </c>
      <c r="G850" s="66">
        <f t="shared" ref="G850" ca="1" si="1733">VLOOKUP(INDIRECT(CHAR(39)&amp;$A850&amp;CHAR(39)&amp;"!r2c"&amp;$C850,0),variables,2,0)</f>
        <v>10983</v>
      </c>
      <c r="H850" s="71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2">
      <c r="A851" s="66" t="s">
        <v>1045</v>
      </c>
      <c r="B851" s="66">
        <f t="shared" si="1623"/>
        <v>7</v>
      </c>
      <c r="C851" s="66">
        <f t="shared" si="1644"/>
        <v>57</v>
      </c>
      <c r="E851" s="66">
        <f t="shared" ref="E851" si="1734">plan_id</f>
        <v>1952</v>
      </c>
      <c r="F851" s="66">
        <f t="shared" ca="1" si="1704"/>
        <v>2004</v>
      </c>
      <c r="G851" s="66">
        <f t="shared" ref="G851" ca="1" si="1735">VLOOKUP(INDIRECT(CHAR(39)&amp;$A851&amp;CHAR(39)&amp;"!r2c"&amp;$C851,0),variables,2,0)</f>
        <v>10989</v>
      </c>
      <c r="H851" s="7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31324885000</v>
      </c>
    </row>
    <row r="852" spans="1:8" x14ac:dyDescent="0.2">
      <c r="A852" s="66" t="s">
        <v>1045</v>
      </c>
      <c r="B852" s="66">
        <f t="shared" si="1623"/>
        <v>7</v>
      </c>
      <c r="C852" s="66">
        <f t="shared" si="1644"/>
        <v>58</v>
      </c>
      <c r="E852" s="66">
        <f t="shared" ref="E852" si="1736">plan_id</f>
        <v>1952</v>
      </c>
      <c r="F852" s="66">
        <f t="shared" ca="1" si="1704"/>
        <v>2004</v>
      </c>
      <c r="G852" s="66">
        <f t="shared" ref="G852" ca="1" si="1737">VLOOKUP(INDIRECT(CHAR(39)&amp;$A852&amp;CHAR(39)&amp;"!r2c"&amp;$C852,0),variables,2,0)</f>
        <v>10990</v>
      </c>
      <c r="H852" s="7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34842231000</v>
      </c>
    </row>
    <row r="853" spans="1:8" x14ac:dyDescent="0.2">
      <c r="A853" s="66" t="s">
        <v>1045</v>
      </c>
      <c r="B853" s="66">
        <f t="shared" si="1623"/>
        <v>7</v>
      </c>
      <c r="C853" s="66">
        <f t="shared" si="1644"/>
        <v>59</v>
      </c>
      <c r="E853" s="66">
        <f t="shared" ref="E853" si="1738">plan_id</f>
        <v>1952</v>
      </c>
      <c r="F853" s="66">
        <f t="shared" ca="1" si="1704"/>
        <v>2004</v>
      </c>
      <c r="G853" s="66">
        <f t="shared" ref="G853" ca="1" si="1739">VLOOKUP(INDIRECT(CHAR(39)&amp;$A853&amp;CHAR(39)&amp;"!r2c"&amp;$C853,0),variables,2,0)</f>
        <v>10991</v>
      </c>
      <c r="H853" s="7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3517346000</v>
      </c>
    </row>
    <row r="854" spans="1:8" x14ac:dyDescent="0.2">
      <c r="A854" s="66" t="s">
        <v>1045</v>
      </c>
      <c r="B854" s="66">
        <f t="shared" si="1623"/>
        <v>7</v>
      </c>
      <c r="C854" s="66">
        <f t="shared" si="1644"/>
        <v>60</v>
      </c>
      <c r="E854" s="66">
        <f t="shared" ref="E854" si="1740">plan_id</f>
        <v>1952</v>
      </c>
      <c r="F854" s="66">
        <f t="shared" ca="1" si="1704"/>
        <v>2004</v>
      </c>
      <c r="G854" s="66">
        <f t="shared" ref="G854" ca="1" si="1741">VLOOKUP(INDIRECT(CHAR(39)&amp;$A854&amp;CHAR(39)&amp;"!r2c"&amp;$C854,0),variables,2,0)</f>
        <v>10992</v>
      </c>
      <c r="H854" s="71" t="str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State Employees: 94.6%; Teachers: 87.2%</v>
      </c>
    </row>
    <row r="855" spans="1:8" x14ac:dyDescent="0.2">
      <c r="A855" s="66" t="s">
        <v>1045</v>
      </c>
      <c r="B855" s="66">
        <f t="shared" si="1623"/>
        <v>7</v>
      </c>
      <c r="C855" s="66">
        <f t="shared" si="1644"/>
        <v>61</v>
      </c>
      <c r="E855" s="66">
        <f t="shared" ref="E855" si="1742">plan_id</f>
        <v>1952</v>
      </c>
      <c r="F855" s="66">
        <f t="shared" ca="1" si="1704"/>
        <v>2004</v>
      </c>
      <c r="G855" s="66">
        <f t="shared" ref="G855" ca="1" si="1743">VLOOKUP(INDIRECT(CHAR(39)&amp;$A855&amp;CHAR(39)&amp;"!r2c"&amp;$C855,0),variables,2,0)</f>
        <v>10993</v>
      </c>
      <c r="H855" s="71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8437209000</v>
      </c>
    </row>
    <row r="856" spans="1:8" x14ac:dyDescent="0.2">
      <c r="A856" s="66" t="s">
        <v>1045</v>
      </c>
      <c r="B856" s="66">
        <f t="shared" si="1623"/>
        <v>7</v>
      </c>
      <c r="C856" s="66">
        <f t="shared" si="1644"/>
        <v>62</v>
      </c>
      <c r="E856" s="66">
        <f t="shared" ref="E856" si="1744">plan_id</f>
        <v>1952</v>
      </c>
      <c r="F856" s="66">
        <f t="shared" ca="1" si="1704"/>
        <v>2004</v>
      </c>
      <c r="G856" s="66">
        <f t="shared" ref="G856" ca="1" si="1745">VLOOKUP(INDIRECT(CHAR(39)&amp;$A856&amp;CHAR(39)&amp;"!r2c"&amp;$C856,0),variables,2,0)</f>
        <v>10801</v>
      </c>
      <c r="H856" s="71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66" t="s">
        <v>1045</v>
      </c>
      <c r="B857" s="66">
        <f t="shared" si="1623"/>
        <v>7</v>
      </c>
      <c r="C857" s="66">
        <f t="shared" si="1644"/>
        <v>63</v>
      </c>
      <c r="E857" s="66">
        <f t="shared" ref="E857" si="1746">plan_id</f>
        <v>1952</v>
      </c>
      <c r="F857" s="66">
        <f t="shared" ca="1" si="1704"/>
        <v>2004</v>
      </c>
      <c r="G857" s="66">
        <f t="shared" ref="G857" ca="1" si="1747">VLOOKUP(INDIRECT(CHAR(39)&amp;$A857&amp;CHAR(39)&amp;"!r2c"&amp;$C857,0),variables,2,0)</f>
        <v>10802</v>
      </c>
      <c r="H857" s="7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66" t="s">
        <v>1045</v>
      </c>
      <c r="B858" s="66">
        <f t="shared" si="1623"/>
        <v>7</v>
      </c>
      <c r="C858" s="66">
        <f t="shared" si="1644"/>
        <v>64</v>
      </c>
      <c r="E858" s="66">
        <f t="shared" ref="E858" si="1748">plan_id</f>
        <v>1952</v>
      </c>
      <c r="F858" s="66">
        <f t="shared" ca="1" si="1704"/>
        <v>2004</v>
      </c>
      <c r="G858" s="66">
        <f t="shared" ref="G858" ca="1" si="1749">VLOOKUP(INDIRECT(CHAR(39)&amp;$A858&amp;CHAR(39)&amp;"!r2c"&amp;$C858,0),variables,2,0)</f>
        <v>10803</v>
      </c>
      <c r="H858" s="71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66" t="s">
        <v>1045</v>
      </c>
      <c r="B859" s="66">
        <f t="shared" si="1623"/>
        <v>7</v>
      </c>
      <c r="C859" s="66">
        <f t="shared" si="1644"/>
        <v>65</v>
      </c>
      <c r="E859" s="66">
        <f t="shared" ref="E859" si="1750">plan_id</f>
        <v>1952</v>
      </c>
      <c r="F859" s="66">
        <f t="shared" ca="1" si="1704"/>
        <v>2004</v>
      </c>
      <c r="G859" s="66">
        <f t="shared" ref="G859" ca="1" si="1751">VLOOKUP(INDIRECT(CHAR(39)&amp;$A859&amp;CHAR(39)&amp;"!r2c"&amp;$C859,0),variables,2,0)</f>
        <v>10804</v>
      </c>
      <c r="H859" s="7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66" t="s">
        <v>1045</v>
      </c>
      <c r="B860" s="66">
        <f t="shared" si="1623"/>
        <v>7</v>
      </c>
      <c r="C860" s="66">
        <f t="shared" si="1644"/>
        <v>66</v>
      </c>
      <c r="E860" s="66">
        <f t="shared" ref="E860" si="1752">plan_id</f>
        <v>1952</v>
      </c>
      <c r="F860" s="66">
        <f t="shared" ca="1" si="1704"/>
        <v>2004</v>
      </c>
      <c r="G860" s="66">
        <f t="shared" ref="G860" ca="1" si="1753">VLOOKUP(INDIRECT(CHAR(39)&amp;$A860&amp;CHAR(39)&amp;"!r2c"&amp;$C860,0),variables,2,0)</f>
        <v>10805</v>
      </c>
      <c r="H860" s="7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66" t="s">
        <v>1045</v>
      </c>
      <c r="B861" s="66">
        <f t="shared" ref="B861" si="1754">B796+1</f>
        <v>7</v>
      </c>
      <c r="C861" s="66">
        <f t="shared" si="1644"/>
        <v>67</v>
      </c>
      <c r="E861" s="66">
        <f t="shared" ref="E861" si="1755">plan_id</f>
        <v>1952</v>
      </c>
      <c r="F861" s="66">
        <f t="shared" ca="1" si="1704"/>
        <v>2004</v>
      </c>
      <c r="G861" s="66">
        <f t="shared" ref="G861" ca="1" si="1756">VLOOKUP(INDIRECT(CHAR(39)&amp;$A861&amp;CHAR(39)&amp;"!r2c"&amp;$C861,0),variables,2,0)</f>
        <v>10806</v>
      </c>
      <c r="H861" s="7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66" t="s">
        <v>1045</v>
      </c>
      <c r="B862" s="66">
        <f>B861</f>
        <v>7</v>
      </c>
      <c r="C862" s="66">
        <f t="shared" si="1644"/>
        <v>68</v>
      </c>
      <c r="E862" s="66">
        <f t="shared" ref="E862" si="1757">plan_id</f>
        <v>1952</v>
      </c>
      <c r="F862" s="66">
        <f t="shared" ca="1" si="1704"/>
        <v>2004</v>
      </c>
      <c r="G862" s="66">
        <f t="shared" ref="G862" ca="1" si="1758">VLOOKUP(INDIRECT(CHAR(39)&amp;$A862&amp;CHAR(39)&amp;"!r2c"&amp;$C862,0),variables,2,0)</f>
        <v>10807</v>
      </c>
      <c r="H862" s="7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66" t="s">
        <v>1045</v>
      </c>
      <c r="B863" s="66">
        <f t="shared" ref="B863:B887" si="1759">B862</f>
        <v>7</v>
      </c>
      <c r="C863" s="66">
        <f t="shared" si="1644"/>
        <v>69</v>
      </c>
      <c r="E863" s="66">
        <f t="shared" ref="E863" si="1760">plan_id</f>
        <v>1952</v>
      </c>
      <c r="F863" s="66">
        <f t="shared" ca="1" si="1704"/>
        <v>2004</v>
      </c>
      <c r="G863" s="66">
        <f t="shared" ref="G863" ca="1" si="1761">VLOOKUP(INDIRECT(CHAR(39)&amp;$A863&amp;CHAR(39)&amp;"!r2c"&amp;$C863,0),variables,2,0)</f>
        <v>10808</v>
      </c>
      <c r="H863" s="7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66" t="s">
        <v>1045</v>
      </c>
      <c r="B864" s="66">
        <f t="shared" si="1759"/>
        <v>7</v>
      </c>
      <c r="C864" s="66">
        <f t="shared" si="1644"/>
        <v>70</v>
      </c>
      <c r="E864" s="66">
        <f t="shared" ref="E864" si="1762">plan_id</f>
        <v>1952</v>
      </c>
      <c r="F864" s="66">
        <f t="shared" ca="1" si="1704"/>
        <v>2004</v>
      </c>
      <c r="G864" s="66">
        <f t="shared" ref="G864" ca="1" si="1763">VLOOKUP(INDIRECT(CHAR(39)&amp;$A864&amp;CHAR(39)&amp;"!r2c"&amp;$C864,0),variables,2,0)</f>
        <v>10809</v>
      </c>
      <c r="H864" s="7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66" t="s">
        <v>1045</v>
      </c>
      <c r="B865" s="66">
        <f t="shared" si="1759"/>
        <v>7</v>
      </c>
      <c r="C865" s="66">
        <f t="shared" si="1644"/>
        <v>71</v>
      </c>
      <c r="E865" s="66">
        <f t="shared" ref="E865" si="1764">plan_id</f>
        <v>1952</v>
      </c>
      <c r="F865" s="66">
        <f t="shared" ca="1" si="1704"/>
        <v>2004</v>
      </c>
      <c r="G865" s="66">
        <f t="shared" ref="G865" ca="1" si="1765">VLOOKUP(INDIRECT(CHAR(39)&amp;$A865&amp;CHAR(39)&amp;"!r2c"&amp;$C865,0),variables,2,0)</f>
        <v>10810</v>
      </c>
      <c r="H865" s="71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66" t="s">
        <v>1045</v>
      </c>
      <c r="B866" s="66">
        <f t="shared" si="1759"/>
        <v>7</v>
      </c>
      <c r="C866" s="66">
        <f t="shared" si="1644"/>
        <v>72</v>
      </c>
      <c r="E866" s="66">
        <f t="shared" ref="E866" si="1766">plan_id</f>
        <v>1952</v>
      </c>
      <c r="F866" s="66">
        <f t="shared" ca="1" si="1704"/>
        <v>2004</v>
      </c>
      <c r="G866" s="66">
        <f t="shared" ref="G866" ca="1" si="1767">VLOOKUP(INDIRECT(CHAR(39)&amp;$A866&amp;CHAR(39)&amp;"!r2c"&amp;$C866,0),variables,2,0)</f>
        <v>10811</v>
      </c>
      <c r="H866" s="7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66" t="s">
        <v>1045</v>
      </c>
      <c r="B867" s="66">
        <f t="shared" si="1759"/>
        <v>7</v>
      </c>
      <c r="C867" s="66">
        <f t="shared" si="1644"/>
        <v>73</v>
      </c>
      <c r="E867" s="66">
        <f t="shared" ref="E867" si="1768">plan_id</f>
        <v>1952</v>
      </c>
      <c r="F867" s="66">
        <f t="shared" ca="1" si="1704"/>
        <v>2004</v>
      </c>
      <c r="G867" s="66">
        <f t="shared" ref="G867" ca="1" si="1769">VLOOKUP(INDIRECT(CHAR(39)&amp;$A867&amp;CHAR(39)&amp;"!r2c"&amp;$C867,0),variables,2,0)</f>
        <v>10812</v>
      </c>
      <c r="H867" s="7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66" t="s">
        <v>1045</v>
      </c>
      <c r="B868" s="66">
        <f t="shared" si="1759"/>
        <v>7</v>
      </c>
      <c r="C868" s="66">
        <f t="shared" si="1644"/>
        <v>74</v>
      </c>
      <c r="E868" s="66">
        <f t="shared" ref="E868" si="1770">plan_id</f>
        <v>1952</v>
      </c>
      <c r="F868" s="66">
        <f t="shared" ca="1" si="1704"/>
        <v>2004</v>
      </c>
      <c r="G868" s="66">
        <f t="shared" ref="G868" ca="1" si="1771">VLOOKUP(INDIRECT(CHAR(39)&amp;$A868&amp;CHAR(39)&amp;"!r2c"&amp;$C868,0),variables,2,0)</f>
        <v>10813</v>
      </c>
      <c r="H868" s="71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66" t="s">
        <v>1045</v>
      </c>
      <c r="B869" s="66">
        <f t="shared" si="1759"/>
        <v>7</v>
      </c>
      <c r="C869" s="66">
        <f t="shared" si="1644"/>
        <v>75</v>
      </c>
      <c r="E869" s="66">
        <f t="shared" ref="E869" si="1772">plan_id</f>
        <v>1952</v>
      </c>
      <c r="F869" s="66">
        <f t="shared" ca="1" si="1704"/>
        <v>2004</v>
      </c>
      <c r="G869" s="66">
        <f t="shared" ref="G869" ca="1" si="1773">VLOOKUP(INDIRECT(CHAR(39)&amp;$A869&amp;CHAR(39)&amp;"!r2c"&amp;$C869,0),variables,2,0)</f>
        <v>10814</v>
      </c>
      <c r="H869" s="71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66" t="s">
        <v>1045</v>
      </c>
      <c r="B870" s="66">
        <f t="shared" si="1759"/>
        <v>7</v>
      </c>
      <c r="C870" s="66">
        <f t="shared" si="1644"/>
        <v>76</v>
      </c>
      <c r="E870" s="66">
        <f t="shared" ref="E870" si="1774">plan_id</f>
        <v>1952</v>
      </c>
      <c r="F870" s="66">
        <f t="shared" ca="1" si="1704"/>
        <v>2004</v>
      </c>
      <c r="G870" s="66">
        <f t="shared" ref="G870" ca="1" si="1775">VLOOKUP(INDIRECT(CHAR(39)&amp;$A870&amp;CHAR(39)&amp;"!r2c"&amp;$C870,0),variables,2,0)</f>
        <v>10815</v>
      </c>
      <c r="H870" s="71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66" t="s">
        <v>1045</v>
      </c>
      <c r="B871" s="66">
        <f t="shared" si="1759"/>
        <v>7</v>
      </c>
      <c r="C871" s="66">
        <f t="shared" ref="C871:C934" si="1776">C780</f>
        <v>77</v>
      </c>
      <c r="E871" s="66">
        <f t="shared" ref="E871" si="1777">plan_id</f>
        <v>1952</v>
      </c>
      <c r="F871" s="66">
        <f t="shared" ca="1" si="1704"/>
        <v>2004</v>
      </c>
      <c r="G871" s="66">
        <f t="shared" ref="G871" ca="1" si="1778">VLOOKUP(INDIRECT(CHAR(39)&amp;$A871&amp;CHAR(39)&amp;"!r2c"&amp;$C871,0),variables,2,0)</f>
        <v>10816</v>
      </c>
      <c r="H871" s="7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66" t="s">
        <v>1045</v>
      </c>
      <c r="B872" s="66">
        <f t="shared" si="1759"/>
        <v>7</v>
      </c>
      <c r="C872" s="66">
        <f t="shared" si="1776"/>
        <v>78</v>
      </c>
      <c r="E872" s="66">
        <f t="shared" ref="E872" si="1779">plan_id</f>
        <v>1952</v>
      </c>
      <c r="F872" s="66">
        <f t="shared" ca="1" si="1704"/>
        <v>2004</v>
      </c>
      <c r="G872" s="66">
        <f t="shared" ref="G872" ca="1" si="1780">VLOOKUP(INDIRECT(CHAR(39)&amp;$A872&amp;CHAR(39)&amp;"!r2c"&amp;$C872,0),variables,2,0)</f>
        <v>10817</v>
      </c>
      <c r="H872" s="7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66" t="s">
        <v>1045</v>
      </c>
      <c r="B873" s="66">
        <f t="shared" si="1759"/>
        <v>7</v>
      </c>
      <c r="C873" s="66">
        <f t="shared" si="1776"/>
        <v>79</v>
      </c>
      <c r="E873" s="66">
        <f t="shared" ref="E873" si="1781">plan_id</f>
        <v>1952</v>
      </c>
      <c r="F873" s="66">
        <f t="shared" ca="1" si="1704"/>
        <v>2004</v>
      </c>
      <c r="G873" s="66">
        <f t="shared" ref="G873" ca="1" si="1782">VLOOKUP(INDIRECT(CHAR(39)&amp;$A873&amp;CHAR(39)&amp;"!r2c"&amp;$C873,0),variables,2,0)</f>
        <v>10818</v>
      </c>
      <c r="H873" s="71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66" t="s">
        <v>1045</v>
      </c>
      <c r="B874" s="66">
        <f t="shared" si="1759"/>
        <v>7</v>
      </c>
      <c r="C874" s="66">
        <f t="shared" si="1776"/>
        <v>80</v>
      </c>
      <c r="E874" s="66">
        <f t="shared" ref="E874" si="1783">plan_id</f>
        <v>1952</v>
      </c>
      <c r="F874" s="66">
        <f t="shared" ca="1" si="1704"/>
        <v>2004</v>
      </c>
      <c r="G874" s="66">
        <f t="shared" ref="G874" ca="1" si="1784">VLOOKUP(INDIRECT(CHAR(39)&amp;$A874&amp;CHAR(39)&amp;"!r2c"&amp;$C874,0),variables,2,0)</f>
        <v>10819</v>
      </c>
      <c r="H874" s="71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66" t="s">
        <v>1045</v>
      </c>
      <c r="B875" s="66">
        <f t="shared" si="1759"/>
        <v>7</v>
      </c>
      <c r="C875" s="66">
        <f t="shared" si="1776"/>
        <v>81</v>
      </c>
      <c r="E875" s="66">
        <f t="shared" ref="E875" si="1785">plan_id</f>
        <v>1952</v>
      </c>
      <c r="F875" s="66">
        <f t="shared" ca="1" si="1704"/>
        <v>2004</v>
      </c>
      <c r="G875" s="66">
        <f t="shared" ref="G875" ca="1" si="1786">VLOOKUP(INDIRECT(CHAR(39)&amp;$A875&amp;CHAR(39)&amp;"!r2c"&amp;$C875,0),variables,2,0)</f>
        <v>10820</v>
      </c>
      <c r="H875" s="71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66" t="s">
        <v>1045</v>
      </c>
      <c r="B876" s="66">
        <f t="shared" si="1759"/>
        <v>7</v>
      </c>
      <c r="C876" s="66">
        <f t="shared" si="1776"/>
        <v>82</v>
      </c>
      <c r="E876" s="66">
        <f t="shared" ref="E876" si="1787">plan_id</f>
        <v>1952</v>
      </c>
      <c r="F876" s="66">
        <f t="shared" ca="1" si="1704"/>
        <v>2004</v>
      </c>
      <c r="G876" s="66">
        <f t="shared" ref="G876" ca="1" si="1788">VLOOKUP(INDIRECT(CHAR(39)&amp;$A876&amp;CHAR(39)&amp;"!r2c"&amp;$C876,0),variables,2,0)</f>
        <v>10821</v>
      </c>
      <c r="H876" s="71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66" t="s">
        <v>1045</v>
      </c>
      <c r="B877" s="66">
        <f t="shared" si="1759"/>
        <v>7</v>
      </c>
      <c r="C877" s="66">
        <f t="shared" si="1776"/>
        <v>83</v>
      </c>
      <c r="E877" s="66">
        <f t="shared" ref="E877" si="1789">plan_id</f>
        <v>1952</v>
      </c>
      <c r="F877" s="66">
        <f t="shared" ca="1" si="1704"/>
        <v>2004</v>
      </c>
      <c r="G877" s="66">
        <f t="shared" ref="G877" ca="1" si="1790">VLOOKUP(INDIRECT(CHAR(39)&amp;$A877&amp;CHAR(39)&amp;"!r2c"&amp;$C877,0),variables,2,0)</f>
        <v>10822</v>
      </c>
      <c r="H877" s="71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66" t="s">
        <v>1045</v>
      </c>
      <c r="B878" s="66">
        <f t="shared" si="1759"/>
        <v>7</v>
      </c>
      <c r="C878" s="66">
        <f t="shared" si="1776"/>
        <v>84</v>
      </c>
      <c r="E878" s="66">
        <f t="shared" ref="E878" si="1791">plan_id</f>
        <v>1952</v>
      </c>
      <c r="F878" s="66">
        <f t="shared" ca="1" si="1704"/>
        <v>2004</v>
      </c>
      <c r="G878" s="66">
        <f t="shared" ref="G878" ca="1" si="1792">VLOOKUP(INDIRECT(CHAR(39)&amp;$A878&amp;CHAR(39)&amp;"!r2c"&amp;$C878,0),variables,2,0)</f>
        <v>10829</v>
      </c>
      <c r="H878" s="71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66" t="s">
        <v>1045</v>
      </c>
      <c r="B879" s="66">
        <f t="shared" si="1759"/>
        <v>7</v>
      </c>
      <c r="C879" s="66">
        <f t="shared" si="1776"/>
        <v>85</v>
      </c>
      <c r="E879" s="66">
        <f t="shared" ref="E879" si="1793">plan_id</f>
        <v>1952</v>
      </c>
      <c r="F879" s="66">
        <f t="shared" ca="1" si="1704"/>
        <v>2004</v>
      </c>
      <c r="G879" s="66">
        <f t="shared" ref="G879" ca="1" si="1794">VLOOKUP(INDIRECT(CHAR(39)&amp;$A879&amp;CHAR(39)&amp;"!r2c"&amp;$C879,0),variables,2,0)</f>
        <v>10823</v>
      </c>
      <c r="H879" s="71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66" t="s">
        <v>1045</v>
      </c>
      <c r="B880" s="66">
        <f t="shared" si="1759"/>
        <v>7</v>
      </c>
      <c r="C880" s="66">
        <f t="shared" si="1776"/>
        <v>86</v>
      </c>
      <c r="E880" s="66">
        <f t="shared" ref="E880" si="1795">plan_id</f>
        <v>1952</v>
      </c>
      <c r="F880" s="66">
        <f t="shared" ca="1" si="1704"/>
        <v>2004</v>
      </c>
      <c r="G880" s="66">
        <f t="shared" ref="G880" ca="1" si="1796">VLOOKUP(INDIRECT(CHAR(39)&amp;$A880&amp;CHAR(39)&amp;"!r2c"&amp;$C880,0),variables,2,0)</f>
        <v>10798</v>
      </c>
      <c r="H880" s="71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66" t="s">
        <v>1045</v>
      </c>
      <c r="B881" s="66">
        <f t="shared" si="1759"/>
        <v>7</v>
      </c>
      <c r="C881" s="66">
        <f t="shared" si="1776"/>
        <v>87</v>
      </c>
      <c r="E881" s="66">
        <f t="shared" ref="E881" si="1797">plan_id</f>
        <v>1952</v>
      </c>
      <c r="F881" s="66">
        <f t="shared" ca="1" si="1704"/>
        <v>2004</v>
      </c>
      <c r="G881" s="66">
        <f t="shared" ref="G881" ca="1" si="1798">VLOOKUP(INDIRECT(CHAR(39)&amp;$A881&amp;CHAR(39)&amp;"!r2c"&amp;$C881,0),variables,2,0)</f>
        <v>10799</v>
      </c>
      <c r="H881" s="7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66" t="s">
        <v>1045</v>
      </c>
      <c r="B882" s="66">
        <f t="shared" si="1759"/>
        <v>7</v>
      </c>
      <c r="C882" s="66">
        <f t="shared" si="1776"/>
        <v>88</v>
      </c>
      <c r="E882" s="66">
        <f t="shared" ref="E882" si="1799">plan_id</f>
        <v>1952</v>
      </c>
      <c r="F882" s="66">
        <f t="shared" ca="1" si="1704"/>
        <v>2004</v>
      </c>
      <c r="G882" s="66">
        <f t="shared" ref="G882" ca="1" si="1800">VLOOKUP(INDIRECT(CHAR(39)&amp;$A882&amp;CHAR(39)&amp;"!r2c"&amp;$C882,0),variables,2,0)</f>
        <v>10800</v>
      </c>
      <c r="H882" s="7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66" t="s">
        <v>1045</v>
      </c>
      <c r="B883" s="66">
        <f t="shared" si="1759"/>
        <v>7</v>
      </c>
      <c r="C883" s="66">
        <f t="shared" si="1776"/>
        <v>89</v>
      </c>
      <c r="E883" s="66">
        <f t="shared" ref="E883" si="1801">plan_id</f>
        <v>1952</v>
      </c>
      <c r="F883" s="66">
        <f t="shared" ca="1" si="1704"/>
        <v>2004</v>
      </c>
      <c r="G883" s="66">
        <f t="shared" ref="G883" ca="1" si="1802">VLOOKUP(INDIRECT(CHAR(39)&amp;$A883&amp;CHAR(39)&amp;"!r2c"&amp;$C883,0),variables,2,0)</f>
        <v>10824</v>
      </c>
      <c r="H883" s="7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66" t="s">
        <v>1045</v>
      </c>
      <c r="B884" s="66">
        <f t="shared" si="1759"/>
        <v>7</v>
      </c>
      <c r="C884" s="66">
        <f t="shared" si="1776"/>
        <v>90</v>
      </c>
      <c r="E884" s="66">
        <f t="shared" ref="E884" si="1803">plan_id</f>
        <v>1952</v>
      </c>
      <c r="F884" s="66">
        <f t="shared" ca="1" si="1704"/>
        <v>2004</v>
      </c>
      <c r="G884" s="66">
        <f t="shared" ref="G884" ca="1" si="1804">VLOOKUP(INDIRECT(CHAR(39)&amp;$A884&amp;CHAR(39)&amp;"!r2c"&amp;$C884,0),variables,2,0)</f>
        <v>10825</v>
      </c>
      <c r="H884" s="71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66" t="s">
        <v>1045</v>
      </c>
      <c r="B885" s="66">
        <f t="shared" si="1759"/>
        <v>7</v>
      </c>
      <c r="C885" s="66">
        <f t="shared" si="1776"/>
        <v>91</v>
      </c>
      <c r="E885" s="66">
        <f t="shared" ref="E885" si="1805">plan_id</f>
        <v>1952</v>
      </c>
      <c r="F885" s="66">
        <f t="shared" ca="1" si="1704"/>
        <v>2004</v>
      </c>
      <c r="G885" s="66">
        <f t="shared" ref="G885" ca="1" si="1806">VLOOKUP(INDIRECT(CHAR(39)&amp;$A885&amp;CHAR(39)&amp;"!r2c"&amp;$C885,0),variables,2,0)</f>
        <v>10826</v>
      </c>
      <c r="H885" s="71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66" t="s">
        <v>1045</v>
      </c>
      <c r="B886" s="66">
        <f t="shared" si="1759"/>
        <v>7</v>
      </c>
      <c r="C886" s="66">
        <f t="shared" si="1776"/>
        <v>92</v>
      </c>
      <c r="E886" s="66">
        <f t="shared" ref="E886" si="1807">plan_id</f>
        <v>1952</v>
      </c>
      <c r="F886" s="66">
        <f t="shared" ca="1" si="1704"/>
        <v>2004</v>
      </c>
      <c r="G886" s="66">
        <f t="shared" ref="G886" ca="1" si="1808">VLOOKUP(INDIRECT(CHAR(39)&amp;$A886&amp;CHAR(39)&amp;"!r2c"&amp;$C886,0),variables,2,0)</f>
        <v>10828</v>
      </c>
      <c r="H886" s="71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66" t="s">
        <v>1045</v>
      </c>
      <c r="B887" s="66">
        <f t="shared" si="1759"/>
        <v>7</v>
      </c>
      <c r="C887" s="66">
        <f t="shared" si="1776"/>
        <v>93</v>
      </c>
      <c r="E887" s="66">
        <f t="shared" ref="E887" si="1809">plan_id</f>
        <v>1952</v>
      </c>
      <c r="F887" s="66">
        <f t="shared" ca="1" si="1704"/>
        <v>2004</v>
      </c>
      <c r="G887" s="66">
        <f t="shared" ref="G887" ca="1" si="1810">VLOOKUP(INDIRECT(CHAR(39)&amp;$A887&amp;CHAR(39)&amp;"!r2c"&amp;$C887,0),variables,2,0)</f>
        <v>10827</v>
      </c>
      <c r="H887" s="71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66" t="s">
        <v>1045</v>
      </c>
      <c r="B888" s="66">
        <f t="shared" ref="B888:B951" si="1811">B823+1</f>
        <v>8</v>
      </c>
      <c r="C888" s="66">
        <f t="shared" si="1776"/>
        <v>3</v>
      </c>
      <c r="E888" s="66">
        <f t="shared" ref="E888" si="1812">plan_id</f>
        <v>1952</v>
      </c>
      <c r="F888" s="66">
        <f t="shared" ca="1" si="1704"/>
        <v>2005</v>
      </c>
      <c r="G888" s="66">
        <f t="shared" ref="G888" ca="1" si="1813">VLOOKUP(INDIRECT(CHAR(39)&amp;$A888&amp;CHAR(39)&amp;"!r2c"&amp;$C888,0),variables,2,0)</f>
        <v>10703</v>
      </c>
      <c r="H888" s="71" t="str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2006 - 2008</v>
      </c>
    </row>
    <row r="889" spans="1:8" x14ac:dyDescent="0.2">
      <c r="A889" s="66" t="s">
        <v>1045</v>
      </c>
      <c r="B889" s="66">
        <f t="shared" si="1811"/>
        <v>8</v>
      </c>
      <c r="C889" s="66">
        <f t="shared" si="1776"/>
        <v>4</v>
      </c>
      <c r="E889" s="66">
        <f t="shared" ref="E889" si="1814">plan_id</f>
        <v>1952</v>
      </c>
      <c r="F889" s="66">
        <f t="shared" ca="1" si="1704"/>
        <v>2005</v>
      </c>
      <c r="G889" s="66">
        <f t="shared" ref="G889" ca="1" si="1815">VLOOKUP(INDIRECT(CHAR(39)&amp;$A889&amp;CHAR(39)&amp;"!r2c"&amp;$C889,0),variables,2,0)</f>
        <v>10845</v>
      </c>
      <c r="H889" s="71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PALMER &amp; CAY</v>
      </c>
    </row>
    <row r="890" spans="1:8" x14ac:dyDescent="0.2">
      <c r="A890" s="66" t="s">
        <v>1045</v>
      </c>
      <c r="B890" s="66">
        <f t="shared" si="1811"/>
        <v>8</v>
      </c>
      <c r="C890" s="66">
        <f t="shared" si="1776"/>
        <v>5</v>
      </c>
      <c r="E890" s="66">
        <f t="shared" ref="E890" si="1816">plan_id</f>
        <v>1952</v>
      </c>
      <c r="F890" s="66">
        <f t="shared" ca="1" si="1704"/>
        <v>2005</v>
      </c>
      <c r="G890" s="66">
        <f t="shared" ref="G890" ca="1" si="1817">VLOOKUP(INDIRECT(CHAR(39)&amp;$A890&amp;CHAR(39)&amp;"!r2c"&amp;$C890,0),variables,2,0)</f>
        <v>10924</v>
      </c>
      <c r="H890" s="71" t="str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(i)7.8%; (ii)9.45%</v>
      </c>
    </row>
    <row r="891" spans="1:8" x14ac:dyDescent="0.2">
      <c r="A891" s="66" t="s">
        <v>1045</v>
      </c>
      <c r="B891" s="66">
        <f t="shared" si="1811"/>
        <v>8</v>
      </c>
      <c r="C891" s="66">
        <f t="shared" si="1776"/>
        <v>6</v>
      </c>
      <c r="E891" s="66">
        <f t="shared" ref="E891" si="1818">plan_id</f>
        <v>1952</v>
      </c>
      <c r="F891" s="66">
        <f t="shared" ca="1" si="1704"/>
        <v>2005</v>
      </c>
      <c r="G891" s="66">
        <f t="shared" ref="G891" ca="1" si="1819">VLOOKUP(INDIRECT(CHAR(39)&amp;$A891&amp;CHAR(39)&amp;"!r2c"&amp;$C891,0),variables,2,0)</f>
        <v>10925</v>
      </c>
      <c r="H891" s="71" t="str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(i)2.8%; (ii)4.45%</v>
      </c>
    </row>
    <row r="892" spans="1:8" x14ac:dyDescent="0.2">
      <c r="A892" s="66" t="s">
        <v>1045</v>
      </c>
      <c r="B892" s="66">
        <f t="shared" si="1811"/>
        <v>8</v>
      </c>
      <c r="C892" s="66">
        <f t="shared" si="1776"/>
        <v>7</v>
      </c>
      <c r="E892" s="66">
        <f t="shared" ref="E892" si="1820">plan_id</f>
        <v>1952</v>
      </c>
      <c r="F892" s="66">
        <f t="shared" ca="1" si="1704"/>
        <v>2005</v>
      </c>
      <c r="G892" s="66">
        <f t="shared" ref="G892" ca="1" si="1821">VLOOKUP(INDIRECT(CHAR(39)&amp;$A892&amp;CHAR(39)&amp;"!r2c"&amp;$C892,0),variables,2,0)</f>
        <v>10926</v>
      </c>
      <c r="H892" s="71" t="str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(i)5%; (ii)5%</v>
      </c>
    </row>
    <row r="893" spans="1:8" x14ac:dyDescent="0.2">
      <c r="A893" s="66" t="s">
        <v>1045</v>
      </c>
      <c r="B893" s="66">
        <f t="shared" si="1811"/>
        <v>8</v>
      </c>
      <c r="C893" s="66">
        <f t="shared" si="1776"/>
        <v>8</v>
      </c>
      <c r="E893" s="66">
        <f t="shared" ref="E893" si="1822">plan_id</f>
        <v>1952</v>
      </c>
      <c r="F893" s="66">
        <f t="shared" ca="1" si="1704"/>
        <v>2005</v>
      </c>
      <c r="G893" s="66">
        <f t="shared" ref="G893" ca="1" si="1823">VLOOKUP(INDIRECT(CHAR(39)&amp;$A893&amp;CHAR(39)&amp;"!r2c"&amp;$C893,0),variables,2,0)</f>
        <v>10704</v>
      </c>
      <c r="H893" s="71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2">
      <c r="A894" s="66" t="s">
        <v>1045</v>
      </c>
      <c r="B894" s="66">
        <f t="shared" si="1811"/>
        <v>8</v>
      </c>
      <c r="C894" s="66">
        <f t="shared" si="1776"/>
        <v>9</v>
      </c>
      <c r="E894" s="66">
        <f t="shared" ref="E894" si="1824">plan_id</f>
        <v>1952</v>
      </c>
      <c r="F894" s="66">
        <f t="shared" ca="1" si="1704"/>
        <v>2005</v>
      </c>
      <c r="G894" s="66">
        <f t="shared" ref="G894" ca="1" si="1825">VLOOKUP(INDIRECT(CHAR(39)&amp;$A894&amp;CHAR(39)&amp;"!r2c"&amp;$C894,0),variables,2,0)</f>
        <v>10928</v>
      </c>
      <c r="H894" s="71" t="str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(i)4.53%; (ii)6.73%</v>
      </c>
    </row>
    <row r="895" spans="1:8" x14ac:dyDescent="0.2">
      <c r="A895" s="66" t="s">
        <v>1045</v>
      </c>
      <c r="B895" s="66">
        <f t="shared" si="1811"/>
        <v>8</v>
      </c>
      <c r="C895" s="66">
        <f t="shared" si="1776"/>
        <v>10</v>
      </c>
      <c r="E895" s="66">
        <f t="shared" ref="E895" si="1826">plan_id</f>
        <v>1952</v>
      </c>
      <c r="F895" s="66">
        <f t="shared" ca="1" si="1704"/>
        <v>2005</v>
      </c>
      <c r="G895" s="66">
        <f t="shared" ref="G895" ca="1" si="1827">VLOOKUP(INDIRECT(CHAR(39)&amp;$A895&amp;CHAR(39)&amp;"!r2c"&amp;$C895,0),variables,2,0)</f>
        <v>10929</v>
      </c>
      <c r="H895" s="71" t="str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(i)4.53%; (ii)6.73%</v>
      </c>
    </row>
    <row r="896" spans="1:8" x14ac:dyDescent="0.2">
      <c r="A896" s="66" t="s">
        <v>1045</v>
      </c>
      <c r="B896" s="66">
        <f t="shared" si="1811"/>
        <v>8</v>
      </c>
      <c r="C896" s="66">
        <f t="shared" si="1776"/>
        <v>11</v>
      </c>
      <c r="E896" s="66">
        <f t="shared" ref="E896" si="1828">plan_id</f>
        <v>1952</v>
      </c>
      <c r="F896" s="66">
        <f t="shared" ca="1" si="1704"/>
        <v>2005</v>
      </c>
      <c r="G896" s="66">
        <f t="shared" ref="G896" ca="1" si="1829">VLOOKUP(INDIRECT(CHAR(39)&amp;$A896&amp;CHAR(39)&amp;"!r2c"&amp;$C896,0),variables,2,0)</f>
        <v>10930</v>
      </c>
      <c r="H896" s="71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66" t="s">
        <v>1045</v>
      </c>
      <c r="B897" s="66">
        <f t="shared" si="1811"/>
        <v>8</v>
      </c>
      <c r="C897" s="66">
        <f t="shared" si="1776"/>
        <v>12</v>
      </c>
      <c r="E897" s="66">
        <f t="shared" ref="E897" si="1830">plan_id</f>
        <v>1952</v>
      </c>
      <c r="F897" s="66">
        <f t="shared" ca="1" si="1704"/>
        <v>2005</v>
      </c>
      <c r="G897" s="66">
        <f t="shared" ref="G897" ca="1" si="1831">VLOOKUP(INDIRECT(CHAR(39)&amp;$A897&amp;CHAR(39)&amp;"!r2c"&amp;$C897,0),variables,2,0)</f>
        <v>10705</v>
      </c>
      <c r="H897" s="7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489989000</v>
      </c>
    </row>
    <row r="898" spans="1:8" x14ac:dyDescent="0.2">
      <c r="A898" s="66" t="s">
        <v>1045</v>
      </c>
      <c r="B898" s="66">
        <f t="shared" si="1811"/>
        <v>8</v>
      </c>
      <c r="C898" s="66">
        <f t="shared" si="1776"/>
        <v>13</v>
      </c>
      <c r="E898" s="66">
        <f t="shared" ref="E898" si="1832">plan_id</f>
        <v>1952</v>
      </c>
      <c r="F898" s="66">
        <f t="shared" ca="1" si="1704"/>
        <v>2005</v>
      </c>
      <c r="G898" s="66">
        <f t="shared" ref="G898" ca="1" si="1833">VLOOKUP(INDIRECT(CHAR(39)&amp;$A898&amp;CHAR(39)&amp;"!r2c"&amp;$C898,0),variables,2,0)</f>
        <v>10842</v>
      </c>
      <c r="H898" s="71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66" t="s">
        <v>1045</v>
      </c>
      <c r="B899" s="66">
        <f t="shared" si="1811"/>
        <v>8</v>
      </c>
      <c r="C899" s="66">
        <f t="shared" si="1776"/>
        <v>14</v>
      </c>
      <c r="E899" s="66">
        <f t="shared" ref="E899" si="1834">plan_id</f>
        <v>1952</v>
      </c>
      <c r="F899" s="66">
        <f t="shared" ca="1" si="1704"/>
        <v>2005</v>
      </c>
      <c r="G899" s="66">
        <f t="shared" ref="G899" ca="1" si="1835">VLOOKUP(INDIRECT(CHAR(39)&amp;$A899&amp;CHAR(39)&amp;"!r2c"&amp;$C899,0),variables,2,0)</f>
        <v>10843</v>
      </c>
      <c r="H899" s="71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66" t="s">
        <v>1045</v>
      </c>
      <c r="B900" s="66">
        <f t="shared" si="1811"/>
        <v>8</v>
      </c>
      <c r="C900" s="66">
        <f t="shared" si="1776"/>
        <v>15</v>
      </c>
      <c r="E900" s="66">
        <f t="shared" ref="E900" si="1836">plan_id</f>
        <v>1952</v>
      </c>
      <c r="F900" s="66">
        <f t="shared" ca="1" si="1704"/>
        <v>2005</v>
      </c>
      <c r="G900" s="66">
        <f t="shared" ref="G900" ca="1" si="1837">VLOOKUP(INDIRECT(CHAR(39)&amp;$A900&amp;CHAR(39)&amp;"!r2c"&amp;$C900,0),variables,2,0)</f>
        <v>10931</v>
      </c>
      <c r="H900" s="7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66" t="s">
        <v>1045</v>
      </c>
      <c r="B901" s="66">
        <f t="shared" si="1811"/>
        <v>8</v>
      </c>
      <c r="C901" s="66">
        <f t="shared" si="1776"/>
        <v>16</v>
      </c>
      <c r="E901" s="66">
        <f t="shared" ref="E901" si="1838">plan_id</f>
        <v>1952</v>
      </c>
      <c r="F901" s="66">
        <f t="shared" ca="1" si="1704"/>
        <v>2005</v>
      </c>
      <c r="G901" s="66">
        <f t="shared" ref="G901" ca="1" si="1839">VLOOKUP(INDIRECT(CHAR(39)&amp;$A901&amp;CHAR(39)&amp;"!r2c"&amp;$C901,0),variables,2,0)</f>
        <v>10932</v>
      </c>
      <c r="H901" s="7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66" t="s">
        <v>1045</v>
      </c>
      <c r="B902" s="66">
        <f t="shared" si="1811"/>
        <v>8</v>
      </c>
      <c r="C902" s="66">
        <f t="shared" si="1776"/>
        <v>17</v>
      </c>
      <c r="E902" s="66">
        <f t="shared" ref="E902" si="1840">plan_id</f>
        <v>1952</v>
      </c>
      <c r="F902" s="66">
        <f t="shared" ca="1" si="1704"/>
        <v>2005</v>
      </c>
      <c r="G902" s="66">
        <f t="shared" ref="G902" ca="1" si="1841">VLOOKUP(INDIRECT(CHAR(39)&amp;$A902&amp;CHAR(39)&amp;"!r2c"&amp;$C902,0),variables,2,0)</f>
        <v>10933</v>
      </c>
      <c r="H902" s="71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(i)7.33%; (ii)11.18%</v>
      </c>
    </row>
    <row r="903" spans="1:8" x14ac:dyDescent="0.2">
      <c r="A903" s="66" t="s">
        <v>1045</v>
      </c>
      <c r="B903" s="66">
        <f t="shared" si="1811"/>
        <v>8</v>
      </c>
      <c r="C903" s="66">
        <f t="shared" si="1776"/>
        <v>18</v>
      </c>
      <c r="E903" s="66">
        <f t="shared" ref="E903" si="1842">plan_id</f>
        <v>1952</v>
      </c>
      <c r="F903" s="66">
        <f t="shared" ca="1" si="1704"/>
        <v>2005</v>
      </c>
      <c r="G903" s="66">
        <f t="shared" ref="G903" ca="1" si="1843">VLOOKUP(INDIRECT(CHAR(39)&amp;$A903&amp;CHAR(39)&amp;"!r2c"&amp;$C903,0),variables,2,0)</f>
        <v>10934</v>
      </c>
      <c r="H903" s="71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(i)5%; (ii)5%</v>
      </c>
    </row>
    <row r="904" spans="1:8" x14ac:dyDescent="0.2">
      <c r="A904" s="66" t="s">
        <v>1045</v>
      </c>
      <c r="B904" s="66">
        <f t="shared" si="1811"/>
        <v>8</v>
      </c>
      <c r="C904" s="66">
        <f t="shared" si="1776"/>
        <v>19</v>
      </c>
      <c r="E904" s="66">
        <f t="shared" ref="E904" si="1844">plan_id</f>
        <v>1952</v>
      </c>
      <c r="F904" s="66">
        <f t="shared" ca="1" si="1704"/>
        <v>2005</v>
      </c>
      <c r="G904" s="66">
        <f t="shared" ref="G904" ca="1" si="1845">VLOOKUP(INDIRECT(CHAR(39)&amp;$A904&amp;CHAR(39)&amp;"!r2c"&amp;$C904,0),variables,2,0)</f>
        <v>10935</v>
      </c>
      <c r="H904" s="71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</v>
      </c>
    </row>
    <row r="905" spans="1:8" x14ac:dyDescent="0.2">
      <c r="A905" s="66" t="s">
        <v>1045</v>
      </c>
      <c r="B905" s="66">
        <f t="shared" si="1811"/>
        <v>8</v>
      </c>
      <c r="C905" s="66">
        <f t="shared" si="1776"/>
        <v>20</v>
      </c>
      <c r="E905" s="66">
        <f t="shared" ref="E905" si="1846">plan_id</f>
        <v>1952</v>
      </c>
      <c r="F905" s="66">
        <f t="shared" ca="1" si="1704"/>
        <v>2005</v>
      </c>
      <c r="G905" s="66">
        <f t="shared" ref="G905" ca="1" si="1847">VLOOKUP(INDIRECT(CHAR(39)&amp;$A905&amp;CHAR(39)&amp;"!r2c"&amp;$C905,0),variables,2,0)</f>
        <v>10937</v>
      </c>
      <c r="H905" s="71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66" t="s">
        <v>1045</v>
      </c>
      <c r="B906" s="66">
        <f t="shared" si="1811"/>
        <v>8</v>
      </c>
      <c r="C906" s="66">
        <f t="shared" si="1776"/>
        <v>21</v>
      </c>
      <c r="E906" s="66">
        <f t="shared" ref="E906" si="1848">plan_id</f>
        <v>1952</v>
      </c>
      <c r="F906" s="66">
        <f t="shared" ca="1" si="1704"/>
        <v>2005</v>
      </c>
      <c r="G906" s="66">
        <f t="shared" ref="G906" ca="1" si="1849">VLOOKUP(INDIRECT(CHAR(39)&amp;$A906&amp;CHAR(39)&amp;"!r2c"&amp;$C906,0),variables,2,0)</f>
        <v>10938</v>
      </c>
      <c r="H906" s="7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66" t="s">
        <v>1045</v>
      </c>
      <c r="B907" s="66">
        <f t="shared" si="1811"/>
        <v>8</v>
      </c>
      <c r="C907" s="66">
        <f t="shared" si="1776"/>
        <v>22</v>
      </c>
      <c r="E907" s="66">
        <f t="shared" ref="E907" si="1850">plan_id</f>
        <v>1952</v>
      </c>
      <c r="F907" s="66">
        <f t="shared" ca="1" si="1704"/>
        <v>2005</v>
      </c>
      <c r="G907" s="66">
        <f t="shared" ref="G907" ca="1" si="1851">VLOOKUP(INDIRECT(CHAR(39)&amp;$A907&amp;CHAR(39)&amp;"!r2c"&amp;$C907,0),variables,2,0)</f>
        <v>11007</v>
      </c>
      <c r="H907" s="71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1.7% of AFC times years of service</v>
      </c>
    </row>
    <row r="908" spans="1:8" x14ac:dyDescent="0.2">
      <c r="A908" s="66" t="s">
        <v>1045</v>
      </c>
      <c r="B908" s="66">
        <f t="shared" si="1811"/>
        <v>8</v>
      </c>
      <c r="C908" s="66">
        <f t="shared" si="1776"/>
        <v>23</v>
      </c>
      <c r="E908" s="66">
        <f t="shared" ref="E908" si="1852">plan_id</f>
        <v>1952</v>
      </c>
      <c r="F908" s="66">
        <f t="shared" ca="1" si="1704"/>
        <v>2005</v>
      </c>
      <c r="G908" s="66">
        <f t="shared" ref="G908" ca="1" si="1853">VLOOKUP(INDIRECT(CHAR(39)&amp;$A908&amp;CHAR(39)&amp;"!r2c"&amp;$C908,0),variables,2,0)</f>
        <v>10941</v>
      </c>
      <c r="H908" s="71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2">
      <c r="A909" s="66" t="s">
        <v>1045</v>
      </c>
      <c r="B909" s="66">
        <f t="shared" si="1811"/>
        <v>8</v>
      </c>
      <c r="C909" s="66">
        <f t="shared" si="1776"/>
        <v>24</v>
      </c>
      <c r="E909" s="66">
        <f t="shared" ref="E909" si="1854">plan_id</f>
        <v>1952</v>
      </c>
      <c r="F909" s="66">
        <f t="shared" ca="1" si="1704"/>
        <v>2005</v>
      </c>
      <c r="G909" s="66">
        <f t="shared" ref="G909" ca="1" si="1855">VLOOKUP(INDIRECT(CHAR(39)&amp;$A909&amp;CHAR(39)&amp;"!r2c"&amp;$C909,0),variables,2,0)</f>
        <v>10942</v>
      </c>
      <c r="H909" s="71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2">
      <c r="A910" s="66" t="s">
        <v>1045</v>
      </c>
      <c r="B910" s="66">
        <f t="shared" si="1811"/>
        <v>8</v>
      </c>
      <c r="C910" s="66">
        <f t="shared" si="1776"/>
        <v>25</v>
      </c>
      <c r="E910" s="66">
        <f t="shared" ref="E910" si="1856">plan_id</f>
        <v>1952</v>
      </c>
      <c r="F910" s="66">
        <f t="shared" ca="1" si="1704"/>
        <v>2005</v>
      </c>
      <c r="G910" s="66">
        <f t="shared" ref="G910" ca="1" si="1857">VLOOKUP(INDIRECT(CHAR(39)&amp;$A910&amp;CHAR(39)&amp;"!r2c"&amp;$C910,0),variables,2,0)</f>
        <v>10701</v>
      </c>
      <c r="H910" s="71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66" t="s">
        <v>1045</v>
      </c>
      <c r="B911" s="66">
        <f t="shared" si="1811"/>
        <v>8</v>
      </c>
      <c r="C911" s="66">
        <f t="shared" si="1776"/>
        <v>26</v>
      </c>
      <c r="E911" s="66">
        <f t="shared" ref="E911" si="1858">plan_id</f>
        <v>1952</v>
      </c>
      <c r="F911" s="66">
        <f t="shared" ca="1" si="1704"/>
        <v>2005</v>
      </c>
      <c r="G911" s="66">
        <f t="shared" ref="G911" ca="1" si="1859">VLOOKUP(INDIRECT(CHAR(39)&amp;$A911&amp;CHAR(39)&amp;"!r2c"&amp;$C911,0),variables,2,0)</f>
        <v>10702</v>
      </c>
      <c r="H911" s="71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66" t="s">
        <v>1045</v>
      </c>
      <c r="B912" s="66">
        <f t="shared" si="1811"/>
        <v>8</v>
      </c>
      <c r="C912" s="66">
        <f t="shared" si="1776"/>
        <v>27</v>
      </c>
      <c r="E912" s="66">
        <f t="shared" ref="E912" si="1860">plan_id</f>
        <v>1952</v>
      </c>
      <c r="F912" s="66">
        <f t="shared" ca="1" si="1704"/>
        <v>2005</v>
      </c>
      <c r="G912" s="66">
        <f t="shared" ref="G912" ca="1" si="1861">VLOOKUP(INDIRECT(CHAR(39)&amp;$A912&amp;CHAR(39)&amp;"!r2c"&amp;$C912,0),variables,2,0)</f>
        <v>10943</v>
      </c>
      <c r="H912" s="71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2.5000000000000001E-2</v>
      </c>
    </row>
    <row r="913" spans="1:8" x14ac:dyDescent="0.2">
      <c r="A913" s="66" t="s">
        <v>1045</v>
      </c>
      <c r="B913" s="66">
        <f t="shared" si="1811"/>
        <v>8</v>
      </c>
      <c r="C913" s="66">
        <f t="shared" si="1776"/>
        <v>28</v>
      </c>
      <c r="E913" s="66">
        <f t="shared" ref="E913" si="1862">plan_id</f>
        <v>1952</v>
      </c>
      <c r="F913" s="66">
        <f t="shared" ca="1" si="1704"/>
        <v>2005</v>
      </c>
      <c r="G913" s="66">
        <f t="shared" ref="G913" ca="1" si="1863">VLOOKUP(INDIRECT(CHAR(39)&amp;$A913&amp;CHAR(39)&amp;"!r2c"&amp;$C913,0),variables,2,0)</f>
        <v>10944</v>
      </c>
      <c r="H913" s="71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2">
      <c r="A914" s="66" t="s">
        <v>1045</v>
      </c>
      <c r="B914" s="66">
        <f t="shared" si="1811"/>
        <v>8</v>
      </c>
      <c r="C914" s="66">
        <f t="shared" si="1776"/>
        <v>29</v>
      </c>
      <c r="E914" s="66">
        <f t="shared" ref="E914" si="1864">plan_id</f>
        <v>1952</v>
      </c>
      <c r="F914" s="66">
        <f t="shared" ca="1" si="1704"/>
        <v>2005</v>
      </c>
      <c r="G914" s="66">
        <f t="shared" ref="G914" ca="1" si="1865">VLOOKUP(INDIRECT(CHAR(39)&amp;$A914&amp;CHAR(39)&amp;"!r2c"&amp;$C914,0),variables,2,0)</f>
        <v>10945</v>
      </c>
      <c r="H914" s="71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66" t="s">
        <v>1045</v>
      </c>
      <c r="B915" s="66">
        <f t="shared" si="1811"/>
        <v>8</v>
      </c>
      <c r="C915" s="66">
        <f t="shared" si="1776"/>
        <v>30</v>
      </c>
      <c r="E915" s="66">
        <f t="shared" ref="E915" si="1866">plan_id</f>
        <v>1952</v>
      </c>
      <c r="F915" s="66">
        <f t="shared" ca="1" si="1704"/>
        <v>2005</v>
      </c>
      <c r="G915" s="66">
        <f t="shared" ref="G915" ca="1" si="1867">VLOOKUP(INDIRECT(CHAR(39)&amp;$A915&amp;CHAR(39)&amp;"!r2c"&amp;$C915,0),variables,2,0)</f>
        <v>10947</v>
      </c>
      <c r="H915" s="71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66" t="s">
        <v>1045</v>
      </c>
      <c r="B916" s="66">
        <f t="shared" si="1811"/>
        <v>8</v>
      </c>
      <c r="C916" s="66">
        <f t="shared" si="1776"/>
        <v>31</v>
      </c>
      <c r="E916" s="66">
        <f t="shared" ref="E916" si="1868">plan_id</f>
        <v>1952</v>
      </c>
      <c r="F916" s="66">
        <f t="shared" ca="1" si="1704"/>
        <v>2005</v>
      </c>
      <c r="G916" s="66">
        <f t="shared" ref="G916" ca="1" si="1869">VLOOKUP(INDIRECT(CHAR(39)&amp;$A916&amp;CHAR(39)&amp;"!r2c"&amp;$C916,0),variables,2,0)</f>
        <v>10948</v>
      </c>
      <c r="H916" s="71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2">
      <c r="A917" s="66" t="s">
        <v>1045</v>
      </c>
      <c r="B917" s="66">
        <f t="shared" si="1811"/>
        <v>8</v>
      </c>
      <c r="C917" s="66">
        <f t="shared" si="1776"/>
        <v>32</v>
      </c>
      <c r="E917" s="66">
        <f t="shared" ref="E917" si="1870">plan_id</f>
        <v>1952</v>
      </c>
      <c r="F917" s="66">
        <f t="shared" ca="1" si="1704"/>
        <v>2005</v>
      </c>
      <c r="G917" s="66">
        <f t="shared" ref="G917" ca="1" si="1871">VLOOKUP(INDIRECT(CHAR(39)&amp;$A917&amp;CHAR(39)&amp;"!r2c"&amp;$C917,0),variables,2,0)</f>
        <v>10949</v>
      </c>
      <c r="H917" s="71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66" t="s">
        <v>1045</v>
      </c>
      <c r="B918" s="66">
        <f t="shared" si="1811"/>
        <v>8</v>
      </c>
      <c r="C918" s="66">
        <f t="shared" si="1776"/>
        <v>33</v>
      </c>
      <c r="E918" s="66">
        <f t="shared" ref="E918" si="1872">plan_id</f>
        <v>1952</v>
      </c>
      <c r="F918" s="66">
        <f t="shared" ca="1" si="1704"/>
        <v>2005</v>
      </c>
      <c r="G918" s="66">
        <f t="shared" ref="G918" ca="1" si="1873">VLOOKUP(INDIRECT(CHAR(39)&amp;$A918&amp;CHAR(39)&amp;"!r2c"&amp;$C918,0),variables,2,0)</f>
        <v>10951</v>
      </c>
      <c r="H918" s="71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2">
      <c r="A919" s="66" t="s">
        <v>1045</v>
      </c>
      <c r="B919" s="66">
        <f t="shared" si="1811"/>
        <v>8</v>
      </c>
      <c r="C919" s="66">
        <f t="shared" si="1776"/>
        <v>34</v>
      </c>
      <c r="E919" s="66">
        <f t="shared" ref="E919" si="1874">plan_id</f>
        <v>1952</v>
      </c>
      <c r="F919" s="66">
        <f t="shared" ca="1" si="1704"/>
        <v>2005</v>
      </c>
      <c r="G919" s="66">
        <f t="shared" ref="G919" ca="1" si="1875">VLOOKUP(INDIRECT(CHAR(39)&amp;$A919&amp;CHAR(39)&amp;"!r2c"&amp;$C919,0),variables,2,0)</f>
        <v>10950</v>
      </c>
      <c r="H919" s="71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2">
      <c r="A920" s="66" t="s">
        <v>1045</v>
      </c>
      <c r="B920" s="66">
        <f t="shared" si="1811"/>
        <v>8</v>
      </c>
      <c r="C920" s="66">
        <f t="shared" si="1776"/>
        <v>35</v>
      </c>
      <c r="E920" s="66">
        <f t="shared" ref="E920" si="1876">plan_id</f>
        <v>1952</v>
      </c>
      <c r="F920" s="66">
        <f t="shared" ca="1" si="1704"/>
        <v>2005</v>
      </c>
      <c r="G920" s="66">
        <f t="shared" ref="G920" ca="1" si="1877">VLOOKUP(INDIRECT(CHAR(39)&amp;$A920&amp;CHAR(39)&amp;"!r2c"&amp;$C920,0),variables,2,0)</f>
        <v>10954</v>
      </c>
      <c r="H920" s="71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2.5000000000000001E-2</v>
      </c>
    </row>
    <row r="921" spans="1:8" x14ac:dyDescent="0.2">
      <c r="A921" s="66" t="s">
        <v>1045</v>
      </c>
      <c r="B921" s="66">
        <f t="shared" si="1811"/>
        <v>8</v>
      </c>
      <c r="C921" s="66">
        <f t="shared" si="1776"/>
        <v>36</v>
      </c>
      <c r="E921" s="66">
        <f t="shared" ref="E921" si="1878">plan_id</f>
        <v>1952</v>
      </c>
      <c r="F921" s="66">
        <f t="shared" ca="1" si="1704"/>
        <v>2005</v>
      </c>
      <c r="G921" s="66">
        <f t="shared" ref="G921" ca="1" si="1879">VLOOKUP(INDIRECT(CHAR(39)&amp;$A921&amp;CHAR(39)&amp;"!r2c"&amp;$C921,0),variables,2,0)</f>
        <v>10955</v>
      </c>
      <c r="H921" s="71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2">
      <c r="A922" s="66" t="s">
        <v>1045</v>
      </c>
      <c r="B922" s="66">
        <f t="shared" si="1811"/>
        <v>8</v>
      </c>
      <c r="C922" s="66">
        <f t="shared" si="1776"/>
        <v>37</v>
      </c>
      <c r="E922" s="66">
        <f t="shared" ref="E922" si="1880">plan_id</f>
        <v>1952</v>
      </c>
      <c r="F922" s="66">
        <f t="shared" ca="1" si="1704"/>
        <v>2005</v>
      </c>
      <c r="G922" s="66">
        <f t="shared" ref="G922" ca="1" si="1881">VLOOKUP(INDIRECT(CHAR(39)&amp;$A922&amp;CHAR(39)&amp;"!r2c"&amp;$C922,0),variables,2,0)</f>
        <v>10956</v>
      </c>
      <c r="H922" s="71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0.03</v>
      </c>
    </row>
    <row r="923" spans="1:8" x14ac:dyDescent="0.2">
      <c r="A923" s="66" t="s">
        <v>1045</v>
      </c>
      <c r="B923" s="66">
        <f t="shared" si="1811"/>
        <v>8</v>
      </c>
      <c r="C923" s="66">
        <f t="shared" si="1776"/>
        <v>38</v>
      </c>
      <c r="E923" s="66">
        <f t="shared" ref="E923" si="1882">plan_id</f>
        <v>1952</v>
      </c>
      <c r="F923" s="66">
        <f t="shared" ca="1" si="1704"/>
        <v>2005</v>
      </c>
      <c r="G923" s="66">
        <f t="shared" ref="G923" ca="1" si="1883">VLOOKUP(INDIRECT(CHAR(39)&amp;$A923&amp;CHAR(39)&amp;"!r2c"&amp;$C923,0),variables,2,0)</f>
        <v>10959</v>
      </c>
      <c r="H923" s="71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SE-3.75% to 5.6% &amp; Teach 3.75% to 6.20%</v>
      </c>
    </row>
    <row r="924" spans="1:8" x14ac:dyDescent="0.2">
      <c r="A924" s="66" t="s">
        <v>1045</v>
      </c>
      <c r="B924" s="66">
        <f t="shared" si="1811"/>
        <v>8</v>
      </c>
      <c r="C924" s="66">
        <f t="shared" si="1776"/>
        <v>39</v>
      </c>
      <c r="E924" s="66">
        <f t="shared" ref="E924" si="1884">plan_id</f>
        <v>1952</v>
      </c>
      <c r="F924" s="66">
        <f t="shared" ca="1" si="1704"/>
        <v>2005</v>
      </c>
      <c r="G924" s="66">
        <f t="shared" ref="G924" ca="1" si="1885">VLOOKUP(INDIRECT(CHAR(39)&amp;$A924&amp;CHAR(39)&amp;"!r2c"&amp;$C924,0),variables,2,0)</f>
        <v>10962</v>
      </c>
      <c r="H924" s="71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Pg.116 &amp; 121</v>
      </c>
    </row>
    <row r="925" spans="1:8" x14ac:dyDescent="0.2">
      <c r="A925" s="66" t="s">
        <v>1045</v>
      </c>
      <c r="B925" s="66">
        <f t="shared" si="1811"/>
        <v>8</v>
      </c>
      <c r="C925" s="66">
        <f t="shared" si="1776"/>
        <v>40</v>
      </c>
      <c r="E925" s="66">
        <f t="shared" ref="E925" si="1886">plan_id</f>
        <v>1952</v>
      </c>
      <c r="F925" s="66">
        <f t="shared" ca="1" si="1704"/>
        <v>2005</v>
      </c>
      <c r="G925" s="66">
        <f t="shared" ref="G925" ca="1" si="1887">VLOOKUP(INDIRECT(CHAR(39)&amp;$A925&amp;CHAR(39)&amp;"!r2c"&amp;$C925,0),variables,2,0)</f>
        <v>10964</v>
      </c>
      <c r="H925" s="71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Pg.115 &amp; 120</v>
      </c>
    </row>
    <row r="926" spans="1:8" x14ac:dyDescent="0.2">
      <c r="A926" s="66" t="s">
        <v>1045</v>
      </c>
      <c r="B926" s="66">
        <f t="shared" si="1811"/>
        <v>8</v>
      </c>
      <c r="C926" s="66">
        <f t="shared" si="1776"/>
        <v>41</v>
      </c>
      <c r="E926" s="66">
        <f t="shared" ref="E926" si="1888">plan_id</f>
        <v>1952</v>
      </c>
      <c r="F926" s="66">
        <f t="shared" ca="1" si="1704"/>
        <v>2005</v>
      </c>
      <c r="G926" s="66">
        <f t="shared" ref="G926" ca="1" si="1889">VLOOKUP(INDIRECT(CHAR(39)&amp;$A926&amp;CHAR(39)&amp;"!r2c"&amp;$C926,0),variables,2,0)</f>
        <v>10967</v>
      </c>
      <c r="H926" s="71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1994 Group Annuity Mortality Table</v>
      </c>
    </row>
    <row r="927" spans="1:8" x14ac:dyDescent="0.2">
      <c r="A927" s="66" t="s">
        <v>1045</v>
      </c>
      <c r="B927" s="66">
        <f t="shared" si="1811"/>
        <v>8</v>
      </c>
      <c r="C927" s="66">
        <f t="shared" si="1776"/>
        <v>42</v>
      </c>
      <c r="E927" s="66">
        <f t="shared" ref="E927" si="1890">plan_id</f>
        <v>1952</v>
      </c>
      <c r="F927" s="66">
        <f t="shared" ca="1" si="1704"/>
        <v>2005</v>
      </c>
      <c r="G927" s="66">
        <f t="shared" ref="G927" ca="1" si="1891">VLOOKUP(INDIRECT(CHAR(39)&amp;$A927&amp;CHAR(39)&amp;"!r2c"&amp;$C927,0),variables,2,0)</f>
        <v>10968</v>
      </c>
      <c r="H927" s="71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2">
      <c r="A928" s="66" t="s">
        <v>1045</v>
      </c>
      <c r="B928" s="66">
        <f t="shared" si="1811"/>
        <v>8</v>
      </c>
      <c r="C928" s="66">
        <f t="shared" si="1776"/>
        <v>43</v>
      </c>
      <c r="E928" s="66">
        <f t="shared" ref="E928" si="1892">plan_id</f>
        <v>1952</v>
      </c>
      <c r="F928" s="66">
        <f t="shared" ca="1" si="1704"/>
        <v>2005</v>
      </c>
      <c r="G928" s="66">
        <f t="shared" ref="G928" ca="1" si="1893">VLOOKUP(INDIRECT(CHAR(39)&amp;$A928&amp;CHAR(39)&amp;"!r2c"&amp;$C928,0),variables,2,0)</f>
        <v>10969</v>
      </c>
      <c r="H928" s="71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66" t="s">
        <v>1045</v>
      </c>
      <c r="B929" s="66">
        <f t="shared" si="1811"/>
        <v>8</v>
      </c>
      <c r="C929" s="66">
        <f t="shared" si="1776"/>
        <v>44</v>
      </c>
      <c r="E929" s="66">
        <f t="shared" ref="E929" si="1894">plan_id</f>
        <v>1952</v>
      </c>
      <c r="F929" s="66">
        <f t="shared" ref="F929:F1050" ca="1" si="1895">INDIRECT(CHAR(39)&amp;$A929&amp;CHAR(39)&amp;"!r"&amp;$B929&amp;"c2",0)</f>
        <v>2005</v>
      </c>
      <c r="G929" s="66">
        <f t="shared" ref="G929" ca="1" si="1896">VLOOKUP(INDIRECT(CHAR(39)&amp;$A929&amp;CHAR(39)&amp;"!r2c"&amp;$C929,0),variables,2,0)</f>
        <v>10970</v>
      </c>
      <c r="H929" s="71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State: Males &amp; Females: 1 Year; Teachers: Pre- 1 Year; Post- 3 Years</v>
      </c>
    </row>
    <row r="930" spans="1:8" x14ac:dyDescent="0.2">
      <c r="A930" s="66" t="s">
        <v>1045</v>
      </c>
      <c r="B930" s="66">
        <f t="shared" si="1811"/>
        <v>8</v>
      </c>
      <c r="C930" s="66">
        <f t="shared" si="1776"/>
        <v>45</v>
      </c>
      <c r="E930" s="66">
        <f t="shared" ref="E930" si="1897">plan_id</f>
        <v>1952</v>
      </c>
      <c r="F930" s="66">
        <f t="shared" ca="1" si="1895"/>
        <v>2005</v>
      </c>
      <c r="G930" s="66">
        <f t="shared" ref="G930" ca="1" si="1898">VLOOKUP(INDIRECT(CHAR(39)&amp;$A930&amp;CHAR(39)&amp;"!r2c"&amp;$C930,0),variables,2,0)</f>
        <v>10971</v>
      </c>
      <c r="H930" s="71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66" t="s">
        <v>1045</v>
      </c>
      <c r="B931" s="66">
        <f t="shared" si="1811"/>
        <v>8</v>
      </c>
      <c r="C931" s="66">
        <f t="shared" si="1776"/>
        <v>46</v>
      </c>
      <c r="E931" s="66">
        <f t="shared" ref="E931" si="1899">plan_id</f>
        <v>1952</v>
      </c>
      <c r="F931" s="66">
        <f t="shared" ca="1" si="1895"/>
        <v>2005</v>
      </c>
      <c r="G931" s="66">
        <f t="shared" ref="G931" ca="1" si="1900">VLOOKUP(INDIRECT(CHAR(39)&amp;$A931&amp;CHAR(39)&amp;"!r2c"&amp;$C931,0),variables,2,0)</f>
        <v>10972</v>
      </c>
      <c r="H931" s="71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Closed</v>
      </c>
    </row>
    <row r="932" spans="1:8" x14ac:dyDescent="0.2">
      <c r="A932" s="66" t="s">
        <v>1045</v>
      </c>
      <c r="B932" s="66">
        <f t="shared" si="1811"/>
        <v>8</v>
      </c>
      <c r="C932" s="66">
        <f t="shared" si="1776"/>
        <v>47</v>
      </c>
      <c r="E932" s="66">
        <f t="shared" ref="E932" si="1901">plan_id</f>
        <v>1952</v>
      </c>
      <c r="F932" s="66">
        <f t="shared" ca="1" si="1895"/>
        <v>2005</v>
      </c>
      <c r="G932" s="66">
        <f t="shared" ref="G932" ca="1" si="1902">VLOOKUP(INDIRECT(CHAR(39)&amp;$A932&amp;CHAR(39)&amp;"!r2c"&amp;$C932,0),variables,2,0)</f>
        <v>10973</v>
      </c>
      <c r="H932" s="71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21 Years</v>
      </c>
    </row>
    <row r="933" spans="1:8" x14ac:dyDescent="0.2">
      <c r="A933" s="66" t="s">
        <v>1045</v>
      </c>
      <c r="B933" s="66">
        <f t="shared" si="1811"/>
        <v>8</v>
      </c>
      <c r="C933" s="66">
        <f t="shared" si="1776"/>
        <v>48</v>
      </c>
      <c r="E933" s="66">
        <f t="shared" ref="E933" si="1903">plan_id</f>
        <v>1952</v>
      </c>
      <c r="F933" s="66">
        <f t="shared" ca="1" si="1895"/>
        <v>2005</v>
      </c>
      <c r="G933" s="66">
        <f t="shared" ref="G933" ca="1" si="1904">VLOOKUP(INDIRECT(CHAR(39)&amp;$A933&amp;CHAR(39)&amp;"!r2c"&amp;$C933,0),variables,2,0)</f>
        <v>10975</v>
      </c>
      <c r="H933" s="71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2">
      <c r="A934" s="66" t="s">
        <v>1045</v>
      </c>
      <c r="B934" s="66">
        <f t="shared" si="1811"/>
        <v>8</v>
      </c>
      <c r="C934" s="66">
        <f t="shared" si="1776"/>
        <v>49</v>
      </c>
      <c r="E934" s="66">
        <f t="shared" ref="E934" si="1905">plan_id</f>
        <v>1952</v>
      </c>
      <c r="F934" s="66">
        <f t="shared" ca="1" si="1895"/>
        <v>2005</v>
      </c>
      <c r="G934" s="66">
        <f t="shared" ref="G934" ca="1" si="1906">VLOOKUP(INDIRECT(CHAR(39)&amp;$A934&amp;CHAR(39)&amp;"!r2c"&amp;$C934,0),variables,2,0)</f>
        <v>10976</v>
      </c>
      <c r="H934" s="71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2">
      <c r="A935" s="66" t="s">
        <v>1045</v>
      </c>
      <c r="B935" s="66">
        <f t="shared" si="1811"/>
        <v>8</v>
      </c>
      <c r="C935" s="66">
        <f t="shared" ref="C935:C998" si="1907">C844</f>
        <v>50</v>
      </c>
      <c r="E935" s="66">
        <f t="shared" ref="E935" si="1908">plan_id</f>
        <v>1952</v>
      </c>
      <c r="F935" s="66">
        <f t="shared" ca="1" si="1895"/>
        <v>2005</v>
      </c>
      <c r="G935" s="66">
        <f t="shared" ref="G935" ca="1" si="1909">VLOOKUP(INDIRECT(CHAR(39)&amp;$A935&amp;CHAR(39)&amp;"!r2c"&amp;$C935,0),variables,2,0)</f>
        <v>10977</v>
      </c>
      <c r="H935" s="71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66" t="s">
        <v>1045</v>
      </c>
      <c r="B936" s="66">
        <f t="shared" si="1811"/>
        <v>8</v>
      </c>
      <c r="C936" s="66">
        <f t="shared" si="1907"/>
        <v>51</v>
      </c>
      <c r="E936" s="66">
        <f t="shared" ref="E936" si="1910">plan_id</f>
        <v>1952</v>
      </c>
      <c r="F936" s="66">
        <f t="shared" ca="1" si="1895"/>
        <v>2005</v>
      </c>
      <c r="G936" s="66">
        <f t="shared" ref="G936" ca="1" si="1911">VLOOKUP(INDIRECT(CHAR(39)&amp;$A936&amp;CHAR(39)&amp;"!r2c"&amp;$C936,0),variables,2,0)</f>
        <v>10978</v>
      </c>
      <c r="H936" s="71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2">
      <c r="A937" s="66" t="s">
        <v>1045</v>
      </c>
      <c r="B937" s="66">
        <f t="shared" si="1811"/>
        <v>8</v>
      </c>
      <c r="C937" s="66">
        <f t="shared" si="1907"/>
        <v>52</v>
      </c>
      <c r="E937" s="66">
        <f t="shared" ref="E937" si="1912">plan_id</f>
        <v>1952</v>
      </c>
      <c r="F937" s="66">
        <f t="shared" ca="1" si="1895"/>
        <v>2005</v>
      </c>
      <c r="G937" s="66">
        <f t="shared" ref="G937" ca="1" si="1913">VLOOKUP(INDIRECT(CHAR(39)&amp;$A937&amp;CHAR(39)&amp;"!r2c"&amp;$C937,0),variables,2,0)</f>
        <v>10979</v>
      </c>
      <c r="H937" s="71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2">
      <c r="A938" s="66" t="s">
        <v>1045</v>
      </c>
      <c r="B938" s="66">
        <f t="shared" si="1811"/>
        <v>8</v>
      </c>
      <c r="C938" s="66">
        <f t="shared" si="1907"/>
        <v>53</v>
      </c>
      <c r="E938" s="66">
        <f t="shared" ref="E938" si="1914">plan_id</f>
        <v>1952</v>
      </c>
      <c r="F938" s="66">
        <f t="shared" ca="1" si="1895"/>
        <v>2005</v>
      </c>
      <c r="G938" s="66">
        <f t="shared" ref="G938" ca="1" si="1915">VLOOKUP(INDIRECT(CHAR(39)&amp;$A938&amp;CHAR(39)&amp;"!r2c"&amp;$C938,0),variables,2,0)</f>
        <v>10980</v>
      </c>
      <c r="H938" s="71" t="str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State Employees: 2.99% ;Teachers: 3.19%</v>
      </c>
    </row>
    <row r="939" spans="1:8" x14ac:dyDescent="0.2">
      <c r="A939" s="66" t="s">
        <v>1045</v>
      </c>
      <c r="B939" s="66">
        <f t="shared" si="1811"/>
        <v>8</v>
      </c>
      <c r="C939" s="66">
        <f t="shared" si="1907"/>
        <v>54</v>
      </c>
      <c r="E939" s="66">
        <f t="shared" ref="E939" si="1916">plan_id</f>
        <v>1952</v>
      </c>
      <c r="F939" s="66">
        <f t="shared" ca="1" si="1895"/>
        <v>2005</v>
      </c>
      <c r="G939" s="66">
        <f t="shared" ref="G939" ca="1" si="1917">VLOOKUP(INDIRECT(CHAR(39)&amp;$A939&amp;CHAR(39)&amp;"!r2c"&amp;$C939,0),variables,2,0)</f>
        <v>10981</v>
      </c>
      <c r="H939" s="71" t="str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State Employees: -11.78% ;Teachers: -11.78%</v>
      </c>
    </row>
    <row r="940" spans="1:8" x14ac:dyDescent="0.2">
      <c r="A940" s="66" t="s">
        <v>1045</v>
      </c>
      <c r="B940" s="66">
        <f t="shared" si="1811"/>
        <v>8</v>
      </c>
      <c r="C940" s="66">
        <f t="shared" si="1907"/>
        <v>55</v>
      </c>
      <c r="E940" s="66">
        <f t="shared" ref="E940" si="1918">plan_id</f>
        <v>1952</v>
      </c>
      <c r="F940" s="66">
        <f t="shared" ca="1" si="1895"/>
        <v>2005</v>
      </c>
      <c r="G940" s="66">
        <f t="shared" ref="G940" ca="1" si="1919">VLOOKUP(INDIRECT(CHAR(39)&amp;$A940&amp;CHAR(39)&amp;"!r2c"&amp;$C940,0),variables,2,0)</f>
        <v>10706</v>
      </c>
      <c r="H940" s="71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6.2819426427354152E-4</v>
      </c>
    </row>
    <row r="941" spans="1:8" x14ac:dyDescent="0.2">
      <c r="A941" s="66" t="s">
        <v>1045</v>
      </c>
      <c r="B941" s="66">
        <f t="shared" si="1811"/>
        <v>8</v>
      </c>
      <c r="C941" s="66">
        <f t="shared" si="1907"/>
        <v>56</v>
      </c>
      <c r="E941" s="66">
        <f t="shared" ref="E941" si="1920">plan_id</f>
        <v>1952</v>
      </c>
      <c r="F941" s="66">
        <f t="shared" ca="1" si="1895"/>
        <v>2005</v>
      </c>
      <c r="G941" s="66">
        <f t="shared" ref="G941" ca="1" si="1921">VLOOKUP(INDIRECT(CHAR(39)&amp;$A941&amp;CHAR(39)&amp;"!r2c"&amp;$C941,0),variables,2,0)</f>
        <v>10983</v>
      </c>
      <c r="H941" s="71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2">
      <c r="A942" s="66" t="s">
        <v>1045</v>
      </c>
      <c r="B942" s="66">
        <f t="shared" si="1811"/>
        <v>8</v>
      </c>
      <c r="C942" s="66">
        <f t="shared" si="1907"/>
        <v>57</v>
      </c>
      <c r="E942" s="66">
        <f t="shared" ref="E942" si="1922">plan_id</f>
        <v>1952</v>
      </c>
      <c r="F942" s="66">
        <f t="shared" ca="1" si="1895"/>
        <v>2005</v>
      </c>
      <c r="G942" s="66">
        <f t="shared" ref="G942" ca="1" si="1923">VLOOKUP(INDIRECT(CHAR(39)&amp;$A942&amp;CHAR(39)&amp;"!r2c"&amp;$C942,0),variables,2,0)</f>
        <v>10989</v>
      </c>
      <c r="H942" s="7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31658169000</v>
      </c>
    </row>
    <row r="943" spans="1:8" x14ac:dyDescent="0.2">
      <c r="A943" s="66" t="s">
        <v>1045</v>
      </c>
      <c r="B943" s="66">
        <f t="shared" si="1811"/>
        <v>8</v>
      </c>
      <c r="C943" s="66">
        <f t="shared" si="1907"/>
        <v>58</v>
      </c>
      <c r="E943" s="66">
        <f t="shared" ref="E943" si="1924">plan_id</f>
        <v>1952</v>
      </c>
      <c r="F943" s="66">
        <f t="shared" ca="1" si="1895"/>
        <v>2005</v>
      </c>
      <c r="G943" s="66">
        <f t="shared" ref="G943" ca="1" si="1925">VLOOKUP(INDIRECT(CHAR(39)&amp;$A943&amp;CHAR(39)&amp;"!r2c"&amp;$C943,0),variables,2,0)</f>
        <v>10990</v>
      </c>
      <c r="H943" s="7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39212999000</v>
      </c>
    </row>
    <row r="944" spans="1:8" x14ac:dyDescent="0.2">
      <c r="A944" s="66" t="s">
        <v>1045</v>
      </c>
      <c r="B944" s="66">
        <f t="shared" si="1811"/>
        <v>8</v>
      </c>
      <c r="C944" s="66">
        <f t="shared" si="1907"/>
        <v>59</v>
      </c>
      <c r="E944" s="66">
        <f t="shared" ref="E944" si="1926">plan_id</f>
        <v>1952</v>
      </c>
      <c r="F944" s="66">
        <f t="shared" ca="1" si="1895"/>
        <v>2005</v>
      </c>
      <c r="G944" s="66">
        <f t="shared" ref="G944" ca="1" si="1927">VLOOKUP(INDIRECT(CHAR(39)&amp;$A944&amp;CHAR(39)&amp;"!r2c"&amp;$C944,0),variables,2,0)</f>
        <v>10991</v>
      </c>
      <c r="H944" s="7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7554830000</v>
      </c>
    </row>
    <row r="945" spans="1:8" x14ac:dyDescent="0.2">
      <c r="A945" s="66" t="s">
        <v>1045</v>
      </c>
      <c r="B945" s="66">
        <f t="shared" si="1811"/>
        <v>8</v>
      </c>
      <c r="C945" s="66">
        <f t="shared" si="1907"/>
        <v>60</v>
      </c>
      <c r="E945" s="66">
        <f t="shared" ref="E945" si="1928">plan_id</f>
        <v>1952</v>
      </c>
      <c r="F945" s="66">
        <f t="shared" ca="1" si="1895"/>
        <v>2005</v>
      </c>
      <c r="G945" s="66">
        <f t="shared" ref="G945" ca="1" si="1929">VLOOKUP(INDIRECT(CHAR(39)&amp;$A945&amp;CHAR(39)&amp;"!r2c"&amp;$C945,0),variables,2,0)</f>
        <v>10992</v>
      </c>
      <c r="H945" s="71" t="str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State Employees: 85.8%; Teachers: 77.9%</v>
      </c>
    </row>
    <row r="946" spans="1:8" x14ac:dyDescent="0.2">
      <c r="A946" s="66" t="s">
        <v>1045</v>
      </c>
      <c r="B946" s="66">
        <f t="shared" si="1811"/>
        <v>8</v>
      </c>
      <c r="C946" s="66">
        <f t="shared" si="1907"/>
        <v>61</v>
      </c>
      <c r="E946" s="66">
        <f t="shared" ref="E946" si="1930">plan_id</f>
        <v>1952</v>
      </c>
      <c r="F946" s="66">
        <f t="shared" ca="1" si="1895"/>
        <v>2005</v>
      </c>
      <c r="G946" s="66">
        <f t="shared" ref="G946" ca="1" si="1931">VLOOKUP(INDIRECT(CHAR(39)&amp;$A946&amp;CHAR(39)&amp;"!r2c"&amp;$C946,0),variables,2,0)</f>
        <v>10993</v>
      </c>
      <c r="H946" s="71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8945339000</v>
      </c>
    </row>
    <row r="947" spans="1:8" x14ac:dyDescent="0.2">
      <c r="A947" s="66" t="s">
        <v>1045</v>
      </c>
      <c r="B947" s="66">
        <f t="shared" si="1811"/>
        <v>8</v>
      </c>
      <c r="C947" s="66">
        <f t="shared" si="1907"/>
        <v>62</v>
      </c>
      <c r="E947" s="66">
        <f t="shared" ref="E947" si="1932">plan_id</f>
        <v>1952</v>
      </c>
      <c r="F947" s="66">
        <f t="shared" ca="1" si="1895"/>
        <v>2005</v>
      </c>
      <c r="G947" s="66">
        <f t="shared" ref="G947" ca="1" si="1933">VLOOKUP(INDIRECT(CHAR(39)&amp;$A947&amp;CHAR(39)&amp;"!r2c"&amp;$C947,0),variables,2,0)</f>
        <v>10801</v>
      </c>
      <c r="H947" s="71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66" t="s">
        <v>1045</v>
      </c>
      <c r="B948" s="66">
        <f t="shared" si="1811"/>
        <v>8</v>
      </c>
      <c r="C948" s="66">
        <f t="shared" si="1907"/>
        <v>63</v>
      </c>
      <c r="E948" s="66">
        <f t="shared" ref="E948" si="1934">plan_id</f>
        <v>1952</v>
      </c>
      <c r="F948" s="66">
        <f t="shared" ca="1" si="1895"/>
        <v>2005</v>
      </c>
      <c r="G948" s="66">
        <f t="shared" ref="G948" ca="1" si="1935">VLOOKUP(INDIRECT(CHAR(39)&amp;$A948&amp;CHAR(39)&amp;"!r2c"&amp;$C948,0),variables,2,0)</f>
        <v>10802</v>
      </c>
      <c r="H948" s="7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66" t="s">
        <v>1045</v>
      </c>
      <c r="B949" s="66">
        <f t="shared" si="1811"/>
        <v>8</v>
      </c>
      <c r="C949" s="66">
        <f t="shared" si="1907"/>
        <v>64</v>
      </c>
      <c r="E949" s="66">
        <f t="shared" ref="E949" si="1936">plan_id</f>
        <v>1952</v>
      </c>
      <c r="F949" s="66">
        <f t="shared" ca="1" si="1895"/>
        <v>2005</v>
      </c>
      <c r="G949" s="66">
        <f t="shared" ref="G949" ca="1" si="1937">VLOOKUP(INDIRECT(CHAR(39)&amp;$A949&amp;CHAR(39)&amp;"!r2c"&amp;$C949,0),variables,2,0)</f>
        <v>10803</v>
      </c>
      <c r="H949" s="71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66" t="s">
        <v>1045</v>
      </c>
      <c r="B950" s="66">
        <f t="shared" si="1811"/>
        <v>8</v>
      </c>
      <c r="C950" s="66">
        <f t="shared" si="1907"/>
        <v>65</v>
      </c>
      <c r="E950" s="66">
        <f t="shared" ref="E950" si="1938">plan_id</f>
        <v>1952</v>
      </c>
      <c r="F950" s="66">
        <f t="shared" ca="1" si="1895"/>
        <v>2005</v>
      </c>
      <c r="G950" s="66">
        <f t="shared" ref="G950" ca="1" si="1939">VLOOKUP(INDIRECT(CHAR(39)&amp;$A950&amp;CHAR(39)&amp;"!r2c"&amp;$C950,0),variables,2,0)</f>
        <v>10804</v>
      </c>
      <c r="H950" s="7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66" t="s">
        <v>1045</v>
      </c>
      <c r="B951" s="66">
        <f t="shared" si="1811"/>
        <v>8</v>
      </c>
      <c r="C951" s="66">
        <f t="shared" si="1907"/>
        <v>66</v>
      </c>
      <c r="E951" s="66">
        <f t="shared" ref="E951" si="1940">plan_id</f>
        <v>1952</v>
      </c>
      <c r="F951" s="66">
        <f t="shared" ca="1" si="1895"/>
        <v>2005</v>
      </c>
      <c r="G951" s="66">
        <f t="shared" ref="G951" ca="1" si="1941">VLOOKUP(INDIRECT(CHAR(39)&amp;$A951&amp;CHAR(39)&amp;"!r2c"&amp;$C951,0),variables,2,0)</f>
        <v>10805</v>
      </c>
      <c r="H951" s="7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66" t="s">
        <v>1045</v>
      </c>
      <c r="B952" s="66">
        <f t="shared" ref="B952" si="1942">B887+1</f>
        <v>8</v>
      </c>
      <c r="C952" s="66">
        <f t="shared" si="1907"/>
        <v>67</v>
      </c>
      <c r="E952" s="66">
        <f t="shared" ref="E952" si="1943">plan_id</f>
        <v>1952</v>
      </c>
      <c r="F952" s="66">
        <f t="shared" ca="1" si="1895"/>
        <v>2005</v>
      </c>
      <c r="G952" s="66">
        <f t="shared" ref="G952" ca="1" si="1944">VLOOKUP(INDIRECT(CHAR(39)&amp;$A952&amp;CHAR(39)&amp;"!r2c"&amp;$C952,0),variables,2,0)</f>
        <v>10806</v>
      </c>
      <c r="H952" s="7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66" t="s">
        <v>1045</v>
      </c>
      <c r="B953" s="66">
        <f>B952</f>
        <v>8</v>
      </c>
      <c r="C953" s="66">
        <f t="shared" si="1907"/>
        <v>68</v>
      </c>
      <c r="E953" s="66">
        <f t="shared" ref="E953" si="1945">plan_id</f>
        <v>1952</v>
      </c>
      <c r="F953" s="66">
        <f t="shared" ca="1" si="1895"/>
        <v>2005</v>
      </c>
      <c r="G953" s="66">
        <f t="shared" ref="G953" ca="1" si="1946">VLOOKUP(INDIRECT(CHAR(39)&amp;$A953&amp;CHAR(39)&amp;"!r2c"&amp;$C953,0),variables,2,0)</f>
        <v>10807</v>
      </c>
      <c r="H953" s="7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66" t="s">
        <v>1045</v>
      </c>
      <c r="B954" s="66">
        <f t="shared" ref="B954:B978" si="1947">B953</f>
        <v>8</v>
      </c>
      <c r="C954" s="66">
        <f t="shared" si="1907"/>
        <v>69</v>
      </c>
      <c r="E954" s="66">
        <f t="shared" ref="E954" si="1948">plan_id</f>
        <v>1952</v>
      </c>
      <c r="F954" s="66">
        <f t="shared" ca="1" si="1895"/>
        <v>2005</v>
      </c>
      <c r="G954" s="66">
        <f t="shared" ref="G954" ca="1" si="1949">VLOOKUP(INDIRECT(CHAR(39)&amp;$A954&amp;CHAR(39)&amp;"!r2c"&amp;$C954,0),variables,2,0)</f>
        <v>10808</v>
      </c>
      <c r="H954" s="7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66" t="s">
        <v>1045</v>
      </c>
      <c r="B955" s="66">
        <f t="shared" si="1947"/>
        <v>8</v>
      </c>
      <c r="C955" s="66">
        <f t="shared" si="1907"/>
        <v>70</v>
      </c>
      <c r="E955" s="66">
        <f t="shared" ref="E955" si="1950">plan_id</f>
        <v>1952</v>
      </c>
      <c r="F955" s="66">
        <f t="shared" ca="1" si="1895"/>
        <v>2005</v>
      </c>
      <c r="G955" s="66">
        <f t="shared" ref="G955" ca="1" si="1951">VLOOKUP(INDIRECT(CHAR(39)&amp;$A955&amp;CHAR(39)&amp;"!r2c"&amp;$C955,0),variables,2,0)</f>
        <v>10809</v>
      </c>
      <c r="H955" s="7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66" t="s">
        <v>1045</v>
      </c>
      <c r="B956" s="66">
        <f t="shared" si="1947"/>
        <v>8</v>
      </c>
      <c r="C956" s="66">
        <f t="shared" si="1907"/>
        <v>71</v>
      </c>
      <c r="E956" s="66">
        <f t="shared" ref="E956" si="1952">plan_id</f>
        <v>1952</v>
      </c>
      <c r="F956" s="66">
        <f t="shared" ca="1" si="1895"/>
        <v>2005</v>
      </c>
      <c r="G956" s="66">
        <f t="shared" ref="G956" ca="1" si="1953">VLOOKUP(INDIRECT(CHAR(39)&amp;$A956&amp;CHAR(39)&amp;"!r2c"&amp;$C956,0),variables,2,0)</f>
        <v>10810</v>
      </c>
      <c r="H956" s="71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66" t="s">
        <v>1045</v>
      </c>
      <c r="B957" s="66">
        <f t="shared" si="1947"/>
        <v>8</v>
      </c>
      <c r="C957" s="66">
        <f t="shared" si="1907"/>
        <v>72</v>
      </c>
      <c r="E957" s="66">
        <f t="shared" ref="E957" si="1954">plan_id</f>
        <v>1952</v>
      </c>
      <c r="F957" s="66">
        <f t="shared" ca="1" si="1895"/>
        <v>2005</v>
      </c>
      <c r="G957" s="66">
        <f t="shared" ref="G957" ca="1" si="1955">VLOOKUP(INDIRECT(CHAR(39)&amp;$A957&amp;CHAR(39)&amp;"!r2c"&amp;$C957,0),variables,2,0)</f>
        <v>10811</v>
      </c>
      <c r="H957" s="7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66" t="s">
        <v>1045</v>
      </c>
      <c r="B958" s="66">
        <f t="shared" si="1947"/>
        <v>8</v>
      </c>
      <c r="C958" s="66">
        <f t="shared" si="1907"/>
        <v>73</v>
      </c>
      <c r="E958" s="66">
        <f t="shared" ref="E958" si="1956">plan_id</f>
        <v>1952</v>
      </c>
      <c r="F958" s="66">
        <f t="shared" ca="1" si="1895"/>
        <v>2005</v>
      </c>
      <c r="G958" s="66">
        <f t="shared" ref="G958" ca="1" si="1957">VLOOKUP(INDIRECT(CHAR(39)&amp;$A958&amp;CHAR(39)&amp;"!r2c"&amp;$C958,0),variables,2,0)</f>
        <v>10812</v>
      </c>
      <c r="H958" s="7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66" t="s">
        <v>1045</v>
      </c>
      <c r="B959" s="66">
        <f t="shared" si="1947"/>
        <v>8</v>
      </c>
      <c r="C959" s="66">
        <f t="shared" si="1907"/>
        <v>74</v>
      </c>
      <c r="E959" s="66">
        <f t="shared" ref="E959" si="1958">plan_id</f>
        <v>1952</v>
      </c>
      <c r="F959" s="66">
        <f t="shared" ca="1" si="1895"/>
        <v>2005</v>
      </c>
      <c r="G959" s="66">
        <f t="shared" ref="G959" ca="1" si="1959">VLOOKUP(INDIRECT(CHAR(39)&amp;$A959&amp;CHAR(39)&amp;"!r2c"&amp;$C959,0),variables,2,0)</f>
        <v>10813</v>
      </c>
      <c r="H959" s="71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66" t="s">
        <v>1045</v>
      </c>
      <c r="B960" s="66">
        <f t="shared" si="1947"/>
        <v>8</v>
      </c>
      <c r="C960" s="66">
        <f t="shared" si="1907"/>
        <v>75</v>
      </c>
      <c r="E960" s="66">
        <f t="shared" ref="E960" si="1960">plan_id</f>
        <v>1952</v>
      </c>
      <c r="F960" s="66">
        <f t="shared" ca="1" si="1895"/>
        <v>2005</v>
      </c>
      <c r="G960" s="66">
        <f t="shared" ref="G960" ca="1" si="1961">VLOOKUP(INDIRECT(CHAR(39)&amp;$A960&amp;CHAR(39)&amp;"!r2c"&amp;$C960,0),variables,2,0)</f>
        <v>10814</v>
      </c>
      <c r="H960" s="71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66" t="s">
        <v>1045</v>
      </c>
      <c r="B961" s="66">
        <f t="shared" si="1947"/>
        <v>8</v>
      </c>
      <c r="C961" s="66">
        <f t="shared" si="1907"/>
        <v>76</v>
      </c>
      <c r="E961" s="66">
        <f t="shared" ref="E961" si="1962">plan_id</f>
        <v>1952</v>
      </c>
      <c r="F961" s="66">
        <f t="shared" ca="1" si="1895"/>
        <v>2005</v>
      </c>
      <c r="G961" s="66">
        <f t="shared" ref="G961" ca="1" si="1963">VLOOKUP(INDIRECT(CHAR(39)&amp;$A961&amp;CHAR(39)&amp;"!r2c"&amp;$C961,0),variables,2,0)</f>
        <v>10815</v>
      </c>
      <c r="H961" s="71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66" t="s">
        <v>1045</v>
      </c>
      <c r="B962" s="66">
        <f t="shared" si="1947"/>
        <v>8</v>
      </c>
      <c r="C962" s="66">
        <f t="shared" si="1907"/>
        <v>77</v>
      </c>
      <c r="E962" s="66">
        <f t="shared" ref="E962" si="1964">plan_id</f>
        <v>1952</v>
      </c>
      <c r="F962" s="66">
        <f t="shared" ca="1" si="1895"/>
        <v>2005</v>
      </c>
      <c r="G962" s="66">
        <f t="shared" ref="G962" ca="1" si="1965">VLOOKUP(INDIRECT(CHAR(39)&amp;$A962&amp;CHAR(39)&amp;"!r2c"&amp;$C962,0),variables,2,0)</f>
        <v>10816</v>
      </c>
      <c r="H962" s="7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66" t="s">
        <v>1045</v>
      </c>
      <c r="B963" s="66">
        <f t="shared" si="1947"/>
        <v>8</v>
      </c>
      <c r="C963" s="66">
        <f t="shared" si="1907"/>
        <v>78</v>
      </c>
      <c r="E963" s="66">
        <f t="shared" ref="E963" si="1966">plan_id</f>
        <v>1952</v>
      </c>
      <c r="F963" s="66">
        <f t="shared" ca="1" si="1895"/>
        <v>2005</v>
      </c>
      <c r="G963" s="66">
        <f t="shared" ref="G963" ca="1" si="1967">VLOOKUP(INDIRECT(CHAR(39)&amp;$A963&amp;CHAR(39)&amp;"!r2c"&amp;$C963,0),variables,2,0)</f>
        <v>10817</v>
      </c>
      <c r="H963" s="7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66" t="s">
        <v>1045</v>
      </c>
      <c r="B964" s="66">
        <f t="shared" si="1947"/>
        <v>8</v>
      </c>
      <c r="C964" s="66">
        <f t="shared" si="1907"/>
        <v>79</v>
      </c>
      <c r="E964" s="66">
        <f t="shared" ref="E964" si="1968">plan_id</f>
        <v>1952</v>
      </c>
      <c r="F964" s="66">
        <f t="shared" ca="1" si="1895"/>
        <v>2005</v>
      </c>
      <c r="G964" s="66">
        <f t="shared" ref="G964" ca="1" si="1969">VLOOKUP(INDIRECT(CHAR(39)&amp;$A964&amp;CHAR(39)&amp;"!r2c"&amp;$C964,0),variables,2,0)</f>
        <v>10818</v>
      </c>
      <c r="H964" s="71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66" t="s">
        <v>1045</v>
      </c>
      <c r="B965" s="66">
        <f t="shared" si="1947"/>
        <v>8</v>
      </c>
      <c r="C965" s="66">
        <f t="shared" si="1907"/>
        <v>80</v>
      </c>
      <c r="E965" s="66">
        <f t="shared" ref="E965" si="1970">plan_id</f>
        <v>1952</v>
      </c>
      <c r="F965" s="66">
        <f t="shared" ca="1" si="1895"/>
        <v>2005</v>
      </c>
      <c r="G965" s="66">
        <f t="shared" ref="G965" ca="1" si="1971">VLOOKUP(INDIRECT(CHAR(39)&amp;$A965&amp;CHAR(39)&amp;"!r2c"&amp;$C965,0),variables,2,0)</f>
        <v>10819</v>
      </c>
      <c r="H965" s="71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66" t="s">
        <v>1045</v>
      </c>
      <c r="B966" s="66">
        <f t="shared" si="1947"/>
        <v>8</v>
      </c>
      <c r="C966" s="66">
        <f t="shared" si="1907"/>
        <v>81</v>
      </c>
      <c r="E966" s="66">
        <f t="shared" ref="E966" si="1972">plan_id</f>
        <v>1952</v>
      </c>
      <c r="F966" s="66">
        <f t="shared" ca="1" si="1895"/>
        <v>2005</v>
      </c>
      <c r="G966" s="66">
        <f t="shared" ref="G966" ca="1" si="1973">VLOOKUP(INDIRECT(CHAR(39)&amp;$A966&amp;CHAR(39)&amp;"!r2c"&amp;$C966,0),variables,2,0)</f>
        <v>10820</v>
      </c>
      <c r="H966" s="71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66" t="s">
        <v>1045</v>
      </c>
      <c r="B967" s="66">
        <f t="shared" si="1947"/>
        <v>8</v>
      </c>
      <c r="C967" s="66">
        <f t="shared" si="1907"/>
        <v>82</v>
      </c>
      <c r="E967" s="66">
        <f t="shared" ref="E967" si="1974">plan_id</f>
        <v>1952</v>
      </c>
      <c r="F967" s="66">
        <f t="shared" ca="1" si="1895"/>
        <v>2005</v>
      </c>
      <c r="G967" s="66">
        <f t="shared" ref="G967" ca="1" si="1975">VLOOKUP(INDIRECT(CHAR(39)&amp;$A967&amp;CHAR(39)&amp;"!r2c"&amp;$C967,0),variables,2,0)</f>
        <v>10821</v>
      </c>
      <c r="H967" s="71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66" t="s">
        <v>1045</v>
      </c>
      <c r="B968" s="66">
        <f t="shared" si="1947"/>
        <v>8</v>
      </c>
      <c r="C968" s="66">
        <f t="shared" si="1907"/>
        <v>83</v>
      </c>
      <c r="E968" s="66">
        <f t="shared" ref="E968" si="1976">plan_id</f>
        <v>1952</v>
      </c>
      <c r="F968" s="66">
        <f t="shared" ca="1" si="1895"/>
        <v>2005</v>
      </c>
      <c r="G968" s="66">
        <f t="shared" ref="G968" ca="1" si="1977">VLOOKUP(INDIRECT(CHAR(39)&amp;$A968&amp;CHAR(39)&amp;"!r2c"&amp;$C968,0),variables,2,0)</f>
        <v>10822</v>
      </c>
      <c r="H968" s="71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66" t="s">
        <v>1045</v>
      </c>
      <c r="B969" s="66">
        <f t="shared" si="1947"/>
        <v>8</v>
      </c>
      <c r="C969" s="66">
        <f t="shared" si="1907"/>
        <v>84</v>
      </c>
      <c r="E969" s="66">
        <f t="shared" ref="E969" si="1978">plan_id</f>
        <v>1952</v>
      </c>
      <c r="F969" s="66">
        <f t="shared" ca="1" si="1895"/>
        <v>2005</v>
      </c>
      <c r="G969" s="66">
        <f t="shared" ref="G969" ca="1" si="1979">VLOOKUP(INDIRECT(CHAR(39)&amp;$A969&amp;CHAR(39)&amp;"!r2c"&amp;$C969,0),variables,2,0)</f>
        <v>10829</v>
      </c>
      <c r="H969" s="71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66" t="s">
        <v>1045</v>
      </c>
      <c r="B970" s="66">
        <f t="shared" si="1947"/>
        <v>8</v>
      </c>
      <c r="C970" s="66">
        <f t="shared" si="1907"/>
        <v>85</v>
      </c>
      <c r="E970" s="66">
        <f t="shared" ref="E970" si="1980">plan_id</f>
        <v>1952</v>
      </c>
      <c r="F970" s="66">
        <f t="shared" ca="1" si="1895"/>
        <v>2005</v>
      </c>
      <c r="G970" s="66">
        <f t="shared" ref="G970" ca="1" si="1981">VLOOKUP(INDIRECT(CHAR(39)&amp;$A970&amp;CHAR(39)&amp;"!r2c"&amp;$C970,0),variables,2,0)</f>
        <v>10823</v>
      </c>
      <c r="H970" s="71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66" t="s">
        <v>1045</v>
      </c>
      <c r="B971" s="66">
        <f t="shared" si="1947"/>
        <v>8</v>
      </c>
      <c r="C971" s="66">
        <f t="shared" si="1907"/>
        <v>86</v>
      </c>
      <c r="E971" s="66">
        <f t="shared" ref="E971" si="1982">plan_id</f>
        <v>1952</v>
      </c>
      <c r="F971" s="66">
        <f t="shared" ca="1" si="1895"/>
        <v>2005</v>
      </c>
      <c r="G971" s="66">
        <f t="shared" ref="G971" ca="1" si="1983">VLOOKUP(INDIRECT(CHAR(39)&amp;$A971&amp;CHAR(39)&amp;"!r2c"&amp;$C971,0),variables,2,0)</f>
        <v>10798</v>
      </c>
      <c r="H971" s="71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66" t="s">
        <v>1045</v>
      </c>
      <c r="B972" s="66">
        <f t="shared" si="1947"/>
        <v>8</v>
      </c>
      <c r="C972" s="66">
        <f t="shared" si="1907"/>
        <v>87</v>
      </c>
      <c r="E972" s="66">
        <f t="shared" ref="E972" si="1984">plan_id</f>
        <v>1952</v>
      </c>
      <c r="F972" s="66">
        <f t="shared" ca="1" si="1895"/>
        <v>2005</v>
      </c>
      <c r="G972" s="66">
        <f t="shared" ref="G972" ca="1" si="1985">VLOOKUP(INDIRECT(CHAR(39)&amp;$A972&amp;CHAR(39)&amp;"!r2c"&amp;$C972,0),variables,2,0)</f>
        <v>10799</v>
      </c>
      <c r="H972" s="7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66" t="s">
        <v>1045</v>
      </c>
      <c r="B973" s="66">
        <f t="shared" si="1947"/>
        <v>8</v>
      </c>
      <c r="C973" s="66">
        <f t="shared" si="1907"/>
        <v>88</v>
      </c>
      <c r="E973" s="66">
        <f t="shared" ref="E973" si="1986">plan_id</f>
        <v>1952</v>
      </c>
      <c r="F973" s="66">
        <f t="shared" ca="1" si="1895"/>
        <v>2005</v>
      </c>
      <c r="G973" s="66">
        <f t="shared" ref="G973" ca="1" si="1987">VLOOKUP(INDIRECT(CHAR(39)&amp;$A973&amp;CHAR(39)&amp;"!r2c"&amp;$C973,0),variables,2,0)</f>
        <v>10800</v>
      </c>
      <c r="H973" s="7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66" t="s">
        <v>1045</v>
      </c>
      <c r="B974" s="66">
        <f t="shared" si="1947"/>
        <v>8</v>
      </c>
      <c r="C974" s="66">
        <f t="shared" si="1907"/>
        <v>89</v>
      </c>
      <c r="E974" s="66">
        <f t="shared" ref="E974" si="1988">plan_id</f>
        <v>1952</v>
      </c>
      <c r="F974" s="66">
        <f t="shared" ca="1" si="1895"/>
        <v>2005</v>
      </c>
      <c r="G974" s="66">
        <f t="shared" ref="G974" ca="1" si="1989">VLOOKUP(INDIRECT(CHAR(39)&amp;$A974&amp;CHAR(39)&amp;"!r2c"&amp;$C974,0),variables,2,0)</f>
        <v>10824</v>
      </c>
      <c r="H974" s="7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66" t="s">
        <v>1045</v>
      </c>
      <c r="B975" s="66">
        <f t="shared" si="1947"/>
        <v>8</v>
      </c>
      <c r="C975" s="66">
        <f t="shared" si="1907"/>
        <v>90</v>
      </c>
      <c r="E975" s="66">
        <f t="shared" ref="E975" si="1990">plan_id</f>
        <v>1952</v>
      </c>
      <c r="F975" s="66">
        <f t="shared" ca="1" si="1895"/>
        <v>2005</v>
      </c>
      <c r="G975" s="66">
        <f t="shared" ref="G975" ca="1" si="1991">VLOOKUP(INDIRECT(CHAR(39)&amp;$A975&amp;CHAR(39)&amp;"!r2c"&amp;$C975,0),variables,2,0)</f>
        <v>10825</v>
      </c>
      <c r="H975" s="7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66" t="s">
        <v>1045</v>
      </c>
      <c r="B976" s="66">
        <f t="shared" si="1947"/>
        <v>8</v>
      </c>
      <c r="C976" s="66">
        <f t="shared" si="1907"/>
        <v>91</v>
      </c>
      <c r="E976" s="66">
        <f t="shared" ref="E976" si="1992">plan_id</f>
        <v>1952</v>
      </c>
      <c r="F976" s="66">
        <f t="shared" ca="1" si="1895"/>
        <v>2005</v>
      </c>
      <c r="G976" s="66">
        <f t="shared" ref="G976" ca="1" si="1993">VLOOKUP(INDIRECT(CHAR(39)&amp;$A976&amp;CHAR(39)&amp;"!r2c"&amp;$C976,0),variables,2,0)</f>
        <v>10826</v>
      </c>
      <c r="H976" s="71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66" t="s">
        <v>1045</v>
      </c>
      <c r="B977" s="66">
        <f t="shared" si="1947"/>
        <v>8</v>
      </c>
      <c r="C977" s="66">
        <f t="shared" si="1907"/>
        <v>92</v>
      </c>
      <c r="E977" s="66">
        <f t="shared" ref="E977" si="1994">plan_id</f>
        <v>1952</v>
      </c>
      <c r="F977" s="66">
        <f t="shared" ca="1" si="1895"/>
        <v>2005</v>
      </c>
      <c r="G977" s="66">
        <f t="shared" ref="G977" ca="1" si="1995">VLOOKUP(INDIRECT(CHAR(39)&amp;$A977&amp;CHAR(39)&amp;"!r2c"&amp;$C977,0),variables,2,0)</f>
        <v>10828</v>
      </c>
      <c r="H977" s="71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66" t="s">
        <v>1045</v>
      </c>
      <c r="B978" s="66">
        <f t="shared" si="1947"/>
        <v>8</v>
      </c>
      <c r="C978" s="66">
        <f t="shared" si="1907"/>
        <v>93</v>
      </c>
      <c r="E978" s="66">
        <f t="shared" ref="E978" si="1996">plan_id</f>
        <v>1952</v>
      </c>
      <c r="F978" s="66">
        <f t="shared" ca="1" si="1895"/>
        <v>2005</v>
      </c>
      <c r="G978" s="66">
        <f t="shared" ref="G978" ca="1" si="1997">VLOOKUP(INDIRECT(CHAR(39)&amp;$A978&amp;CHAR(39)&amp;"!r2c"&amp;$C978,0),variables,2,0)</f>
        <v>10827</v>
      </c>
      <c r="H978" s="71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66" t="s">
        <v>1045</v>
      </c>
      <c r="B979" s="66">
        <f t="shared" ref="B979:B1042" si="1998">B914+1</f>
        <v>9</v>
      </c>
      <c r="C979" s="66">
        <f t="shared" si="1907"/>
        <v>3</v>
      </c>
      <c r="E979" s="66">
        <f t="shared" ref="E979" si="1999">plan_id</f>
        <v>1952</v>
      </c>
      <c r="F979" s="66">
        <f t="shared" ca="1" si="1895"/>
        <v>2006</v>
      </c>
      <c r="G979" s="66">
        <f t="shared" ref="G979" ca="1" si="2000">VLOOKUP(INDIRECT(CHAR(39)&amp;$A979&amp;CHAR(39)&amp;"!r2c"&amp;$C979,0),variables,2,0)</f>
        <v>10703</v>
      </c>
      <c r="H979" s="71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N/A</v>
      </c>
    </row>
    <row r="980" spans="1:8" x14ac:dyDescent="0.2">
      <c r="A980" s="66" t="s">
        <v>1045</v>
      </c>
      <c r="B980" s="66">
        <f t="shared" si="1998"/>
        <v>9</v>
      </c>
      <c r="C980" s="66">
        <f t="shared" si="1907"/>
        <v>4</v>
      </c>
      <c r="E980" s="66">
        <f t="shared" ref="E980" si="2001">plan_id</f>
        <v>1952</v>
      </c>
      <c r="F980" s="66">
        <f t="shared" ca="1" si="1895"/>
        <v>2006</v>
      </c>
      <c r="G980" s="66">
        <f t="shared" ref="G980" ca="1" si="2002">VLOOKUP(INDIRECT(CHAR(39)&amp;$A980&amp;CHAR(39)&amp;"!r2c"&amp;$C980,0),variables,2,0)</f>
        <v>10845</v>
      </c>
      <c r="H980" s="71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WACHOVIA</v>
      </c>
    </row>
    <row r="981" spans="1:8" x14ac:dyDescent="0.2">
      <c r="A981" s="66" t="s">
        <v>1045</v>
      </c>
      <c r="B981" s="66">
        <f t="shared" si="1998"/>
        <v>9</v>
      </c>
      <c r="C981" s="66">
        <f t="shared" si="1907"/>
        <v>5</v>
      </c>
      <c r="E981" s="66">
        <f t="shared" ref="E981" si="2003">plan_id</f>
        <v>1952</v>
      </c>
      <c r="F981" s="66">
        <f t="shared" ca="1" si="1895"/>
        <v>2006</v>
      </c>
      <c r="G981" s="66">
        <f t="shared" ref="G981" ca="1" si="2004">VLOOKUP(INDIRECT(CHAR(39)&amp;$A981&amp;CHAR(39)&amp;"!r2c"&amp;$C981,0),variables,2,0)</f>
        <v>10924</v>
      </c>
      <c r="H981" s="71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(i)7.89%; (ii)9.7%</v>
      </c>
    </row>
    <row r="982" spans="1:8" x14ac:dyDescent="0.2">
      <c r="A982" s="66" t="s">
        <v>1045</v>
      </c>
      <c r="B982" s="66">
        <f t="shared" si="1998"/>
        <v>9</v>
      </c>
      <c r="C982" s="66">
        <f t="shared" si="1907"/>
        <v>6</v>
      </c>
      <c r="E982" s="66">
        <f t="shared" ref="E982" si="2005">plan_id</f>
        <v>1952</v>
      </c>
      <c r="F982" s="66">
        <f t="shared" ca="1" si="1895"/>
        <v>2006</v>
      </c>
      <c r="G982" s="66">
        <f t="shared" ref="G982" ca="1" si="2006">VLOOKUP(INDIRECT(CHAR(39)&amp;$A982&amp;CHAR(39)&amp;"!r2c"&amp;$C982,0),variables,2,0)</f>
        <v>10925</v>
      </c>
      <c r="H982" s="71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(i)2.89%; (ii)4.7%</v>
      </c>
    </row>
    <row r="983" spans="1:8" x14ac:dyDescent="0.2">
      <c r="A983" s="66" t="s">
        <v>1045</v>
      </c>
      <c r="B983" s="66">
        <f t="shared" si="1998"/>
        <v>9</v>
      </c>
      <c r="C983" s="66">
        <f t="shared" si="1907"/>
        <v>7</v>
      </c>
      <c r="E983" s="66">
        <f t="shared" ref="E983" si="2007">plan_id</f>
        <v>1952</v>
      </c>
      <c r="F983" s="66">
        <f t="shared" ca="1" si="1895"/>
        <v>2006</v>
      </c>
      <c r="G983" s="66">
        <f t="shared" ref="G983" ca="1" si="2008">VLOOKUP(INDIRECT(CHAR(39)&amp;$A983&amp;CHAR(39)&amp;"!r2c"&amp;$C983,0),variables,2,0)</f>
        <v>10926</v>
      </c>
      <c r="H983" s="71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(i)5%; (ii)5%</v>
      </c>
    </row>
    <row r="984" spans="1:8" x14ac:dyDescent="0.2">
      <c r="A984" s="66" t="s">
        <v>1045</v>
      </c>
      <c r="B984" s="66">
        <f t="shared" si="1998"/>
        <v>9</v>
      </c>
      <c r="C984" s="66">
        <f t="shared" si="1907"/>
        <v>8</v>
      </c>
      <c r="E984" s="66">
        <f t="shared" ref="E984" si="2009">plan_id</f>
        <v>1952</v>
      </c>
      <c r="F984" s="66">
        <f t="shared" ca="1" si="1895"/>
        <v>2006</v>
      </c>
      <c r="G984" s="66">
        <f t="shared" ref="G984" ca="1" si="2010">VLOOKUP(INDIRECT(CHAR(39)&amp;$A984&amp;CHAR(39)&amp;"!r2c"&amp;$C984,0),variables,2,0)</f>
        <v>10704</v>
      </c>
      <c r="H984" s="71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2">
      <c r="A985" s="66" t="s">
        <v>1045</v>
      </c>
      <c r="B985" s="66">
        <f t="shared" si="1998"/>
        <v>9</v>
      </c>
      <c r="C985" s="66">
        <f t="shared" si="1907"/>
        <v>9</v>
      </c>
      <c r="E985" s="66">
        <f t="shared" ref="E985" si="2011">plan_id</f>
        <v>1952</v>
      </c>
      <c r="F985" s="66">
        <f t="shared" ca="1" si="1895"/>
        <v>2006</v>
      </c>
      <c r="G985" s="66">
        <f t="shared" ref="G985" ca="1" si="2012">VLOOKUP(INDIRECT(CHAR(39)&amp;$A985&amp;CHAR(39)&amp;"!r2c"&amp;$C985,0),variables,2,0)</f>
        <v>10928</v>
      </c>
      <c r="H985" s="71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(i)5.56%; (ii)7.69%</v>
      </c>
    </row>
    <row r="986" spans="1:8" x14ac:dyDescent="0.2">
      <c r="A986" s="66" t="s">
        <v>1045</v>
      </c>
      <c r="B986" s="66">
        <f t="shared" si="1998"/>
        <v>9</v>
      </c>
      <c r="C986" s="66">
        <f t="shared" si="1907"/>
        <v>10</v>
      </c>
      <c r="E986" s="66">
        <f t="shared" ref="E986" si="2013">plan_id</f>
        <v>1952</v>
      </c>
      <c r="F986" s="66">
        <f t="shared" ca="1" si="1895"/>
        <v>2006</v>
      </c>
      <c r="G986" s="66">
        <f t="shared" ref="G986" ca="1" si="2014">VLOOKUP(INDIRECT(CHAR(39)&amp;$A986&amp;CHAR(39)&amp;"!r2c"&amp;$C986,0),variables,2,0)</f>
        <v>10929</v>
      </c>
      <c r="H986" s="71" t="str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(i)5.56%; (ii)7.69%</v>
      </c>
    </row>
    <row r="987" spans="1:8" x14ac:dyDescent="0.2">
      <c r="A987" s="66" t="s">
        <v>1045</v>
      </c>
      <c r="B987" s="66">
        <f t="shared" si="1998"/>
        <v>9</v>
      </c>
      <c r="C987" s="66">
        <f t="shared" si="1907"/>
        <v>11</v>
      </c>
      <c r="E987" s="66">
        <f t="shared" ref="E987" si="2015">plan_id</f>
        <v>1952</v>
      </c>
      <c r="F987" s="66">
        <f t="shared" ca="1" si="1895"/>
        <v>2006</v>
      </c>
      <c r="G987" s="66">
        <f t="shared" ref="G987" ca="1" si="2016">VLOOKUP(INDIRECT(CHAR(39)&amp;$A987&amp;CHAR(39)&amp;"!r2c"&amp;$C987,0),variables,2,0)</f>
        <v>10930</v>
      </c>
      <c r="H987" s="71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66" t="s">
        <v>1045</v>
      </c>
      <c r="B988" s="66">
        <f t="shared" si="1998"/>
        <v>9</v>
      </c>
      <c r="C988" s="66">
        <f t="shared" si="1907"/>
        <v>12</v>
      </c>
      <c r="E988" s="66">
        <f t="shared" ref="E988" si="2017">plan_id</f>
        <v>1952</v>
      </c>
      <c r="F988" s="66">
        <f t="shared" ca="1" si="1895"/>
        <v>2006</v>
      </c>
      <c r="G988" s="66">
        <f t="shared" ref="G988" ca="1" si="2018">VLOOKUP(INDIRECT(CHAR(39)&amp;$A988&amp;CHAR(39)&amp;"!r2c"&amp;$C988,0),variables,2,0)</f>
        <v>10705</v>
      </c>
      <c r="H988" s="7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494443000</v>
      </c>
    </row>
    <row r="989" spans="1:8" x14ac:dyDescent="0.2">
      <c r="A989" s="66" t="s">
        <v>1045</v>
      </c>
      <c r="B989" s="66">
        <f t="shared" si="1998"/>
        <v>9</v>
      </c>
      <c r="C989" s="66">
        <f t="shared" si="1907"/>
        <v>13</v>
      </c>
      <c r="E989" s="66">
        <f t="shared" ref="E989" si="2019">plan_id</f>
        <v>1952</v>
      </c>
      <c r="F989" s="66">
        <f t="shared" ca="1" si="1895"/>
        <v>2006</v>
      </c>
      <c r="G989" s="66">
        <f t="shared" ref="G989" ca="1" si="2020">VLOOKUP(INDIRECT(CHAR(39)&amp;$A989&amp;CHAR(39)&amp;"!r2c"&amp;$C989,0),variables,2,0)</f>
        <v>10842</v>
      </c>
      <c r="H989" s="71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66" t="s">
        <v>1045</v>
      </c>
      <c r="B990" s="66">
        <f t="shared" si="1998"/>
        <v>9</v>
      </c>
      <c r="C990" s="66">
        <f t="shared" si="1907"/>
        <v>14</v>
      </c>
      <c r="E990" s="66">
        <f t="shared" ref="E990" si="2021">plan_id</f>
        <v>1952</v>
      </c>
      <c r="F990" s="66">
        <f t="shared" ca="1" si="1895"/>
        <v>2006</v>
      </c>
      <c r="G990" s="66">
        <f t="shared" ref="G990" ca="1" si="2022">VLOOKUP(INDIRECT(CHAR(39)&amp;$A990&amp;CHAR(39)&amp;"!r2c"&amp;$C990,0),variables,2,0)</f>
        <v>10843</v>
      </c>
      <c r="H990" s="71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66" t="s">
        <v>1045</v>
      </c>
      <c r="B991" s="66">
        <f t="shared" si="1998"/>
        <v>9</v>
      </c>
      <c r="C991" s="66">
        <f t="shared" si="1907"/>
        <v>15</v>
      </c>
      <c r="E991" s="66">
        <f t="shared" ref="E991" si="2023">plan_id</f>
        <v>1952</v>
      </c>
      <c r="F991" s="66">
        <f t="shared" ca="1" si="1895"/>
        <v>2006</v>
      </c>
      <c r="G991" s="66">
        <f t="shared" ref="G991" ca="1" si="2024">VLOOKUP(INDIRECT(CHAR(39)&amp;$A991&amp;CHAR(39)&amp;"!r2c"&amp;$C991,0),variables,2,0)</f>
        <v>10931</v>
      </c>
      <c r="H991" s="7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66" t="s">
        <v>1045</v>
      </c>
      <c r="B992" s="66">
        <f t="shared" si="1998"/>
        <v>9</v>
      </c>
      <c r="C992" s="66">
        <f t="shared" si="1907"/>
        <v>16</v>
      </c>
      <c r="E992" s="66">
        <f t="shared" ref="E992" si="2025">plan_id</f>
        <v>1952</v>
      </c>
      <c r="F992" s="66">
        <f t="shared" ca="1" si="1895"/>
        <v>2006</v>
      </c>
      <c r="G992" s="66">
        <f t="shared" ref="G992" ca="1" si="2026">VLOOKUP(INDIRECT(CHAR(39)&amp;$A992&amp;CHAR(39)&amp;"!r2c"&amp;$C992,0),variables,2,0)</f>
        <v>10932</v>
      </c>
      <c r="H992" s="7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66" t="s">
        <v>1045</v>
      </c>
      <c r="B993" s="66">
        <f t="shared" si="1998"/>
        <v>9</v>
      </c>
      <c r="C993" s="66">
        <f t="shared" si="1907"/>
        <v>17</v>
      </c>
      <c r="E993" s="66">
        <f t="shared" ref="E993" si="2027">plan_id</f>
        <v>1952</v>
      </c>
      <c r="F993" s="66">
        <f t="shared" ca="1" si="1895"/>
        <v>2006</v>
      </c>
      <c r="G993" s="66">
        <f t="shared" ref="G993" ca="1" si="2028">VLOOKUP(INDIRECT(CHAR(39)&amp;$A993&amp;CHAR(39)&amp;"!r2c"&amp;$C993,0),variables,2,0)</f>
        <v>10933</v>
      </c>
      <c r="H993" s="71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(i)8.45%; (ii)12.39%</v>
      </c>
    </row>
    <row r="994" spans="1:8" x14ac:dyDescent="0.2">
      <c r="A994" s="66" t="s">
        <v>1045</v>
      </c>
      <c r="B994" s="66">
        <f t="shared" si="1998"/>
        <v>9</v>
      </c>
      <c r="C994" s="66">
        <f t="shared" si="1907"/>
        <v>18</v>
      </c>
      <c r="E994" s="66">
        <f t="shared" ref="E994" si="2029">plan_id</f>
        <v>1952</v>
      </c>
      <c r="F994" s="66">
        <f t="shared" ca="1" si="1895"/>
        <v>2006</v>
      </c>
      <c r="G994" s="66">
        <f t="shared" ref="G994" ca="1" si="2030">VLOOKUP(INDIRECT(CHAR(39)&amp;$A994&amp;CHAR(39)&amp;"!r2c"&amp;$C994,0),variables,2,0)</f>
        <v>10934</v>
      </c>
      <c r="H994" s="71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(i)5%; (ii)5%</v>
      </c>
    </row>
    <row r="995" spans="1:8" x14ac:dyDescent="0.2">
      <c r="A995" s="66" t="s">
        <v>1045</v>
      </c>
      <c r="B995" s="66">
        <f t="shared" si="1998"/>
        <v>9</v>
      </c>
      <c r="C995" s="66">
        <f t="shared" si="1907"/>
        <v>19</v>
      </c>
      <c r="E995" s="66">
        <f t="shared" ref="E995" si="2031">plan_id</f>
        <v>1952</v>
      </c>
      <c r="F995" s="66">
        <f t="shared" ca="1" si="1895"/>
        <v>2006</v>
      </c>
      <c r="G995" s="66">
        <f t="shared" ref="G995" ca="1" si="2032">VLOOKUP(INDIRECT(CHAR(39)&amp;$A995&amp;CHAR(39)&amp;"!r2c"&amp;$C995,0),variables,2,0)</f>
        <v>10935</v>
      </c>
      <c r="H995" s="71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</row>
    <row r="996" spans="1:8" x14ac:dyDescent="0.2">
      <c r="A996" s="66" t="s">
        <v>1045</v>
      </c>
      <c r="B996" s="66">
        <f t="shared" si="1998"/>
        <v>9</v>
      </c>
      <c r="C996" s="66">
        <f t="shared" si="1907"/>
        <v>20</v>
      </c>
      <c r="E996" s="66">
        <f t="shared" ref="E996" si="2033">plan_id</f>
        <v>1952</v>
      </c>
      <c r="F996" s="66">
        <f t="shared" ca="1" si="1895"/>
        <v>2006</v>
      </c>
      <c r="G996" s="66">
        <f t="shared" ref="G996" ca="1" si="2034">VLOOKUP(INDIRECT(CHAR(39)&amp;$A996&amp;CHAR(39)&amp;"!r2c"&amp;$C996,0),variables,2,0)</f>
        <v>10937</v>
      </c>
      <c r="H996" s="71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66" t="s">
        <v>1045</v>
      </c>
      <c r="B997" s="66">
        <f t="shared" si="1998"/>
        <v>9</v>
      </c>
      <c r="C997" s="66">
        <f t="shared" si="1907"/>
        <v>21</v>
      </c>
      <c r="E997" s="66">
        <f t="shared" ref="E997" si="2035">plan_id</f>
        <v>1952</v>
      </c>
      <c r="F997" s="66">
        <f t="shared" ca="1" si="1895"/>
        <v>2006</v>
      </c>
      <c r="G997" s="66">
        <f t="shared" ref="G997" ca="1" si="2036">VLOOKUP(INDIRECT(CHAR(39)&amp;$A997&amp;CHAR(39)&amp;"!r2c"&amp;$C997,0),variables,2,0)</f>
        <v>10938</v>
      </c>
      <c r="H997" s="7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66" t="s">
        <v>1045</v>
      </c>
      <c r="B998" s="66">
        <f t="shared" si="1998"/>
        <v>9</v>
      </c>
      <c r="C998" s="66">
        <f t="shared" si="1907"/>
        <v>22</v>
      </c>
      <c r="E998" s="66">
        <f t="shared" ref="E998" si="2037">plan_id</f>
        <v>1952</v>
      </c>
      <c r="F998" s="66">
        <f t="shared" ca="1" si="1895"/>
        <v>2006</v>
      </c>
      <c r="G998" s="66">
        <f t="shared" ref="G998" ca="1" si="2038">VLOOKUP(INDIRECT(CHAR(39)&amp;$A998&amp;CHAR(39)&amp;"!r2c"&amp;$C998,0),variables,2,0)</f>
        <v>11007</v>
      </c>
      <c r="H998" s="71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1.7% of AFC times years of service</v>
      </c>
    </row>
    <row r="999" spans="1:8" x14ac:dyDescent="0.2">
      <c r="A999" s="66" t="s">
        <v>1045</v>
      </c>
      <c r="B999" s="66">
        <f t="shared" si="1998"/>
        <v>9</v>
      </c>
      <c r="C999" s="66">
        <f t="shared" ref="C999:C1062" si="2039">C908</f>
        <v>23</v>
      </c>
      <c r="E999" s="66">
        <f t="shared" ref="E999" si="2040">plan_id</f>
        <v>1952</v>
      </c>
      <c r="F999" s="66">
        <f t="shared" ca="1" si="1895"/>
        <v>2006</v>
      </c>
      <c r="G999" s="66">
        <f t="shared" ref="G999" ca="1" si="2041">VLOOKUP(INDIRECT(CHAR(39)&amp;$A999&amp;CHAR(39)&amp;"!r2c"&amp;$C999,0),variables,2,0)</f>
        <v>10941</v>
      </c>
      <c r="H999" s="71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66" t="s">
        <v>1045</v>
      </c>
      <c r="B1000" s="66">
        <f t="shared" si="1998"/>
        <v>9</v>
      </c>
      <c r="C1000" s="66">
        <f t="shared" si="2039"/>
        <v>24</v>
      </c>
      <c r="E1000" s="66">
        <f t="shared" ref="E1000" si="2042">plan_id</f>
        <v>1952</v>
      </c>
      <c r="F1000" s="66">
        <f t="shared" ca="1" si="1895"/>
        <v>2006</v>
      </c>
      <c r="G1000" s="66">
        <f t="shared" ref="G1000" ca="1" si="2043">VLOOKUP(INDIRECT(CHAR(39)&amp;$A1000&amp;CHAR(39)&amp;"!r2c"&amp;$C1000,0),variables,2,0)</f>
        <v>10942</v>
      </c>
      <c r="H1000" s="71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2">
      <c r="A1001" s="66" t="s">
        <v>1045</v>
      </c>
      <c r="B1001" s="66">
        <f t="shared" si="1998"/>
        <v>9</v>
      </c>
      <c r="C1001" s="66">
        <f t="shared" si="2039"/>
        <v>25</v>
      </c>
      <c r="E1001" s="66">
        <f t="shared" ref="E1001" si="2044">plan_id</f>
        <v>1952</v>
      </c>
      <c r="F1001" s="66">
        <f t="shared" ca="1" si="1895"/>
        <v>2006</v>
      </c>
      <c r="G1001" s="66">
        <f t="shared" ref="G1001" ca="1" si="2045">VLOOKUP(INDIRECT(CHAR(39)&amp;$A1001&amp;CHAR(39)&amp;"!r2c"&amp;$C1001,0),variables,2,0)</f>
        <v>10701</v>
      </c>
      <c r="H1001" s="71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2">
      <c r="A1002" s="66" t="s">
        <v>1045</v>
      </c>
      <c r="B1002" s="66">
        <f t="shared" si="1998"/>
        <v>9</v>
      </c>
      <c r="C1002" s="66">
        <f t="shared" si="2039"/>
        <v>26</v>
      </c>
      <c r="E1002" s="66">
        <f t="shared" ref="E1002" si="2046">plan_id</f>
        <v>1952</v>
      </c>
      <c r="F1002" s="66">
        <f t="shared" ca="1" si="1895"/>
        <v>2006</v>
      </c>
      <c r="G1002" s="66">
        <f t="shared" ref="G1002" ca="1" si="2047">VLOOKUP(INDIRECT(CHAR(39)&amp;$A1002&amp;CHAR(39)&amp;"!r2c"&amp;$C1002,0),variables,2,0)</f>
        <v>10702</v>
      </c>
      <c r="H1002" s="71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66" t="s">
        <v>1045</v>
      </c>
      <c r="B1003" s="66">
        <f t="shared" si="1998"/>
        <v>9</v>
      </c>
      <c r="C1003" s="66">
        <f t="shared" si="2039"/>
        <v>27</v>
      </c>
      <c r="E1003" s="66">
        <f t="shared" ref="E1003" si="2048">plan_id</f>
        <v>1952</v>
      </c>
      <c r="F1003" s="66">
        <f t="shared" ca="1" si="1895"/>
        <v>2006</v>
      </c>
      <c r="G1003" s="66">
        <f t="shared" ref="G1003" ca="1" si="2049">VLOOKUP(INDIRECT(CHAR(39)&amp;$A1003&amp;CHAR(39)&amp;"!r2c"&amp;$C1003,0),variables,2,0)</f>
        <v>10943</v>
      </c>
      <c r="H1003" s="71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2.5000000000000001E-2</v>
      </c>
    </row>
    <row r="1004" spans="1:8" x14ac:dyDescent="0.2">
      <c r="A1004" s="66" t="s">
        <v>1045</v>
      </c>
      <c r="B1004" s="66">
        <f t="shared" si="1998"/>
        <v>9</v>
      </c>
      <c r="C1004" s="66">
        <f t="shared" si="2039"/>
        <v>28</v>
      </c>
      <c r="E1004" s="66">
        <f t="shared" ref="E1004" si="2050">plan_id</f>
        <v>1952</v>
      </c>
      <c r="F1004" s="66">
        <f t="shared" ca="1" si="1895"/>
        <v>2006</v>
      </c>
      <c r="G1004" s="66">
        <f t="shared" ref="G1004" ca="1" si="2051">VLOOKUP(INDIRECT(CHAR(39)&amp;$A1004&amp;CHAR(39)&amp;"!r2c"&amp;$C1004,0),variables,2,0)</f>
        <v>10944</v>
      </c>
      <c r="H1004" s="71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66" t="s">
        <v>1045</v>
      </c>
      <c r="B1005" s="66">
        <f t="shared" si="1998"/>
        <v>9</v>
      </c>
      <c r="C1005" s="66">
        <f t="shared" si="2039"/>
        <v>29</v>
      </c>
      <c r="E1005" s="66">
        <f t="shared" ref="E1005" si="2052">plan_id</f>
        <v>1952</v>
      </c>
      <c r="F1005" s="66">
        <f t="shared" ca="1" si="1895"/>
        <v>2006</v>
      </c>
      <c r="G1005" s="66">
        <f t="shared" ref="G1005" ca="1" si="2053">VLOOKUP(INDIRECT(CHAR(39)&amp;$A1005&amp;CHAR(39)&amp;"!r2c"&amp;$C1005,0),variables,2,0)</f>
        <v>10945</v>
      </c>
      <c r="H1005" s="71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66" t="s">
        <v>1045</v>
      </c>
      <c r="B1006" s="66">
        <f t="shared" si="1998"/>
        <v>9</v>
      </c>
      <c r="C1006" s="66">
        <f t="shared" si="2039"/>
        <v>30</v>
      </c>
      <c r="E1006" s="66">
        <f t="shared" ref="E1006" si="2054">plan_id</f>
        <v>1952</v>
      </c>
      <c r="F1006" s="66">
        <f t="shared" ca="1" si="1895"/>
        <v>2006</v>
      </c>
      <c r="G1006" s="66">
        <f t="shared" ref="G1006" ca="1" si="2055">VLOOKUP(INDIRECT(CHAR(39)&amp;$A1006&amp;CHAR(39)&amp;"!r2c"&amp;$C1006,0),variables,2,0)</f>
        <v>10947</v>
      </c>
      <c r="H1006" s="71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66" t="s">
        <v>1045</v>
      </c>
      <c r="B1007" s="66">
        <f t="shared" si="1998"/>
        <v>9</v>
      </c>
      <c r="C1007" s="66">
        <f t="shared" si="2039"/>
        <v>31</v>
      </c>
      <c r="E1007" s="66">
        <f t="shared" ref="E1007" si="2056">plan_id</f>
        <v>1952</v>
      </c>
      <c r="F1007" s="66">
        <f t="shared" ca="1" si="1895"/>
        <v>2006</v>
      </c>
      <c r="G1007" s="66">
        <f t="shared" ref="G1007" ca="1" si="2057">VLOOKUP(INDIRECT(CHAR(39)&amp;$A1007&amp;CHAR(39)&amp;"!r2c"&amp;$C1007,0),variables,2,0)</f>
        <v>10948</v>
      </c>
      <c r="H1007" s="71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2">
      <c r="A1008" s="66" t="s">
        <v>1045</v>
      </c>
      <c r="B1008" s="66">
        <f t="shared" si="1998"/>
        <v>9</v>
      </c>
      <c r="C1008" s="66">
        <f t="shared" si="2039"/>
        <v>32</v>
      </c>
      <c r="E1008" s="66">
        <f t="shared" ref="E1008" si="2058">plan_id</f>
        <v>1952</v>
      </c>
      <c r="F1008" s="66">
        <f t="shared" ca="1" si="1895"/>
        <v>2006</v>
      </c>
      <c r="G1008" s="66">
        <f t="shared" ref="G1008" ca="1" si="2059">VLOOKUP(INDIRECT(CHAR(39)&amp;$A1008&amp;CHAR(39)&amp;"!r2c"&amp;$C1008,0),variables,2,0)</f>
        <v>10949</v>
      </c>
      <c r="H1008" s="71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66" t="s">
        <v>1045</v>
      </c>
      <c r="B1009" s="66">
        <f t="shared" si="1998"/>
        <v>9</v>
      </c>
      <c r="C1009" s="66">
        <f t="shared" si="2039"/>
        <v>33</v>
      </c>
      <c r="E1009" s="66">
        <f t="shared" ref="E1009" si="2060">plan_id</f>
        <v>1952</v>
      </c>
      <c r="F1009" s="66">
        <f t="shared" ca="1" si="1895"/>
        <v>2006</v>
      </c>
      <c r="G1009" s="66">
        <f t="shared" ref="G1009" ca="1" si="2061">VLOOKUP(INDIRECT(CHAR(39)&amp;$A1009&amp;CHAR(39)&amp;"!r2c"&amp;$C1009,0),variables,2,0)</f>
        <v>10951</v>
      </c>
      <c r="H1009" s="71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2">
      <c r="A1010" s="66" t="s">
        <v>1045</v>
      </c>
      <c r="B1010" s="66">
        <f t="shared" si="1998"/>
        <v>9</v>
      </c>
      <c r="C1010" s="66">
        <f t="shared" si="2039"/>
        <v>34</v>
      </c>
      <c r="E1010" s="66">
        <f t="shared" ref="E1010" si="2062">plan_id</f>
        <v>1952</v>
      </c>
      <c r="F1010" s="66">
        <f t="shared" ca="1" si="1895"/>
        <v>2006</v>
      </c>
      <c r="G1010" s="66">
        <f t="shared" ref="G1010" ca="1" si="2063">VLOOKUP(INDIRECT(CHAR(39)&amp;$A1010&amp;CHAR(39)&amp;"!r2c"&amp;$C1010,0),variables,2,0)</f>
        <v>10950</v>
      </c>
      <c r="H1010" s="71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66" t="s">
        <v>1045</v>
      </c>
      <c r="B1011" s="66">
        <f t="shared" si="1998"/>
        <v>9</v>
      </c>
      <c r="C1011" s="66">
        <f t="shared" si="2039"/>
        <v>35</v>
      </c>
      <c r="E1011" s="66">
        <f t="shared" ref="E1011" si="2064">plan_id</f>
        <v>1952</v>
      </c>
      <c r="F1011" s="66">
        <f t="shared" ca="1" si="1895"/>
        <v>2006</v>
      </c>
      <c r="G1011" s="66">
        <f t="shared" ref="G1011" ca="1" si="2065">VLOOKUP(INDIRECT(CHAR(39)&amp;$A1011&amp;CHAR(39)&amp;"!r2c"&amp;$C1011,0),variables,2,0)</f>
        <v>10954</v>
      </c>
      <c r="H1011" s="71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2.5000000000000001E-2</v>
      </c>
    </row>
    <row r="1012" spans="1:8" x14ac:dyDescent="0.2">
      <c r="A1012" s="66" t="s">
        <v>1045</v>
      </c>
      <c r="B1012" s="66">
        <f t="shared" si="1998"/>
        <v>9</v>
      </c>
      <c r="C1012" s="66">
        <f t="shared" si="2039"/>
        <v>36</v>
      </c>
      <c r="E1012" s="66">
        <f t="shared" ref="E1012" si="2066">plan_id</f>
        <v>1952</v>
      </c>
      <c r="F1012" s="66">
        <f t="shared" ca="1" si="1895"/>
        <v>2006</v>
      </c>
      <c r="G1012" s="66">
        <f t="shared" ref="G1012" ca="1" si="2067">VLOOKUP(INDIRECT(CHAR(39)&amp;$A1012&amp;CHAR(39)&amp;"!r2c"&amp;$C1012,0),variables,2,0)</f>
        <v>10955</v>
      </c>
      <c r="H1012" s="71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2">
      <c r="A1013" s="66" t="s">
        <v>1045</v>
      </c>
      <c r="B1013" s="66">
        <f t="shared" si="1998"/>
        <v>9</v>
      </c>
      <c r="C1013" s="66">
        <f t="shared" si="2039"/>
        <v>37</v>
      </c>
      <c r="E1013" s="66">
        <f t="shared" ref="E1013" si="2068">plan_id</f>
        <v>1952</v>
      </c>
      <c r="F1013" s="66">
        <f t="shared" ca="1" si="1895"/>
        <v>2006</v>
      </c>
      <c r="G1013" s="66">
        <f t="shared" ref="G1013" ca="1" si="2069">VLOOKUP(INDIRECT(CHAR(39)&amp;$A1013&amp;CHAR(39)&amp;"!r2c"&amp;$C1013,0),variables,2,0)</f>
        <v>10956</v>
      </c>
      <c r="H1013" s="71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0.03</v>
      </c>
    </row>
    <row r="1014" spans="1:8" x14ac:dyDescent="0.2">
      <c r="A1014" s="66" t="s">
        <v>1045</v>
      </c>
      <c r="B1014" s="66">
        <f t="shared" si="1998"/>
        <v>9</v>
      </c>
      <c r="C1014" s="66">
        <f t="shared" si="2039"/>
        <v>38</v>
      </c>
      <c r="E1014" s="66">
        <f t="shared" ref="E1014" si="2070">plan_id</f>
        <v>1952</v>
      </c>
      <c r="F1014" s="66">
        <f t="shared" ca="1" si="1895"/>
        <v>2006</v>
      </c>
      <c r="G1014" s="66">
        <f t="shared" ref="G1014" ca="1" si="2071">VLOOKUP(INDIRECT(CHAR(39)&amp;$A1014&amp;CHAR(39)&amp;"!r2c"&amp;$C1014,0),variables,2,0)</f>
        <v>10959</v>
      </c>
      <c r="H1014" s="71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SE-3.75% to 5.6% &amp; Teach 3.75% to 6.20%</v>
      </c>
    </row>
    <row r="1015" spans="1:8" x14ac:dyDescent="0.2">
      <c r="A1015" s="66" t="s">
        <v>1045</v>
      </c>
      <c r="B1015" s="66">
        <f t="shared" si="1998"/>
        <v>9</v>
      </c>
      <c r="C1015" s="66">
        <f t="shared" si="2039"/>
        <v>39</v>
      </c>
      <c r="E1015" s="66">
        <f t="shared" ref="E1015" si="2072">plan_id</f>
        <v>1952</v>
      </c>
      <c r="F1015" s="66">
        <f t="shared" ca="1" si="1895"/>
        <v>2006</v>
      </c>
      <c r="G1015" s="66">
        <f t="shared" ref="G1015" ca="1" si="2073">VLOOKUP(INDIRECT(CHAR(39)&amp;$A1015&amp;CHAR(39)&amp;"!r2c"&amp;$C1015,0),variables,2,0)</f>
        <v>10962</v>
      </c>
      <c r="H1015" s="71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Pg.112 &amp; 117</v>
      </c>
    </row>
    <row r="1016" spans="1:8" x14ac:dyDescent="0.2">
      <c r="A1016" s="66" t="s">
        <v>1045</v>
      </c>
      <c r="B1016" s="66">
        <f t="shared" si="1998"/>
        <v>9</v>
      </c>
      <c r="C1016" s="66">
        <f t="shared" si="2039"/>
        <v>40</v>
      </c>
      <c r="E1016" s="66">
        <f t="shared" ref="E1016" si="2074">plan_id</f>
        <v>1952</v>
      </c>
      <c r="F1016" s="66">
        <f t="shared" ca="1" si="1895"/>
        <v>2006</v>
      </c>
      <c r="G1016" s="66">
        <f t="shared" ref="G1016" ca="1" si="2075">VLOOKUP(INDIRECT(CHAR(39)&amp;$A1016&amp;CHAR(39)&amp;"!r2c"&amp;$C1016,0),variables,2,0)</f>
        <v>10964</v>
      </c>
      <c r="H1016" s="71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111 &amp; 116</v>
      </c>
    </row>
    <row r="1017" spans="1:8" x14ac:dyDescent="0.2">
      <c r="A1017" s="66" t="s">
        <v>1045</v>
      </c>
      <c r="B1017" s="66">
        <f t="shared" si="1998"/>
        <v>9</v>
      </c>
      <c r="C1017" s="66">
        <f t="shared" si="2039"/>
        <v>41</v>
      </c>
      <c r="E1017" s="66">
        <f t="shared" ref="E1017" si="2076">plan_id</f>
        <v>1952</v>
      </c>
      <c r="F1017" s="66">
        <f t="shared" ca="1" si="1895"/>
        <v>2006</v>
      </c>
      <c r="G1017" s="66">
        <f t="shared" ref="G1017" ca="1" si="2077">VLOOKUP(INDIRECT(CHAR(39)&amp;$A1017&amp;CHAR(39)&amp;"!r2c"&amp;$C1017,0),variables,2,0)</f>
        <v>10967</v>
      </c>
      <c r="H1017" s="71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Group Annuity Mortality Table</v>
      </c>
    </row>
    <row r="1018" spans="1:8" x14ac:dyDescent="0.2">
      <c r="A1018" s="66" t="s">
        <v>1045</v>
      </c>
      <c r="B1018" s="66">
        <f t="shared" si="1998"/>
        <v>9</v>
      </c>
      <c r="C1018" s="66">
        <f t="shared" si="2039"/>
        <v>42</v>
      </c>
      <c r="E1018" s="66">
        <f t="shared" ref="E1018" si="2078">plan_id</f>
        <v>1952</v>
      </c>
      <c r="F1018" s="66">
        <f t="shared" ca="1" si="1895"/>
        <v>2006</v>
      </c>
      <c r="G1018" s="66">
        <f t="shared" ref="G1018" ca="1" si="2079">VLOOKUP(INDIRECT(CHAR(39)&amp;$A1018&amp;CHAR(39)&amp;"!r2c"&amp;$C1018,0),variables,2,0)</f>
        <v>10968</v>
      </c>
      <c r="H1018" s="71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2">
      <c r="A1019" s="66" t="s">
        <v>1045</v>
      </c>
      <c r="B1019" s="66">
        <f t="shared" si="1998"/>
        <v>9</v>
      </c>
      <c r="C1019" s="66">
        <f t="shared" si="2039"/>
        <v>43</v>
      </c>
      <c r="E1019" s="66">
        <f t="shared" ref="E1019" si="2080">plan_id</f>
        <v>1952</v>
      </c>
      <c r="F1019" s="66">
        <f t="shared" ca="1" si="1895"/>
        <v>2006</v>
      </c>
      <c r="G1019" s="66">
        <f t="shared" ref="G1019" ca="1" si="2081">VLOOKUP(INDIRECT(CHAR(39)&amp;$A1019&amp;CHAR(39)&amp;"!r2c"&amp;$C1019,0),variables,2,0)</f>
        <v>10969</v>
      </c>
      <c r="H1019" s="71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66" t="s">
        <v>1045</v>
      </c>
      <c r="B1020" s="66">
        <f t="shared" si="1998"/>
        <v>9</v>
      </c>
      <c r="C1020" s="66">
        <f t="shared" si="2039"/>
        <v>44</v>
      </c>
      <c r="E1020" s="66">
        <f t="shared" ref="E1020" si="2082">plan_id</f>
        <v>1952</v>
      </c>
      <c r="F1020" s="66">
        <f t="shared" ca="1" si="1895"/>
        <v>2006</v>
      </c>
      <c r="G1020" s="66">
        <f t="shared" ref="G1020" ca="1" si="2083">VLOOKUP(INDIRECT(CHAR(39)&amp;$A1020&amp;CHAR(39)&amp;"!r2c"&amp;$C1020,0),variables,2,0)</f>
        <v>10970</v>
      </c>
      <c r="H1020" s="71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State: Males &amp; Females: 1 Year; Teachers: Pre- 1 Year; Post- 3 Years</v>
      </c>
    </row>
    <row r="1021" spans="1:8" x14ac:dyDescent="0.2">
      <c r="A1021" s="66" t="s">
        <v>1045</v>
      </c>
      <c r="B1021" s="66">
        <f t="shared" si="1998"/>
        <v>9</v>
      </c>
      <c r="C1021" s="66">
        <f t="shared" si="2039"/>
        <v>45</v>
      </c>
      <c r="E1021" s="66">
        <f t="shared" ref="E1021" si="2084">plan_id</f>
        <v>1952</v>
      </c>
      <c r="F1021" s="66">
        <f t="shared" ca="1" si="1895"/>
        <v>2006</v>
      </c>
      <c r="G1021" s="66">
        <f t="shared" ref="G1021" ca="1" si="2085">VLOOKUP(INDIRECT(CHAR(39)&amp;$A1021&amp;CHAR(39)&amp;"!r2c"&amp;$C1021,0),variables,2,0)</f>
        <v>10971</v>
      </c>
      <c r="H1021" s="71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66" t="s">
        <v>1045</v>
      </c>
      <c r="B1022" s="66">
        <f t="shared" si="1998"/>
        <v>9</v>
      </c>
      <c r="C1022" s="66">
        <f t="shared" si="2039"/>
        <v>46</v>
      </c>
      <c r="E1022" s="66">
        <f t="shared" ref="E1022" si="2086">plan_id</f>
        <v>1952</v>
      </c>
      <c r="F1022" s="66">
        <f t="shared" ca="1" si="1895"/>
        <v>2006</v>
      </c>
      <c r="G1022" s="66">
        <f t="shared" ref="G1022" ca="1" si="2087">VLOOKUP(INDIRECT(CHAR(39)&amp;$A1022&amp;CHAR(39)&amp;"!r2c"&amp;$C1022,0),variables,2,0)</f>
        <v>10972</v>
      </c>
      <c r="H1022" s="71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closed</v>
      </c>
    </row>
    <row r="1023" spans="1:8" x14ac:dyDescent="0.2">
      <c r="A1023" s="66" t="s">
        <v>1045</v>
      </c>
      <c r="B1023" s="66">
        <f t="shared" si="1998"/>
        <v>9</v>
      </c>
      <c r="C1023" s="66">
        <f t="shared" si="2039"/>
        <v>47</v>
      </c>
      <c r="E1023" s="66">
        <f t="shared" ref="E1023" si="2088">plan_id</f>
        <v>1952</v>
      </c>
      <c r="F1023" s="66">
        <f t="shared" ca="1" si="1895"/>
        <v>2006</v>
      </c>
      <c r="G1023" s="66">
        <f t="shared" ref="G1023" ca="1" si="2089">VLOOKUP(INDIRECT(CHAR(39)&amp;$A1023&amp;CHAR(39)&amp;"!r2c"&amp;$C1023,0),variables,2,0)</f>
        <v>10973</v>
      </c>
      <c r="H1023" s="71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 years</v>
      </c>
    </row>
    <row r="1024" spans="1:8" x14ac:dyDescent="0.2">
      <c r="A1024" s="66" t="s">
        <v>1045</v>
      </c>
      <c r="B1024" s="66">
        <f t="shared" si="1998"/>
        <v>9</v>
      </c>
      <c r="C1024" s="66">
        <f t="shared" si="2039"/>
        <v>48</v>
      </c>
      <c r="E1024" s="66">
        <f t="shared" ref="E1024" si="2090">plan_id</f>
        <v>1952</v>
      </c>
      <c r="F1024" s="66">
        <f t="shared" ca="1" si="1895"/>
        <v>2006</v>
      </c>
      <c r="G1024" s="66">
        <f t="shared" ref="G1024" ca="1" si="2091">VLOOKUP(INDIRECT(CHAR(39)&amp;$A1024&amp;CHAR(39)&amp;"!r2c"&amp;$C1024,0),variables,2,0)</f>
        <v>10975</v>
      </c>
      <c r="H1024" s="71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2">
      <c r="A1025" s="66" t="s">
        <v>1045</v>
      </c>
      <c r="B1025" s="66">
        <f t="shared" si="1998"/>
        <v>9</v>
      </c>
      <c r="C1025" s="66">
        <f t="shared" si="2039"/>
        <v>49</v>
      </c>
      <c r="E1025" s="66">
        <f t="shared" ref="E1025" si="2092">plan_id</f>
        <v>1952</v>
      </c>
      <c r="F1025" s="66">
        <f t="shared" ca="1" si="1895"/>
        <v>2006</v>
      </c>
      <c r="G1025" s="66">
        <f t="shared" ref="G1025" ca="1" si="2093">VLOOKUP(INDIRECT(CHAR(39)&amp;$A1025&amp;CHAR(39)&amp;"!r2c"&amp;$C1025,0),variables,2,0)</f>
        <v>10976</v>
      </c>
      <c r="H1025" s="71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2">
      <c r="A1026" s="66" t="s">
        <v>1045</v>
      </c>
      <c r="B1026" s="66">
        <f t="shared" si="1998"/>
        <v>9</v>
      </c>
      <c r="C1026" s="66">
        <f t="shared" si="2039"/>
        <v>50</v>
      </c>
      <c r="E1026" s="66">
        <f t="shared" ref="E1026" si="2094">plan_id</f>
        <v>1952</v>
      </c>
      <c r="F1026" s="66">
        <f t="shared" ca="1" si="1895"/>
        <v>2006</v>
      </c>
      <c r="G1026" s="66">
        <f t="shared" ref="G1026" ca="1" si="2095">VLOOKUP(INDIRECT(CHAR(39)&amp;$A1026&amp;CHAR(39)&amp;"!r2c"&amp;$C1026,0),variables,2,0)</f>
        <v>10977</v>
      </c>
      <c r="H1026" s="71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66" t="s">
        <v>1045</v>
      </c>
      <c r="B1027" s="66">
        <f t="shared" si="1998"/>
        <v>9</v>
      </c>
      <c r="C1027" s="66">
        <f t="shared" si="2039"/>
        <v>51</v>
      </c>
      <c r="E1027" s="66">
        <f t="shared" ref="E1027" si="2096">plan_id</f>
        <v>1952</v>
      </c>
      <c r="F1027" s="66">
        <f t="shared" ca="1" si="1895"/>
        <v>2006</v>
      </c>
      <c r="G1027" s="66">
        <f t="shared" ref="G1027" ca="1" si="2097">VLOOKUP(INDIRECT(CHAR(39)&amp;$A1027&amp;CHAR(39)&amp;"!r2c"&amp;$C1027,0),variables,2,0)</f>
        <v>10978</v>
      </c>
      <c r="H1027" s="71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2">
      <c r="A1028" s="66" t="s">
        <v>1045</v>
      </c>
      <c r="B1028" s="66">
        <f t="shared" si="1998"/>
        <v>9</v>
      </c>
      <c r="C1028" s="66">
        <f t="shared" si="2039"/>
        <v>52</v>
      </c>
      <c r="E1028" s="66">
        <f t="shared" ref="E1028" si="2098">plan_id</f>
        <v>1952</v>
      </c>
      <c r="F1028" s="66">
        <f t="shared" ca="1" si="1895"/>
        <v>2006</v>
      </c>
      <c r="G1028" s="66">
        <f t="shared" ref="G1028" ca="1" si="2099">VLOOKUP(INDIRECT(CHAR(39)&amp;$A1028&amp;CHAR(39)&amp;"!r2c"&amp;$C1028,0),variables,2,0)</f>
        <v>10979</v>
      </c>
      <c r="H1028" s="71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2">
      <c r="A1029" s="66" t="s">
        <v>1045</v>
      </c>
      <c r="B1029" s="66">
        <f t="shared" si="1998"/>
        <v>9</v>
      </c>
      <c r="C1029" s="66">
        <f t="shared" si="2039"/>
        <v>53</v>
      </c>
      <c r="E1029" s="66">
        <f t="shared" ref="E1029" si="2100">plan_id</f>
        <v>1952</v>
      </c>
      <c r="F1029" s="66">
        <f t="shared" ca="1" si="1895"/>
        <v>2006</v>
      </c>
      <c r="G1029" s="66">
        <f t="shared" ref="G1029" ca="1" si="2101">VLOOKUP(INDIRECT(CHAR(39)&amp;$A1029&amp;CHAR(39)&amp;"!r2c"&amp;$C1029,0),variables,2,0)</f>
        <v>10980</v>
      </c>
      <c r="H1029" s="71" t="str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State Employees: 7.34% ;Teachers: 7.34%</v>
      </c>
    </row>
    <row r="1030" spans="1:8" x14ac:dyDescent="0.2">
      <c r="A1030" s="66" t="s">
        <v>1045</v>
      </c>
      <c r="B1030" s="66">
        <f t="shared" si="1998"/>
        <v>9</v>
      </c>
      <c r="C1030" s="66">
        <f t="shared" si="2039"/>
        <v>54</v>
      </c>
      <c r="E1030" s="66">
        <f t="shared" ref="E1030" si="2102">plan_id</f>
        <v>1952</v>
      </c>
      <c r="F1030" s="66">
        <f t="shared" ca="1" si="1895"/>
        <v>2006</v>
      </c>
      <c r="G1030" s="66">
        <f t="shared" ref="G1030" ca="1" si="2103">VLOOKUP(INDIRECT(CHAR(39)&amp;$A1030&amp;CHAR(39)&amp;"!r2c"&amp;$C1030,0),variables,2,0)</f>
        <v>10981</v>
      </c>
      <c r="H1030" s="71" t="str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State Employees: -12.10% ;Teachers: -12.10%</v>
      </c>
    </row>
    <row r="1031" spans="1:8" x14ac:dyDescent="0.2">
      <c r="A1031" s="66" t="s">
        <v>1045</v>
      </c>
      <c r="B1031" s="66">
        <f t="shared" si="1998"/>
        <v>9</v>
      </c>
      <c r="C1031" s="66">
        <f t="shared" si="2039"/>
        <v>55</v>
      </c>
      <c r="E1031" s="66">
        <f t="shared" ref="E1031" si="2104">plan_id</f>
        <v>1952</v>
      </c>
      <c r="F1031" s="66">
        <f t="shared" ca="1" si="1895"/>
        <v>2006</v>
      </c>
      <c r="G1031" s="66">
        <f t="shared" ref="G1031" ca="1" si="2105">VLOOKUP(INDIRECT(CHAR(39)&amp;$A1031&amp;CHAR(39)&amp;"!r2c"&amp;$C1031,0),variables,2,0)</f>
        <v>10706</v>
      </c>
      <c r="H1031" s="71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6.4832985524702371E-4</v>
      </c>
    </row>
    <row r="1032" spans="1:8" x14ac:dyDescent="0.2">
      <c r="A1032" s="66" t="s">
        <v>1045</v>
      </c>
      <c r="B1032" s="66">
        <f t="shared" si="1998"/>
        <v>9</v>
      </c>
      <c r="C1032" s="66">
        <f t="shared" si="2039"/>
        <v>56</v>
      </c>
      <c r="E1032" s="66">
        <f t="shared" ref="E1032" si="2106">plan_id</f>
        <v>1952</v>
      </c>
      <c r="F1032" s="66">
        <f t="shared" ca="1" si="1895"/>
        <v>2006</v>
      </c>
      <c r="G1032" s="66">
        <f t="shared" ref="G1032" ca="1" si="2107">VLOOKUP(INDIRECT(CHAR(39)&amp;$A1032&amp;CHAR(39)&amp;"!r2c"&amp;$C1032,0),variables,2,0)</f>
        <v>10983</v>
      </c>
      <c r="H1032" s="71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66" t="s">
        <v>1045</v>
      </c>
      <c r="B1033" s="66">
        <f t="shared" si="1998"/>
        <v>9</v>
      </c>
      <c r="C1033" s="66">
        <f t="shared" si="2039"/>
        <v>57</v>
      </c>
      <c r="E1033" s="66">
        <f t="shared" ref="E1033" si="2108">plan_id</f>
        <v>1952</v>
      </c>
      <c r="F1033" s="66">
        <f t="shared" ca="1" si="1895"/>
        <v>2006</v>
      </c>
      <c r="G1033" s="66">
        <f t="shared" ref="G1033" ca="1" si="2109">VLOOKUP(INDIRECT(CHAR(39)&amp;$A1033&amp;CHAR(39)&amp;"!r2c"&amp;$C1033,0),variables,2,0)</f>
        <v>10989</v>
      </c>
      <c r="H1033" s="7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33273582000</v>
      </c>
    </row>
    <row r="1034" spans="1:8" x14ac:dyDescent="0.2">
      <c r="A1034" s="66" t="s">
        <v>1045</v>
      </c>
      <c r="B1034" s="66">
        <f t="shared" si="1998"/>
        <v>9</v>
      </c>
      <c r="C1034" s="66">
        <f t="shared" si="2039"/>
        <v>58</v>
      </c>
      <c r="E1034" s="66">
        <f t="shared" ref="E1034" si="2110">plan_id</f>
        <v>1952</v>
      </c>
      <c r="F1034" s="66">
        <f t="shared" ca="1" si="1895"/>
        <v>2006</v>
      </c>
      <c r="G1034" s="66">
        <f t="shared" ref="G1034" ca="1" si="2111">VLOOKUP(INDIRECT(CHAR(39)&amp;$A1034&amp;CHAR(39)&amp;"!r2c"&amp;$C1034,0),variables,2,0)</f>
        <v>10990</v>
      </c>
      <c r="H1034" s="7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42338126000</v>
      </c>
    </row>
    <row r="1035" spans="1:8" x14ac:dyDescent="0.2">
      <c r="A1035" s="66" t="s">
        <v>1045</v>
      </c>
      <c r="B1035" s="66">
        <f t="shared" si="1998"/>
        <v>9</v>
      </c>
      <c r="C1035" s="66">
        <f t="shared" si="2039"/>
        <v>59</v>
      </c>
      <c r="E1035" s="66">
        <f t="shared" ref="E1035" si="2112">plan_id</f>
        <v>1952</v>
      </c>
      <c r="F1035" s="66">
        <f t="shared" ca="1" si="1895"/>
        <v>2006</v>
      </c>
      <c r="G1035" s="66">
        <f t="shared" ref="G1035" ca="1" si="2113">VLOOKUP(INDIRECT(CHAR(39)&amp;$A1035&amp;CHAR(39)&amp;"!r2c"&amp;$C1035,0),variables,2,0)</f>
        <v>10991</v>
      </c>
      <c r="H1035" s="7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9064544000</v>
      </c>
    </row>
    <row r="1036" spans="1:8" x14ac:dyDescent="0.2">
      <c r="A1036" s="66" t="s">
        <v>1045</v>
      </c>
      <c r="B1036" s="66">
        <f t="shared" si="1998"/>
        <v>9</v>
      </c>
      <c r="C1036" s="66">
        <f t="shared" si="2039"/>
        <v>60</v>
      </c>
      <c r="E1036" s="66">
        <f t="shared" ref="E1036" si="2114">plan_id</f>
        <v>1952</v>
      </c>
      <c r="F1036" s="66">
        <f t="shared" ca="1" si="1895"/>
        <v>2006</v>
      </c>
      <c r="G1036" s="66">
        <f t="shared" ref="G1036" ca="1" si="2115">VLOOKUP(INDIRECT(CHAR(39)&amp;$A1036&amp;CHAR(39)&amp;"!r2c"&amp;$C1036,0),variables,2,0)</f>
        <v>10992</v>
      </c>
      <c r="H1036" s="71" t="str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State Employees: 83.3%; Teachers: 76%</v>
      </c>
    </row>
    <row r="1037" spans="1:8" x14ac:dyDescent="0.2">
      <c r="A1037" s="66" t="s">
        <v>1045</v>
      </c>
      <c r="B1037" s="66">
        <f t="shared" si="1998"/>
        <v>9</v>
      </c>
      <c r="C1037" s="66">
        <f t="shared" si="2039"/>
        <v>61</v>
      </c>
      <c r="E1037" s="66">
        <f t="shared" ref="E1037" si="2116">plan_id</f>
        <v>1952</v>
      </c>
      <c r="F1037" s="66">
        <f t="shared" ca="1" si="1895"/>
        <v>2006</v>
      </c>
      <c r="G1037" s="66">
        <f t="shared" ref="G1037" ca="1" si="2117">VLOOKUP(INDIRECT(CHAR(39)&amp;$A1037&amp;CHAR(39)&amp;"!r2c"&amp;$C1037,0),variables,2,0)</f>
        <v>10993</v>
      </c>
      <c r="H1037" s="71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9496707000</v>
      </c>
    </row>
    <row r="1038" spans="1:8" x14ac:dyDescent="0.2">
      <c r="A1038" s="66" t="s">
        <v>1045</v>
      </c>
      <c r="B1038" s="66">
        <f t="shared" si="1998"/>
        <v>9</v>
      </c>
      <c r="C1038" s="66">
        <f t="shared" si="2039"/>
        <v>62</v>
      </c>
      <c r="E1038" s="66">
        <f t="shared" ref="E1038" si="2118">plan_id</f>
        <v>1952</v>
      </c>
      <c r="F1038" s="66">
        <f t="shared" ca="1" si="1895"/>
        <v>2006</v>
      </c>
      <c r="G1038" s="66">
        <f t="shared" ref="G1038" ca="1" si="2119">VLOOKUP(INDIRECT(CHAR(39)&amp;$A1038&amp;CHAR(39)&amp;"!r2c"&amp;$C1038,0),variables,2,0)</f>
        <v>10801</v>
      </c>
      <c r="H1038" s="71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66" t="s">
        <v>1045</v>
      </c>
      <c r="B1039" s="66">
        <f t="shared" si="1998"/>
        <v>9</v>
      </c>
      <c r="C1039" s="66">
        <f t="shared" si="2039"/>
        <v>63</v>
      </c>
      <c r="E1039" s="66">
        <f t="shared" ref="E1039" si="2120">plan_id</f>
        <v>1952</v>
      </c>
      <c r="F1039" s="66">
        <f t="shared" ca="1" si="1895"/>
        <v>2006</v>
      </c>
      <c r="G1039" s="66">
        <f t="shared" ref="G1039" ca="1" si="2121">VLOOKUP(INDIRECT(CHAR(39)&amp;$A1039&amp;CHAR(39)&amp;"!r2c"&amp;$C1039,0),variables,2,0)</f>
        <v>10802</v>
      </c>
      <c r="H1039" s="7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66" t="s">
        <v>1045</v>
      </c>
      <c r="B1040" s="66">
        <f t="shared" si="1998"/>
        <v>9</v>
      </c>
      <c r="C1040" s="66">
        <f t="shared" si="2039"/>
        <v>64</v>
      </c>
      <c r="E1040" s="66">
        <f t="shared" ref="E1040" si="2122">plan_id</f>
        <v>1952</v>
      </c>
      <c r="F1040" s="66">
        <f t="shared" ca="1" si="1895"/>
        <v>2006</v>
      </c>
      <c r="G1040" s="66">
        <f t="shared" ref="G1040" ca="1" si="2123">VLOOKUP(INDIRECT(CHAR(39)&amp;$A1040&amp;CHAR(39)&amp;"!r2c"&amp;$C1040,0),variables,2,0)</f>
        <v>10803</v>
      </c>
      <c r="H1040" s="71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66" t="s">
        <v>1045</v>
      </c>
      <c r="B1041" s="66">
        <f t="shared" si="1998"/>
        <v>9</v>
      </c>
      <c r="C1041" s="66">
        <f t="shared" si="2039"/>
        <v>65</v>
      </c>
      <c r="E1041" s="66">
        <f t="shared" ref="E1041" si="2124">plan_id</f>
        <v>1952</v>
      </c>
      <c r="F1041" s="66">
        <f t="shared" ca="1" si="1895"/>
        <v>2006</v>
      </c>
      <c r="G1041" s="66">
        <f t="shared" ref="G1041" ca="1" si="2125">VLOOKUP(INDIRECT(CHAR(39)&amp;$A1041&amp;CHAR(39)&amp;"!r2c"&amp;$C1041,0),variables,2,0)</f>
        <v>10804</v>
      </c>
      <c r="H1041" s="7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66" t="s">
        <v>1045</v>
      </c>
      <c r="B1042" s="66">
        <f t="shared" si="1998"/>
        <v>9</v>
      </c>
      <c r="C1042" s="66">
        <f t="shared" si="2039"/>
        <v>66</v>
      </c>
      <c r="E1042" s="66">
        <f t="shared" ref="E1042" si="2126">plan_id</f>
        <v>1952</v>
      </c>
      <c r="F1042" s="66">
        <f t="shared" ca="1" si="1895"/>
        <v>2006</v>
      </c>
      <c r="G1042" s="66">
        <f t="shared" ref="G1042" ca="1" si="2127">VLOOKUP(INDIRECT(CHAR(39)&amp;$A1042&amp;CHAR(39)&amp;"!r2c"&amp;$C1042,0),variables,2,0)</f>
        <v>10805</v>
      </c>
      <c r="H1042" s="7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66" t="s">
        <v>1045</v>
      </c>
      <c r="B1043" s="66">
        <f t="shared" ref="B1043" si="2128">B978+1</f>
        <v>9</v>
      </c>
      <c r="C1043" s="66">
        <f t="shared" si="2039"/>
        <v>67</v>
      </c>
      <c r="E1043" s="66">
        <f t="shared" ref="E1043" si="2129">plan_id</f>
        <v>1952</v>
      </c>
      <c r="F1043" s="66">
        <f t="shared" ca="1" si="1895"/>
        <v>2006</v>
      </c>
      <c r="G1043" s="66">
        <f t="shared" ref="G1043" ca="1" si="2130">VLOOKUP(INDIRECT(CHAR(39)&amp;$A1043&amp;CHAR(39)&amp;"!r2c"&amp;$C1043,0),variables,2,0)</f>
        <v>10806</v>
      </c>
      <c r="H1043" s="7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66" t="s">
        <v>1045</v>
      </c>
      <c r="B1044" s="66">
        <f>B1043</f>
        <v>9</v>
      </c>
      <c r="C1044" s="66">
        <f t="shared" si="2039"/>
        <v>68</v>
      </c>
      <c r="E1044" s="66">
        <f t="shared" ref="E1044" si="2131">plan_id</f>
        <v>1952</v>
      </c>
      <c r="F1044" s="66">
        <f t="shared" ca="1" si="1895"/>
        <v>2006</v>
      </c>
      <c r="G1044" s="66">
        <f t="shared" ref="G1044" ca="1" si="2132">VLOOKUP(INDIRECT(CHAR(39)&amp;$A1044&amp;CHAR(39)&amp;"!r2c"&amp;$C1044,0),variables,2,0)</f>
        <v>10807</v>
      </c>
      <c r="H1044" s="7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66" t="s">
        <v>1045</v>
      </c>
      <c r="B1045" s="66">
        <f t="shared" ref="B1045:B1069" si="2133">B1044</f>
        <v>9</v>
      </c>
      <c r="C1045" s="66">
        <f t="shared" si="2039"/>
        <v>69</v>
      </c>
      <c r="E1045" s="66">
        <f t="shared" ref="E1045" si="2134">plan_id</f>
        <v>1952</v>
      </c>
      <c r="F1045" s="66">
        <f t="shared" ca="1" si="1895"/>
        <v>2006</v>
      </c>
      <c r="G1045" s="66">
        <f t="shared" ref="G1045" ca="1" si="2135">VLOOKUP(INDIRECT(CHAR(39)&amp;$A1045&amp;CHAR(39)&amp;"!r2c"&amp;$C1045,0),variables,2,0)</f>
        <v>10808</v>
      </c>
      <c r="H1045" s="7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66" t="s">
        <v>1045</v>
      </c>
      <c r="B1046" s="66">
        <f t="shared" si="2133"/>
        <v>9</v>
      </c>
      <c r="C1046" s="66">
        <f t="shared" si="2039"/>
        <v>70</v>
      </c>
      <c r="E1046" s="66">
        <f t="shared" ref="E1046" si="2136">plan_id</f>
        <v>1952</v>
      </c>
      <c r="F1046" s="66">
        <f t="shared" ca="1" si="1895"/>
        <v>2006</v>
      </c>
      <c r="G1046" s="66">
        <f t="shared" ref="G1046" ca="1" si="2137">VLOOKUP(INDIRECT(CHAR(39)&amp;$A1046&amp;CHAR(39)&amp;"!r2c"&amp;$C1046,0),variables,2,0)</f>
        <v>10809</v>
      </c>
      <c r="H1046" s="7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66" t="s">
        <v>1045</v>
      </c>
      <c r="B1047" s="66">
        <f t="shared" si="2133"/>
        <v>9</v>
      </c>
      <c r="C1047" s="66">
        <f t="shared" si="2039"/>
        <v>71</v>
      </c>
      <c r="E1047" s="66">
        <f t="shared" ref="E1047" si="2138">plan_id</f>
        <v>1952</v>
      </c>
      <c r="F1047" s="66">
        <f t="shared" ca="1" si="1895"/>
        <v>2006</v>
      </c>
      <c r="G1047" s="66">
        <f t="shared" ref="G1047" ca="1" si="2139">VLOOKUP(INDIRECT(CHAR(39)&amp;$A1047&amp;CHAR(39)&amp;"!r2c"&amp;$C1047,0),variables,2,0)</f>
        <v>10810</v>
      </c>
      <c r="H1047" s="71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66" t="s">
        <v>1045</v>
      </c>
      <c r="B1048" s="66">
        <f t="shared" si="2133"/>
        <v>9</v>
      </c>
      <c r="C1048" s="66">
        <f t="shared" si="2039"/>
        <v>72</v>
      </c>
      <c r="E1048" s="66">
        <f t="shared" ref="E1048" si="2140">plan_id</f>
        <v>1952</v>
      </c>
      <c r="F1048" s="66">
        <f t="shared" ca="1" si="1895"/>
        <v>2006</v>
      </c>
      <c r="G1048" s="66">
        <f t="shared" ref="G1048" ca="1" si="2141">VLOOKUP(INDIRECT(CHAR(39)&amp;$A1048&amp;CHAR(39)&amp;"!r2c"&amp;$C1048,0),variables,2,0)</f>
        <v>10811</v>
      </c>
      <c r="H1048" s="7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66" t="s">
        <v>1045</v>
      </c>
      <c r="B1049" s="66">
        <f t="shared" si="2133"/>
        <v>9</v>
      </c>
      <c r="C1049" s="66">
        <f t="shared" si="2039"/>
        <v>73</v>
      </c>
      <c r="E1049" s="66">
        <f t="shared" ref="E1049" si="2142">plan_id</f>
        <v>1952</v>
      </c>
      <c r="F1049" s="66">
        <f t="shared" ca="1" si="1895"/>
        <v>2006</v>
      </c>
      <c r="G1049" s="66">
        <f t="shared" ref="G1049" ca="1" si="2143">VLOOKUP(INDIRECT(CHAR(39)&amp;$A1049&amp;CHAR(39)&amp;"!r2c"&amp;$C1049,0),variables,2,0)</f>
        <v>10812</v>
      </c>
      <c r="H1049" s="7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66" t="s">
        <v>1045</v>
      </c>
      <c r="B1050" s="66">
        <f t="shared" si="2133"/>
        <v>9</v>
      </c>
      <c r="C1050" s="66">
        <f t="shared" si="2039"/>
        <v>74</v>
      </c>
      <c r="E1050" s="66">
        <f t="shared" ref="E1050" si="2144">plan_id</f>
        <v>1952</v>
      </c>
      <c r="F1050" s="66">
        <f t="shared" ca="1" si="1895"/>
        <v>2006</v>
      </c>
      <c r="G1050" s="66">
        <f t="shared" ref="G1050" ca="1" si="2145">VLOOKUP(INDIRECT(CHAR(39)&amp;$A1050&amp;CHAR(39)&amp;"!r2c"&amp;$C1050,0),variables,2,0)</f>
        <v>10813</v>
      </c>
      <c r="H1050" s="71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66" t="s">
        <v>1045</v>
      </c>
      <c r="B1051" s="66">
        <f t="shared" si="2133"/>
        <v>9</v>
      </c>
      <c r="C1051" s="66">
        <f t="shared" si="2039"/>
        <v>75</v>
      </c>
      <c r="E1051" s="66">
        <f t="shared" ref="E1051" si="2146">plan_id</f>
        <v>1952</v>
      </c>
      <c r="F1051" s="66">
        <f t="shared" ref="F1051:F1143" ca="1" si="2147">INDIRECT(CHAR(39)&amp;$A1051&amp;CHAR(39)&amp;"!r"&amp;$B1051&amp;"c2",0)</f>
        <v>2006</v>
      </c>
      <c r="G1051" s="66">
        <f t="shared" ref="G1051" ca="1" si="2148">VLOOKUP(INDIRECT(CHAR(39)&amp;$A1051&amp;CHAR(39)&amp;"!r2c"&amp;$C1051,0),variables,2,0)</f>
        <v>10814</v>
      </c>
      <c r="H1051" s="71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66" t="s">
        <v>1045</v>
      </c>
      <c r="B1052" s="66">
        <f t="shared" si="2133"/>
        <v>9</v>
      </c>
      <c r="C1052" s="66">
        <f t="shared" si="2039"/>
        <v>76</v>
      </c>
      <c r="E1052" s="66">
        <f t="shared" ref="E1052" si="2149">plan_id</f>
        <v>1952</v>
      </c>
      <c r="F1052" s="66">
        <f t="shared" ca="1" si="2147"/>
        <v>2006</v>
      </c>
      <c r="G1052" s="66">
        <f t="shared" ref="G1052" ca="1" si="2150">VLOOKUP(INDIRECT(CHAR(39)&amp;$A1052&amp;CHAR(39)&amp;"!r2c"&amp;$C1052,0),variables,2,0)</f>
        <v>10815</v>
      </c>
      <c r="H1052" s="71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66" t="s">
        <v>1045</v>
      </c>
      <c r="B1053" s="66">
        <f t="shared" si="2133"/>
        <v>9</v>
      </c>
      <c r="C1053" s="66">
        <f t="shared" si="2039"/>
        <v>77</v>
      </c>
      <c r="E1053" s="66">
        <f t="shared" ref="E1053" si="2151">plan_id</f>
        <v>1952</v>
      </c>
      <c r="F1053" s="66">
        <f t="shared" ca="1" si="2147"/>
        <v>2006</v>
      </c>
      <c r="G1053" s="66">
        <f t="shared" ref="G1053" ca="1" si="2152">VLOOKUP(INDIRECT(CHAR(39)&amp;$A1053&amp;CHAR(39)&amp;"!r2c"&amp;$C1053,0),variables,2,0)</f>
        <v>10816</v>
      </c>
      <c r="H1053" s="7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66" t="s">
        <v>1045</v>
      </c>
      <c r="B1054" s="66">
        <f t="shared" si="2133"/>
        <v>9</v>
      </c>
      <c r="C1054" s="66">
        <f t="shared" si="2039"/>
        <v>78</v>
      </c>
      <c r="E1054" s="66">
        <f t="shared" ref="E1054" si="2153">plan_id</f>
        <v>1952</v>
      </c>
      <c r="F1054" s="66">
        <f t="shared" ca="1" si="2147"/>
        <v>2006</v>
      </c>
      <c r="G1054" s="66">
        <f t="shared" ref="G1054" ca="1" si="2154">VLOOKUP(INDIRECT(CHAR(39)&amp;$A1054&amp;CHAR(39)&amp;"!r2c"&amp;$C1054,0),variables,2,0)</f>
        <v>10817</v>
      </c>
      <c r="H1054" s="7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66" t="s">
        <v>1045</v>
      </c>
      <c r="B1055" s="66">
        <f t="shared" si="2133"/>
        <v>9</v>
      </c>
      <c r="C1055" s="66">
        <f t="shared" si="2039"/>
        <v>79</v>
      </c>
      <c r="E1055" s="66">
        <f t="shared" ref="E1055" si="2155">plan_id</f>
        <v>1952</v>
      </c>
      <c r="F1055" s="66">
        <f t="shared" ca="1" si="2147"/>
        <v>2006</v>
      </c>
      <c r="G1055" s="66">
        <f t="shared" ref="G1055" ca="1" si="2156">VLOOKUP(INDIRECT(CHAR(39)&amp;$A1055&amp;CHAR(39)&amp;"!r2c"&amp;$C1055,0),variables,2,0)</f>
        <v>10818</v>
      </c>
      <c r="H1055" s="71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66" t="s">
        <v>1045</v>
      </c>
      <c r="B1056" s="66">
        <f t="shared" si="2133"/>
        <v>9</v>
      </c>
      <c r="C1056" s="66">
        <f t="shared" si="2039"/>
        <v>80</v>
      </c>
      <c r="E1056" s="66">
        <f t="shared" ref="E1056" si="2157">plan_id</f>
        <v>1952</v>
      </c>
      <c r="F1056" s="66">
        <f t="shared" ca="1" si="2147"/>
        <v>2006</v>
      </c>
      <c r="G1056" s="66">
        <f t="shared" ref="G1056" ca="1" si="2158">VLOOKUP(INDIRECT(CHAR(39)&amp;$A1056&amp;CHAR(39)&amp;"!r2c"&amp;$C1056,0),variables,2,0)</f>
        <v>10819</v>
      </c>
      <c r="H1056" s="71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66" t="s">
        <v>1045</v>
      </c>
      <c r="B1057" s="66">
        <f t="shared" si="2133"/>
        <v>9</v>
      </c>
      <c r="C1057" s="66">
        <f t="shared" si="2039"/>
        <v>81</v>
      </c>
      <c r="E1057" s="66">
        <f t="shared" ref="E1057" si="2159">plan_id</f>
        <v>1952</v>
      </c>
      <c r="F1057" s="66">
        <f t="shared" ca="1" si="2147"/>
        <v>2006</v>
      </c>
      <c r="G1057" s="66">
        <f t="shared" ref="G1057" ca="1" si="2160">VLOOKUP(INDIRECT(CHAR(39)&amp;$A1057&amp;CHAR(39)&amp;"!r2c"&amp;$C1057,0),variables,2,0)</f>
        <v>10820</v>
      </c>
      <c r="H1057" s="71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66" t="s">
        <v>1045</v>
      </c>
      <c r="B1058" s="66">
        <f t="shared" si="2133"/>
        <v>9</v>
      </c>
      <c r="C1058" s="66">
        <f t="shared" si="2039"/>
        <v>82</v>
      </c>
      <c r="E1058" s="66">
        <f t="shared" ref="E1058" si="2161">plan_id</f>
        <v>1952</v>
      </c>
      <c r="F1058" s="66">
        <f t="shared" ca="1" si="2147"/>
        <v>2006</v>
      </c>
      <c r="G1058" s="66">
        <f t="shared" ref="G1058" ca="1" si="2162">VLOOKUP(INDIRECT(CHAR(39)&amp;$A1058&amp;CHAR(39)&amp;"!r2c"&amp;$C1058,0),variables,2,0)</f>
        <v>10821</v>
      </c>
      <c r="H1058" s="71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66" t="s">
        <v>1045</v>
      </c>
      <c r="B1059" s="66">
        <f t="shared" si="2133"/>
        <v>9</v>
      </c>
      <c r="C1059" s="66">
        <f t="shared" si="2039"/>
        <v>83</v>
      </c>
      <c r="E1059" s="66">
        <f t="shared" ref="E1059" si="2163">plan_id</f>
        <v>1952</v>
      </c>
      <c r="F1059" s="66">
        <f t="shared" ca="1" si="2147"/>
        <v>2006</v>
      </c>
      <c r="G1059" s="66">
        <f t="shared" ref="G1059" ca="1" si="2164">VLOOKUP(INDIRECT(CHAR(39)&amp;$A1059&amp;CHAR(39)&amp;"!r2c"&amp;$C1059,0),variables,2,0)</f>
        <v>10822</v>
      </c>
      <c r="H1059" s="71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66" t="s">
        <v>1045</v>
      </c>
      <c r="B1060" s="66">
        <f t="shared" si="2133"/>
        <v>9</v>
      </c>
      <c r="C1060" s="66">
        <f t="shared" si="2039"/>
        <v>84</v>
      </c>
      <c r="E1060" s="66">
        <f t="shared" ref="E1060" si="2165">plan_id</f>
        <v>1952</v>
      </c>
      <c r="F1060" s="66">
        <f t="shared" ca="1" si="2147"/>
        <v>2006</v>
      </c>
      <c r="G1060" s="66">
        <f t="shared" ref="G1060" ca="1" si="2166">VLOOKUP(INDIRECT(CHAR(39)&amp;$A1060&amp;CHAR(39)&amp;"!r2c"&amp;$C1060,0),variables,2,0)</f>
        <v>10829</v>
      </c>
      <c r="H1060" s="71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66" t="s">
        <v>1045</v>
      </c>
      <c r="B1061" s="66">
        <f t="shared" si="2133"/>
        <v>9</v>
      </c>
      <c r="C1061" s="66">
        <f t="shared" si="2039"/>
        <v>85</v>
      </c>
      <c r="E1061" s="66">
        <f t="shared" ref="E1061" si="2167">plan_id</f>
        <v>1952</v>
      </c>
      <c r="F1061" s="66">
        <f t="shared" ca="1" si="2147"/>
        <v>2006</v>
      </c>
      <c r="G1061" s="66">
        <f t="shared" ref="G1061" ca="1" si="2168">VLOOKUP(INDIRECT(CHAR(39)&amp;$A1061&amp;CHAR(39)&amp;"!r2c"&amp;$C1061,0),variables,2,0)</f>
        <v>10823</v>
      </c>
      <c r="H1061" s="71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66" t="s">
        <v>1045</v>
      </c>
      <c r="B1062" s="66">
        <f t="shared" si="2133"/>
        <v>9</v>
      </c>
      <c r="C1062" s="66">
        <f t="shared" si="2039"/>
        <v>86</v>
      </c>
      <c r="E1062" s="66">
        <f t="shared" ref="E1062" si="2169">plan_id</f>
        <v>1952</v>
      </c>
      <c r="F1062" s="66">
        <f t="shared" ca="1" si="2147"/>
        <v>2006</v>
      </c>
      <c r="G1062" s="66">
        <f t="shared" ref="G1062" ca="1" si="2170">VLOOKUP(INDIRECT(CHAR(39)&amp;$A1062&amp;CHAR(39)&amp;"!r2c"&amp;$C1062,0),variables,2,0)</f>
        <v>10798</v>
      </c>
      <c r="H1062" s="71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66" t="s">
        <v>1045</v>
      </c>
      <c r="B1063" s="66">
        <f t="shared" si="2133"/>
        <v>9</v>
      </c>
      <c r="C1063" s="66">
        <f t="shared" ref="C1063:C1126" si="2171">C972</f>
        <v>87</v>
      </c>
      <c r="E1063" s="66">
        <f t="shared" ref="E1063" si="2172">plan_id</f>
        <v>1952</v>
      </c>
      <c r="F1063" s="66">
        <f t="shared" ca="1" si="2147"/>
        <v>2006</v>
      </c>
      <c r="G1063" s="66">
        <f t="shared" ref="G1063" ca="1" si="2173">VLOOKUP(INDIRECT(CHAR(39)&amp;$A1063&amp;CHAR(39)&amp;"!r2c"&amp;$C1063,0),variables,2,0)</f>
        <v>10799</v>
      </c>
      <c r="H1063" s="7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66" t="s">
        <v>1045</v>
      </c>
      <c r="B1064" s="66">
        <f t="shared" si="2133"/>
        <v>9</v>
      </c>
      <c r="C1064" s="66">
        <f t="shared" si="2171"/>
        <v>88</v>
      </c>
      <c r="E1064" s="66">
        <f t="shared" ref="E1064" si="2174">plan_id</f>
        <v>1952</v>
      </c>
      <c r="F1064" s="66">
        <f t="shared" ca="1" si="2147"/>
        <v>2006</v>
      </c>
      <c r="G1064" s="66">
        <f t="shared" ref="G1064" ca="1" si="2175">VLOOKUP(INDIRECT(CHAR(39)&amp;$A1064&amp;CHAR(39)&amp;"!r2c"&amp;$C1064,0),variables,2,0)</f>
        <v>10800</v>
      </c>
      <c r="H1064" s="7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66" t="s">
        <v>1045</v>
      </c>
      <c r="B1065" s="66">
        <f t="shared" si="2133"/>
        <v>9</v>
      </c>
      <c r="C1065" s="66">
        <f t="shared" si="2171"/>
        <v>89</v>
      </c>
      <c r="E1065" s="66">
        <f t="shared" ref="E1065" si="2176">plan_id</f>
        <v>1952</v>
      </c>
      <c r="F1065" s="66">
        <f t="shared" ca="1" si="2147"/>
        <v>2006</v>
      </c>
      <c r="G1065" s="66">
        <f t="shared" ref="G1065" ca="1" si="2177">VLOOKUP(INDIRECT(CHAR(39)&amp;$A1065&amp;CHAR(39)&amp;"!r2c"&amp;$C1065,0),variables,2,0)</f>
        <v>10824</v>
      </c>
      <c r="H1065" s="7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66" t="s">
        <v>1045</v>
      </c>
      <c r="B1066" s="66">
        <f t="shared" si="2133"/>
        <v>9</v>
      </c>
      <c r="C1066" s="66">
        <f t="shared" si="2171"/>
        <v>90</v>
      </c>
      <c r="E1066" s="66">
        <f t="shared" ref="E1066" si="2178">plan_id</f>
        <v>1952</v>
      </c>
      <c r="F1066" s="66">
        <f t="shared" ca="1" si="2147"/>
        <v>2006</v>
      </c>
      <c r="G1066" s="66">
        <f t="shared" ref="G1066" ca="1" si="2179">VLOOKUP(INDIRECT(CHAR(39)&amp;$A1066&amp;CHAR(39)&amp;"!r2c"&amp;$C1066,0),variables,2,0)</f>
        <v>10825</v>
      </c>
      <c r="H1066" s="7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66" t="s">
        <v>1045</v>
      </c>
      <c r="B1067" s="66">
        <f t="shared" si="2133"/>
        <v>9</v>
      </c>
      <c r="C1067" s="66">
        <f t="shared" si="2171"/>
        <v>91</v>
      </c>
      <c r="E1067" s="66">
        <f t="shared" ref="E1067" si="2180">plan_id</f>
        <v>1952</v>
      </c>
      <c r="F1067" s="66">
        <f t="shared" ca="1" si="2147"/>
        <v>2006</v>
      </c>
      <c r="G1067" s="66">
        <f t="shared" ref="G1067" ca="1" si="2181">VLOOKUP(INDIRECT(CHAR(39)&amp;$A1067&amp;CHAR(39)&amp;"!r2c"&amp;$C1067,0),variables,2,0)</f>
        <v>10826</v>
      </c>
      <c r="H1067" s="71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66" t="s">
        <v>1045</v>
      </c>
      <c r="B1068" s="66">
        <f t="shared" si="2133"/>
        <v>9</v>
      </c>
      <c r="C1068" s="66">
        <f t="shared" si="2171"/>
        <v>92</v>
      </c>
      <c r="E1068" s="66">
        <f t="shared" ref="E1068" si="2182">plan_id</f>
        <v>1952</v>
      </c>
      <c r="F1068" s="66">
        <f t="shared" ca="1" si="2147"/>
        <v>2006</v>
      </c>
      <c r="G1068" s="66">
        <f t="shared" ref="G1068" ca="1" si="2183">VLOOKUP(INDIRECT(CHAR(39)&amp;$A1068&amp;CHAR(39)&amp;"!r2c"&amp;$C1068,0),variables,2,0)</f>
        <v>10828</v>
      </c>
      <c r="H1068" s="71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66" t="s">
        <v>1045</v>
      </c>
      <c r="B1069" s="66">
        <f t="shared" si="2133"/>
        <v>9</v>
      </c>
      <c r="C1069" s="66">
        <f t="shared" si="2171"/>
        <v>93</v>
      </c>
      <c r="E1069" s="66">
        <f t="shared" ref="E1069" si="2184">plan_id</f>
        <v>1952</v>
      </c>
      <c r="F1069" s="66">
        <f t="shared" ca="1" si="2147"/>
        <v>2006</v>
      </c>
      <c r="G1069" s="66">
        <f t="shared" ref="G1069" ca="1" si="2185">VLOOKUP(INDIRECT(CHAR(39)&amp;$A1069&amp;CHAR(39)&amp;"!r2c"&amp;$C1069,0),variables,2,0)</f>
        <v>10827</v>
      </c>
      <c r="H1069" s="71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66" t="s">
        <v>1045</v>
      </c>
      <c r="B1070" s="66">
        <f t="shared" ref="B1070:B1133" si="2186">B1005+1</f>
        <v>10</v>
      </c>
      <c r="C1070" s="66">
        <f t="shared" si="2171"/>
        <v>3</v>
      </c>
      <c r="E1070" s="66">
        <f t="shared" ref="E1070" si="2187">plan_id</f>
        <v>1952</v>
      </c>
      <c r="F1070" s="66">
        <f t="shared" ca="1" si="2147"/>
        <v>2007</v>
      </c>
      <c r="G1070" s="66">
        <f t="shared" ref="G1070" ca="1" si="2188">VLOOKUP(INDIRECT(CHAR(39)&amp;$A1070&amp;CHAR(39)&amp;"!r2c"&amp;$C1070,0),variables,2,0)</f>
        <v>10703</v>
      </c>
      <c r="H1070" s="71" t="str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 &amp; 2010</v>
      </c>
    </row>
    <row r="1071" spans="1:8" x14ac:dyDescent="0.2">
      <c r="A1071" s="66" t="s">
        <v>1045</v>
      </c>
      <c r="B1071" s="66">
        <f t="shared" si="2186"/>
        <v>10</v>
      </c>
      <c r="C1071" s="66">
        <f t="shared" si="2171"/>
        <v>4</v>
      </c>
      <c r="E1071" s="66">
        <f t="shared" ref="E1071" si="2189">plan_id</f>
        <v>1952</v>
      </c>
      <c r="F1071" s="66">
        <f t="shared" ca="1" si="2147"/>
        <v>2007</v>
      </c>
      <c r="G1071" s="66">
        <f t="shared" ref="G1071" ca="1" si="2190">VLOOKUP(INDIRECT(CHAR(39)&amp;$A1071&amp;CHAR(39)&amp;"!r2c"&amp;$C1071,0),variables,2,0)</f>
        <v>10845</v>
      </c>
      <c r="H1071" s="71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WACHOVIA</v>
      </c>
    </row>
    <row r="1072" spans="1:8" x14ac:dyDescent="0.2">
      <c r="A1072" s="66" t="s">
        <v>1045</v>
      </c>
      <c r="B1072" s="66">
        <f t="shared" si="2186"/>
        <v>10</v>
      </c>
      <c r="C1072" s="66">
        <f t="shared" si="2171"/>
        <v>5</v>
      </c>
      <c r="E1072" s="66">
        <f t="shared" ref="E1072" si="2191">plan_id</f>
        <v>1952</v>
      </c>
      <c r="F1072" s="66">
        <f t="shared" ca="1" si="2147"/>
        <v>2007</v>
      </c>
      <c r="G1072" s="66">
        <f t="shared" ref="G1072" ca="1" si="2192">VLOOKUP(INDIRECT(CHAR(39)&amp;$A1072&amp;CHAR(39)&amp;"!r2c"&amp;$C1072,0),variables,2,0)</f>
        <v>10924</v>
      </c>
      <c r="H1072" s="71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(i)7.93%; (ii)9.71%</v>
      </c>
    </row>
    <row r="1073" spans="1:8" x14ac:dyDescent="0.2">
      <c r="A1073" s="66" t="s">
        <v>1045</v>
      </c>
      <c r="B1073" s="66">
        <f t="shared" si="2186"/>
        <v>10</v>
      </c>
      <c r="C1073" s="66">
        <f t="shared" si="2171"/>
        <v>6</v>
      </c>
      <c r="E1073" s="66">
        <f t="shared" ref="E1073" si="2193">plan_id</f>
        <v>1952</v>
      </c>
      <c r="F1073" s="66">
        <f t="shared" ca="1" si="2147"/>
        <v>2007</v>
      </c>
      <c r="G1073" s="66">
        <f t="shared" ref="G1073" ca="1" si="2194">VLOOKUP(INDIRECT(CHAR(39)&amp;$A1073&amp;CHAR(39)&amp;"!r2c"&amp;$C1073,0),variables,2,0)</f>
        <v>10925</v>
      </c>
      <c r="H1073" s="71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(i)2.93%; (ii)4.71%</v>
      </c>
    </row>
    <row r="1074" spans="1:8" x14ac:dyDescent="0.2">
      <c r="A1074" s="66" t="s">
        <v>1045</v>
      </c>
      <c r="B1074" s="66">
        <f t="shared" si="2186"/>
        <v>10</v>
      </c>
      <c r="C1074" s="66">
        <f t="shared" si="2171"/>
        <v>7</v>
      </c>
      <c r="E1074" s="66">
        <f t="shared" ref="E1074" si="2195">plan_id</f>
        <v>1952</v>
      </c>
      <c r="F1074" s="66">
        <f t="shared" ca="1" si="2147"/>
        <v>2007</v>
      </c>
      <c r="G1074" s="66">
        <f t="shared" ref="G1074" ca="1" si="2196">VLOOKUP(INDIRECT(CHAR(39)&amp;$A1074&amp;CHAR(39)&amp;"!r2c"&amp;$C1074,0),variables,2,0)</f>
        <v>10926</v>
      </c>
      <c r="H1074" s="71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(i)5%; (ii)5%</v>
      </c>
    </row>
    <row r="1075" spans="1:8" x14ac:dyDescent="0.2">
      <c r="A1075" s="66" t="s">
        <v>1045</v>
      </c>
      <c r="B1075" s="66">
        <f t="shared" si="2186"/>
        <v>10</v>
      </c>
      <c r="C1075" s="66">
        <f t="shared" si="2171"/>
        <v>8</v>
      </c>
      <c r="E1075" s="66">
        <f t="shared" ref="E1075" si="2197">plan_id</f>
        <v>1952</v>
      </c>
      <c r="F1075" s="66">
        <f t="shared" ca="1" si="2147"/>
        <v>2007</v>
      </c>
      <c r="G1075" s="66">
        <f t="shared" ref="G1075" ca="1" si="2198">VLOOKUP(INDIRECT(CHAR(39)&amp;$A1075&amp;CHAR(39)&amp;"!r2c"&amp;$C1075,0),variables,2,0)</f>
        <v>10704</v>
      </c>
      <c r="H1075" s="71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2">
      <c r="A1076" s="66" t="s">
        <v>1045</v>
      </c>
      <c r="B1076" s="66">
        <f t="shared" si="2186"/>
        <v>10</v>
      </c>
      <c r="C1076" s="66">
        <f t="shared" si="2171"/>
        <v>9</v>
      </c>
      <c r="E1076" s="66">
        <f t="shared" ref="E1076" si="2199">plan_id</f>
        <v>1952</v>
      </c>
      <c r="F1076" s="66">
        <f t="shared" ca="1" si="2147"/>
        <v>2007</v>
      </c>
      <c r="G1076" s="66">
        <f t="shared" ref="G1076" ca="1" si="2200">VLOOKUP(INDIRECT(CHAR(39)&amp;$A1076&amp;CHAR(39)&amp;"!r2c"&amp;$C1076,0),variables,2,0)</f>
        <v>10928</v>
      </c>
      <c r="H1076" s="71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(i)5.09%; (ii)7.13%</v>
      </c>
    </row>
    <row r="1077" spans="1:8" x14ac:dyDescent="0.2">
      <c r="A1077" s="66" t="s">
        <v>1045</v>
      </c>
      <c r="B1077" s="66">
        <f t="shared" si="2186"/>
        <v>10</v>
      </c>
      <c r="C1077" s="66">
        <f t="shared" si="2171"/>
        <v>10</v>
      </c>
      <c r="E1077" s="66">
        <f t="shared" ref="E1077" si="2201">plan_id</f>
        <v>1952</v>
      </c>
      <c r="F1077" s="66">
        <f t="shared" ca="1" si="2147"/>
        <v>2007</v>
      </c>
      <c r="G1077" s="66">
        <f t="shared" ref="G1077" ca="1" si="2202">VLOOKUP(INDIRECT(CHAR(39)&amp;$A1077&amp;CHAR(39)&amp;"!r2c"&amp;$C1077,0),variables,2,0)</f>
        <v>10929</v>
      </c>
      <c r="H1077" s="71" t="str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(i)5.09%; (ii)7.13%</v>
      </c>
    </row>
    <row r="1078" spans="1:8" x14ac:dyDescent="0.2">
      <c r="A1078" s="66" t="s">
        <v>1045</v>
      </c>
      <c r="B1078" s="66">
        <f t="shared" si="2186"/>
        <v>10</v>
      </c>
      <c r="C1078" s="66">
        <f t="shared" si="2171"/>
        <v>11</v>
      </c>
      <c r="E1078" s="66">
        <f t="shared" ref="E1078" si="2203">plan_id</f>
        <v>1952</v>
      </c>
      <c r="F1078" s="66">
        <f t="shared" ca="1" si="2147"/>
        <v>2007</v>
      </c>
      <c r="G1078" s="66">
        <f t="shared" ref="G1078" ca="1" si="2204">VLOOKUP(INDIRECT(CHAR(39)&amp;$A1078&amp;CHAR(39)&amp;"!r2c"&amp;$C1078,0),variables,2,0)</f>
        <v>10930</v>
      </c>
      <c r="H1078" s="71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66" t="s">
        <v>1045</v>
      </c>
      <c r="B1079" s="66">
        <f t="shared" si="2186"/>
        <v>10</v>
      </c>
      <c r="C1079" s="66">
        <f t="shared" si="2171"/>
        <v>12</v>
      </c>
      <c r="E1079" s="66">
        <f t="shared" ref="E1079" si="2205">plan_id</f>
        <v>1952</v>
      </c>
      <c r="F1079" s="66">
        <f t="shared" ca="1" si="2147"/>
        <v>2007</v>
      </c>
      <c r="G1079" s="66">
        <f t="shared" ref="G1079" ca="1" si="2206">VLOOKUP(INDIRECT(CHAR(39)&amp;$A1079&amp;CHAR(39)&amp;"!r2c"&amp;$C1079,0),variables,2,0)</f>
        <v>10705</v>
      </c>
      <c r="H1079" s="7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517959000</v>
      </c>
    </row>
    <row r="1080" spans="1:8" x14ac:dyDescent="0.2">
      <c r="A1080" s="66" t="s">
        <v>1045</v>
      </c>
      <c r="B1080" s="66">
        <f t="shared" si="2186"/>
        <v>10</v>
      </c>
      <c r="C1080" s="66">
        <f t="shared" si="2171"/>
        <v>13</v>
      </c>
      <c r="E1080" s="66">
        <f t="shared" ref="E1080" si="2207">plan_id</f>
        <v>1952</v>
      </c>
      <c r="F1080" s="66">
        <f t="shared" ca="1" si="2147"/>
        <v>2007</v>
      </c>
      <c r="G1080" s="66">
        <f t="shared" ref="G1080" ca="1" si="2208">VLOOKUP(INDIRECT(CHAR(39)&amp;$A1080&amp;CHAR(39)&amp;"!r2c"&amp;$C1080,0),variables,2,0)</f>
        <v>10842</v>
      </c>
      <c r="H1080" s="71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66" t="s">
        <v>1045</v>
      </c>
      <c r="B1081" s="66">
        <f t="shared" si="2186"/>
        <v>10</v>
      </c>
      <c r="C1081" s="66">
        <f t="shared" si="2171"/>
        <v>14</v>
      </c>
      <c r="E1081" s="66">
        <f t="shared" ref="E1081" si="2209">plan_id</f>
        <v>1952</v>
      </c>
      <c r="F1081" s="66">
        <f t="shared" ca="1" si="2147"/>
        <v>2007</v>
      </c>
      <c r="G1081" s="66">
        <f t="shared" ref="G1081" ca="1" si="2210">VLOOKUP(INDIRECT(CHAR(39)&amp;$A1081&amp;CHAR(39)&amp;"!r2c"&amp;$C1081,0),variables,2,0)</f>
        <v>10843</v>
      </c>
      <c r="H1081" s="71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66" t="s">
        <v>1045</v>
      </c>
      <c r="B1082" s="66">
        <f t="shared" si="2186"/>
        <v>10</v>
      </c>
      <c r="C1082" s="66">
        <f t="shared" si="2171"/>
        <v>15</v>
      </c>
      <c r="E1082" s="66">
        <f t="shared" ref="E1082" si="2211">plan_id</f>
        <v>1952</v>
      </c>
      <c r="F1082" s="66">
        <f t="shared" ca="1" si="2147"/>
        <v>2007</v>
      </c>
      <c r="G1082" s="66">
        <f t="shared" ref="G1082" ca="1" si="2212">VLOOKUP(INDIRECT(CHAR(39)&amp;$A1082&amp;CHAR(39)&amp;"!r2c"&amp;$C1082,0),variables,2,0)</f>
        <v>10931</v>
      </c>
      <c r="H1082" s="7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66" t="s">
        <v>1045</v>
      </c>
      <c r="B1083" s="66">
        <f t="shared" si="2186"/>
        <v>10</v>
      </c>
      <c r="C1083" s="66">
        <f t="shared" si="2171"/>
        <v>16</v>
      </c>
      <c r="E1083" s="66">
        <f t="shared" ref="E1083" si="2213">plan_id</f>
        <v>1952</v>
      </c>
      <c r="F1083" s="66">
        <f t="shared" ca="1" si="2147"/>
        <v>2007</v>
      </c>
      <c r="G1083" s="66">
        <f t="shared" ref="G1083" ca="1" si="2214">VLOOKUP(INDIRECT(CHAR(39)&amp;$A1083&amp;CHAR(39)&amp;"!r2c"&amp;$C1083,0),variables,2,0)</f>
        <v>10932</v>
      </c>
      <c r="H1083" s="7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66" t="s">
        <v>1045</v>
      </c>
      <c r="B1084" s="66">
        <f t="shared" si="2186"/>
        <v>10</v>
      </c>
      <c r="C1084" s="66">
        <f t="shared" si="2171"/>
        <v>17</v>
      </c>
      <c r="E1084" s="66">
        <f t="shared" ref="E1084" si="2215">plan_id</f>
        <v>1952</v>
      </c>
      <c r="F1084" s="66">
        <f t="shared" ca="1" si="2147"/>
        <v>2007</v>
      </c>
      <c r="G1084" s="66">
        <f t="shared" ref="G1084" ca="1" si="2216">VLOOKUP(INDIRECT(CHAR(39)&amp;$A1084&amp;CHAR(39)&amp;"!r2c"&amp;$C1084,0),variables,2,0)</f>
        <v>10933</v>
      </c>
      <c r="H1084" s="71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(i)8.02%; (ii)11.84%</v>
      </c>
    </row>
    <row r="1085" spans="1:8" x14ac:dyDescent="0.2">
      <c r="A1085" s="66" t="s">
        <v>1045</v>
      </c>
      <c r="B1085" s="66">
        <f t="shared" si="2186"/>
        <v>10</v>
      </c>
      <c r="C1085" s="66">
        <f t="shared" si="2171"/>
        <v>18</v>
      </c>
      <c r="E1085" s="66">
        <f t="shared" ref="E1085" si="2217">plan_id</f>
        <v>1952</v>
      </c>
      <c r="F1085" s="66">
        <f t="shared" ca="1" si="2147"/>
        <v>2007</v>
      </c>
      <c r="G1085" s="66">
        <f t="shared" ref="G1085" ca="1" si="2218">VLOOKUP(INDIRECT(CHAR(39)&amp;$A1085&amp;CHAR(39)&amp;"!r2c"&amp;$C1085,0),variables,2,0)</f>
        <v>10934</v>
      </c>
      <c r="H1085" s="71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(i)5%; (ii)5%</v>
      </c>
    </row>
    <row r="1086" spans="1:8" x14ac:dyDescent="0.2">
      <c r="A1086" s="66" t="s">
        <v>1045</v>
      </c>
      <c r="B1086" s="66">
        <f t="shared" si="2186"/>
        <v>10</v>
      </c>
      <c r="C1086" s="66">
        <f t="shared" si="2171"/>
        <v>19</v>
      </c>
      <c r="E1086" s="66">
        <f t="shared" ref="E1086" si="2219">plan_id</f>
        <v>1952</v>
      </c>
      <c r="F1086" s="66">
        <f t="shared" ca="1" si="2147"/>
        <v>2007</v>
      </c>
      <c r="G1086" s="66">
        <f t="shared" ref="G1086" ca="1" si="2220">VLOOKUP(INDIRECT(CHAR(39)&amp;$A1086&amp;CHAR(39)&amp;"!r2c"&amp;$C1086,0),variables,2,0)</f>
        <v>10935</v>
      </c>
      <c r="H1086" s="71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</row>
    <row r="1087" spans="1:8" x14ac:dyDescent="0.2">
      <c r="A1087" s="66" t="s">
        <v>1045</v>
      </c>
      <c r="B1087" s="66">
        <f t="shared" si="2186"/>
        <v>10</v>
      </c>
      <c r="C1087" s="66">
        <f t="shared" si="2171"/>
        <v>20</v>
      </c>
      <c r="E1087" s="66">
        <f t="shared" ref="E1087" si="2221">plan_id</f>
        <v>1952</v>
      </c>
      <c r="F1087" s="66">
        <f t="shared" ca="1" si="2147"/>
        <v>2007</v>
      </c>
      <c r="G1087" s="66">
        <f t="shared" ref="G1087" ca="1" si="2222">VLOOKUP(INDIRECT(CHAR(39)&amp;$A1087&amp;CHAR(39)&amp;"!r2c"&amp;$C1087,0),variables,2,0)</f>
        <v>10937</v>
      </c>
      <c r="H1087" s="71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66" t="s">
        <v>1045</v>
      </c>
      <c r="B1088" s="66">
        <f t="shared" si="2186"/>
        <v>10</v>
      </c>
      <c r="C1088" s="66">
        <f t="shared" si="2171"/>
        <v>21</v>
      </c>
      <c r="E1088" s="66">
        <f t="shared" ref="E1088" si="2223">plan_id</f>
        <v>1952</v>
      </c>
      <c r="F1088" s="66">
        <f t="shared" ca="1" si="2147"/>
        <v>2007</v>
      </c>
      <c r="G1088" s="66">
        <f t="shared" ref="G1088" ca="1" si="2224">VLOOKUP(INDIRECT(CHAR(39)&amp;$A1088&amp;CHAR(39)&amp;"!r2c"&amp;$C1088,0),variables,2,0)</f>
        <v>10938</v>
      </c>
      <c r="H1088" s="7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66" t="s">
        <v>1045</v>
      </c>
      <c r="B1089" s="66">
        <f t="shared" si="2186"/>
        <v>10</v>
      </c>
      <c r="C1089" s="66">
        <f t="shared" si="2171"/>
        <v>22</v>
      </c>
      <c r="E1089" s="66">
        <f t="shared" ref="E1089" si="2225">plan_id</f>
        <v>1952</v>
      </c>
      <c r="F1089" s="66">
        <f t="shared" ca="1" si="2147"/>
        <v>2007</v>
      </c>
      <c r="G1089" s="66">
        <f t="shared" ref="G1089" ca="1" si="2226">VLOOKUP(INDIRECT(CHAR(39)&amp;$A1089&amp;CHAR(39)&amp;"!r2c"&amp;$C1089,0),variables,2,0)</f>
        <v>11007</v>
      </c>
      <c r="H1089" s="71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1.7% of AFC times years of service</v>
      </c>
    </row>
    <row r="1090" spans="1:8" x14ac:dyDescent="0.2">
      <c r="A1090" s="66" t="s">
        <v>1045</v>
      </c>
      <c r="B1090" s="66">
        <f t="shared" si="2186"/>
        <v>10</v>
      </c>
      <c r="C1090" s="66">
        <f t="shared" si="2171"/>
        <v>23</v>
      </c>
      <c r="E1090" s="66">
        <f t="shared" ref="E1090" si="2227">plan_id</f>
        <v>1952</v>
      </c>
      <c r="F1090" s="66">
        <f t="shared" ca="1" si="2147"/>
        <v>2007</v>
      </c>
      <c r="G1090" s="66">
        <f t="shared" ref="G1090" ca="1" si="2228">VLOOKUP(INDIRECT(CHAR(39)&amp;$A1090&amp;CHAR(39)&amp;"!r2c"&amp;$C1090,0),variables,2,0)</f>
        <v>10941</v>
      </c>
      <c r="H1090" s="71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66" t="s">
        <v>1045</v>
      </c>
      <c r="B1091" s="66">
        <f t="shared" si="2186"/>
        <v>10</v>
      </c>
      <c r="C1091" s="66">
        <f t="shared" si="2171"/>
        <v>24</v>
      </c>
      <c r="E1091" s="66">
        <f t="shared" ref="E1091" si="2229">plan_id</f>
        <v>1952</v>
      </c>
      <c r="F1091" s="66">
        <f t="shared" ca="1" si="2147"/>
        <v>2007</v>
      </c>
      <c r="G1091" s="66">
        <f t="shared" ref="G1091" ca="1" si="2230">VLOOKUP(INDIRECT(CHAR(39)&amp;$A1091&amp;CHAR(39)&amp;"!r2c"&amp;$C1091,0),variables,2,0)</f>
        <v>10942</v>
      </c>
      <c r="H1091" s="71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2">
      <c r="A1092" s="66" t="s">
        <v>1045</v>
      </c>
      <c r="B1092" s="66">
        <f t="shared" si="2186"/>
        <v>10</v>
      </c>
      <c r="C1092" s="66">
        <f t="shared" si="2171"/>
        <v>25</v>
      </c>
      <c r="E1092" s="66">
        <f t="shared" ref="E1092" si="2231">plan_id</f>
        <v>1952</v>
      </c>
      <c r="F1092" s="66">
        <f t="shared" ca="1" si="2147"/>
        <v>2007</v>
      </c>
      <c r="G1092" s="66">
        <f t="shared" ref="G1092" ca="1" si="2232">VLOOKUP(INDIRECT(CHAR(39)&amp;$A1092&amp;CHAR(39)&amp;"!r2c"&amp;$C1092,0),variables,2,0)</f>
        <v>10701</v>
      </c>
      <c r="H1092" s="71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2">
      <c r="A1093" s="66" t="s">
        <v>1045</v>
      </c>
      <c r="B1093" s="66">
        <f t="shared" si="2186"/>
        <v>10</v>
      </c>
      <c r="C1093" s="66">
        <f t="shared" si="2171"/>
        <v>26</v>
      </c>
      <c r="E1093" s="66">
        <f t="shared" ref="E1093" si="2233">plan_id</f>
        <v>1952</v>
      </c>
      <c r="F1093" s="66">
        <f t="shared" ca="1" si="2147"/>
        <v>2007</v>
      </c>
      <c r="G1093" s="66">
        <f t="shared" ref="G1093" ca="1" si="2234">VLOOKUP(INDIRECT(CHAR(39)&amp;$A1093&amp;CHAR(39)&amp;"!r2c"&amp;$C1093,0),variables,2,0)</f>
        <v>10702</v>
      </c>
      <c r="H1093" s="71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66" t="s">
        <v>1045</v>
      </c>
      <c r="B1094" s="66">
        <f t="shared" si="2186"/>
        <v>10</v>
      </c>
      <c r="C1094" s="66">
        <f t="shared" si="2171"/>
        <v>27</v>
      </c>
      <c r="E1094" s="66">
        <f t="shared" ref="E1094" si="2235">plan_id</f>
        <v>1952</v>
      </c>
      <c r="F1094" s="66">
        <f t="shared" ca="1" si="2147"/>
        <v>2007</v>
      </c>
      <c r="G1094" s="66">
        <f t="shared" ref="G1094" ca="1" si="2236">VLOOKUP(INDIRECT(CHAR(39)&amp;$A1094&amp;CHAR(39)&amp;"!r2c"&amp;$C1094,0),variables,2,0)</f>
        <v>10943</v>
      </c>
      <c r="H1094" s="71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2.5000000000000001E-2</v>
      </c>
    </row>
    <row r="1095" spans="1:8" x14ac:dyDescent="0.2">
      <c r="A1095" s="66" t="s">
        <v>1045</v>
      </c>
      <c r="B1095" s="66">
        <f t="shared" si="2186"/>
        <v>10</v>
      </c>
      <c r="C1095" s="66">
        <f t="shared" si="2171"/>
        <v>28</v>
      </c>
      <c r="E1095" s="66">
        <f t="shared" ref="E1095" si="2237">plan_id</f>
        <v>1952</v>
      </c>
      <c r="F1095" s="66">
        <f t="shared" ca="1" si="2147"/>
        <v>2007</v>
      </c>
      <c r="G1095" s="66">
        <f t="shared" ref="G1095" ca="1" si="2238">VLOOKUP(INDIRECT(CHAR(39)&amp;$A1095&amp;CHAR(39)&amp;"!r2c"&amp;$C1095,0),variables,2,0)</f>
        <v>10944</v>
      </c>
      <c r="H1095" s="71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66" t="s">
        <v>1045</v>
      </c>
      <c r="B1096" s="66">
        <f t="shared" si="2186"/>
        <v>10</v>
      </c>
      <c r="C1096" s="66">
        <f t="shared" si="2171"/>
        <v>29</v>
      </c>
      <c r="E1096" s="66">
        <f t="shared" ref="E1096" si="2239">plan_id</f>
        <v>1952</v>
      </c>
      <c r="F1096" s="66">
        <f t="shared" ca="1" si="2147"/>
        <v>2007</v>
      </c>
      <c r="G1096" s="66">
        <f t="shared" ref="G1096" ca="1" si="2240">VLOOKUP(INDIRECT(CHAR(39)&amp;$A1096&amp;CHAR(39)&amp;"!r2c"&amp;$C1096,0),variables,2,0)</f>
        <v>10945</v>
      </c>
      <c r="H1096" s="71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66" t="s">
        <v>1045</v>
      </c>
      <c r="B1097" s="66">
        <f t="shared" si="2186"/>
        <v>10</v>
      </c>
      <c r="C1097" s="66">
        <f t="shared" si="2171"/>
        <v>30</v>
      </c>
      <c r="E1097" s="66">
        <f t="shared" ref="E1097" si="2241">plan_id</f>
        <v>1952</v>
      </c>
      <c r="F1097" s="66">
        <f t="shared" ca="1" si="2147"/>
        <v>2007</v>
      </c>
      <c r="G1097" s="66">
        <f t="shared" ref="G1097" ca="1" si="2242">VLOOKUP(INDIRECT(CHAR(39)&amp;$A1097&amp;CHAR(39)&amp;"!r2c"&amp;$C1097,0),variables,2,0)</f>
        <v>10947</v>
      </c>
      <c r="H1097" s="71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66" t="s">
        <v>1045</v>
      </c>
      <c r="B1098" s="66">
        <f t="shared" si="2186"/>
        <v>10</v>
      </c>
      <c r="C1098" s="66">
        <f t="shared" si="2171"/>
        <v>31</v>
      </c>
      <c r="E1098" s="66">
        <f t="shared" ref="E1098" si="2243">plan_id</f>
        <v>1952</v>
      </c>
      <c r="F1098" s="66">
        <f t="shared" ca="1" si="2147"/>
        <v>2007</v>
      </c>
      <c r="G1098" s="66">
        <f t="shared" ref="G1098" ca="1" si="2244">VLOOKUP(INDIRECT(CHAR(39)&amp;$A1098&amp;CHAR(39)&amp;"!r2c"&amp;$C1098,0),variables,2,0)</f>
        <v>10948</v>
      </c>
      <c r="H1098" s="71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2">
      <c r="A1099" s="66" t="s">
        <v>1045</v>
      </c>
      <c r="B1099" s="66">
        <f t="shared" si="2186"/>
        <v>10</v>
      </c>
      <c r="C1099" s="66">
        <f t="shared" si="2171"/>
        <v>32</v>
      </c>
      <c r="E1099" s="66">
        <f t="shared" ref="E1099" si="2245">plan_id</f>
        <v>1952</v>
      </c>
      <c r="F1099" s="66">
        <f t="shared" ca="1" si="2147"/>
        <v>2007</v>
      </c>
      <c r="G1099" s="66">
        <f t="shared" ref="G1099" ca="1" si="2246">VLOOKUP(INDIRECT(CHAR(39)&amp;$A1099&amp;CHAR(39)&amp;"!r2c"&amp;$C1099,0),variables,2,0)</f>
        <v>10949</v>
      </c>
      <c r="H1099" s="71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66" t="s">
        <v>1045</v>
      </c>
      <c r="B1100" s="66">
        <f t="shared" si="2186"/>
        <v>10</v>
      </c>
      <c r="C1100" s="66">
        <f t="shared" si="2171"/>
        <v>33</v>
      </c>
      <c r="E1100" s="66">
        <f t="shared" ref="E1100" si="2247">plan_id</f>
        <v>1952</v>
      </c>
      <c r="F1100" s="66">
        <f t="shared" ca="1" si="2147"/>
        <v>2007</v>
      </c>
      <c r="G1100" s="66">
        <f t="shared" ref="G1100" ca="1" si="2248">VLOOKUP(INDIRECT(CHAR(39)&amp;$A1100&amp;CHAR(39)&amp;"!r2c"&amp;$C1100,0),variables,2,0)</f>
        <v>10951</v>
      </c>
      <c r="H1100" s="71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2">
      <c r="A1101" s="66" t="s">
        <v>1045</v>
      </c>
      <c r="B1101" s="66">
        <f t="shared" si="2186"/>
        <v>10</v>
      </c>
      <c r="C1101" s="66">
        <f t="shared" si="2171"/>
        <v>34</v>
      </c>
      <c r="E1101" s="66">
        <f t="shared" ref="E1101" si="2249">plan_id</f>
        <v>1952</v>
      </c>
      <c r="F1101" s="66">
        <f t="shared" ca="1" si="2147"/>
        <v>2007</v>
      </c>
      <c r="G1101" s="66">
        <f t="shared" ref="G1101" ca="1" si="2250">VLOOKUP(INDIRECT(CHAR(39)&amp;$A1101&amp;CHAR(39)&amp;"!r2c"&amp;$C1101,0),variables,2,0)</f>
        <v>10950</v>
      </c>
      <c r="H1101" s="71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66" t="s">
        <v>1045</v>
      </c>
      <c r="B1102" s="66">
        <f t="shared" si="2186"/>
        <v>10</v>
      </c>
      <c r="C1102" s="66">
        <f t="shared" si="2171"/>
        <v>35</v>
      </c>
      <c r="E1102" s="66">
        <f t="shared" ref="E1102" si="2251">plan_id</f>
        <v>1952</v>
      </c>
      <c r="F1102" s="66">
        <f t="shared" ca="1" si="2147"/>
        <v>2007</v>
      </c>
      <c r="G1102" s="66">
        <f t="shared" ref="G1102" ca="1" si="2252">VLOOKUP(INDIRECT(CHAR(39)&amp;$A1102&amp;CHAR(39)&amp;"!r2c"&amp;$C1102,0),variables,2,0)</f>
        <v>10954</v>
      </c>
      <c r="H1102" s="71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2.5000000000000001E-2</v>
      </c>
    </row>
    <row r="1103" spans="1:8" x14ac:dyDescent="0.2">
      <c r="A1103" s="66" t="s">
        <v>1045</v>
      </c>
      <c r="B1103" s="66">
        <f t="shared" si="2186"/>
        <v>10</v>
      </c>
      <c r="C1103" s="66">
        <f t="shared" si="2171"/>
        <v>36</v>
      </c>
      <c r="E1103" s="66">
        <f t="shared" ref="E1103" si="2253">plan_id</f>
        <v>1952</v>
      </c>
      <c r="F1103" s="66">
        <f t="shared" ca="1" si="2147"/>
        <v>2007</v>
      </c>
      <c r="G1103" s="66">
        <f t="shared" ref="G1103" ca="1" si="2254">VLOOKUP(INDIRECT(CHAR(39)&amp;$A1103&amp;CHAR(39)&amp;"!r2c"&amp;$C1103,0),variables,2,0)</f>
        <v>10955</v>
      </c>
      <c r="H1103" s="71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2">
      <c r="A1104" s="66" t="s">
        <v>1045</v>
      </c>
      <c r="B1104" s="66">
        <f t="shared" si="2186"/>
        <v>10</v>
      </c>
      <c r="C1104" s="66">
        <f t="shared" si="2171"/>
        <v>37</v>
      </c>
      <c r="E1104" s="66">
        <f t="shared" ref="E1104" si="2255">plan_id</f>
        <v>1952</v>
      </c>
      <c r="F1104" s="66">
        <f t="shared" ca="1" si="2147"/>
        <v>2007</v>
      </c>
      <c r="G1104" s="66">
        <f t="shared" ref="G1104" ca="1" si="2256">VLOOKUP(INDIRECT(CHAR(39)&amp;$A1104&amp;CHAR(39)&amp;"!r2c"&amp;$C1104,0),variables,2,0)</f>
        <v>10956</v>
      </c>
      <c r="H1104" s="71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0.03</v>
      </c>
    </row>
    <row r="1105" spans="1:8" x14ac:dyDescent="0.2">
      <c r="A1105" s="66" t="s">
        <v>1045</v>
      </c>
      <c r="B1105" s="66">
        <f t="shared" si="2186"/>
        <v>10</v>
      </c>
      <c r="C1105" s="66">
        <f t="shared" si="2171"/>
        <v>38</v>
      </c>
      <c r="E1105" s="66">
        <f t="shared" ref="E1105" si="2257">plan_id</f>
        <v>1952</v>
      </c>
      <c r="F1105" s="66">
        <f t="shared" ca="1" si="2147"/>
        <v>2007</v>
      </c>
      <c r="G1105" s="66">
        <f t="shared" ref="G1105" ca="1" si="2258">VLOOKUP(INDIRECT(CHAR(39)&amp;$A1105&amp;CHAR(39)&amp;"!r2c"&amp;$C1105,0),variables,2,0)</f>
        <v>10959</v>
      </c>
      <c r="H1105" s="71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SE-3.75% to 5.6% &amp; Teach 3.75% to 6.20%</v>
      </c>
    </row>
    <row r="1106" spans="1:8" x14ac:dyDescent="0.2">
      <c r="A1106" s="66" t="s">
        <v>1045</v>
      </c>
      <c r="B1106" s="66">
        <f t="shared" si="2186"/>
        <v>10</v>
      </c>
      <c r="C1106" s="66">
        <f t="shared" si="2171"/>
        <v>39</v>
      </c>
      <c r="E1106" s="66">
        <f t="shared" ref="E1106" si="2259">plan_id</f>
        <v>1952</v>
      </c>
      <c r="F1106" s="66">
        <f t="shared" ca="1" si="2147"/>
        <v>2007</v>
      </c>
      <c r="G1106" s="66">
        <f t="shared" ref="G1106" ca="1" si="2260">VLOOKUP(INDIRECT(CHAR(39)&amp;$A1106&amp;CHAR(39)&amp;"!r2c"&amp;$C1106,0),variables,2,0)</f>
        <v>10962</v>
      </c>
      <c r="H1106" s="71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Pg.112 &amp; 117</v>
      </c>
    </row>
    <row r="1107" spans="1:8" x14ac:dyDescent="0.2">
      <c r="A1107" s="66" t="s">
        <v>1045</v>
      </c>
      <c r="B1107" s="66">
        <f t="shared" si="2186"/>
        <v>10</v>
      </c>
      <c r="C1107" s="66">
        <f t="shared" si="2171"/>
        <v>40</v>
      </c>
      <c r="E1107" s="66">
        <f t="shared" ref="E1107" si="2261">plan_id</f>
        <v>1952</v>
      </c>
      <c r="F1107" s="66">
        <f t="shared" ca="1" si="2147"/>
        <v>2007</v>
      </c>
      <c r="G1107" s="66">
        <f t="shared" ref="G1107" ca="1" si="2262">VLOOKUP(INDIRECT(CHAR(39)&amp;$A1107&amp;CHAR(39)&amp;"!r2c"&amp;$C1107,0),variables,2,0)</f>
        <v>10964</v>
      </c>
      <c r="H1107" s="71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111 &amp; 116</v>
      </c>
    </row>
    <row r="1108" spans="1:8" x14ac:dyDescent="0.2">
      <c r="A1108" s="66" t="s">
        <v>1045</v>
      </c>
      <c r="B1108" s="66">
        <f t="shared" si="2186"/>
        <v>10</v>
      </c>
      <c r="C1108" s="66">
        <f t="shared" si="2171"/>
        <v>41</v>
      </c>
      <c r="E1108" s="66">
        <f t="shared" ref="E1108" si="2263">plan_id</f>
        <v>1952</v>
      </c>
      <c r="F1108" s="66">
        <f t="shared" ca="1" si="2147"/>
        <v>2007</v>
      </c>
      <c r="G1108" s="66">
        <f t="shared" ref="G1108" ca="1" si="2264">VLOOKUP(INDIRECT(CHAR(39)&amp;$A1108&amp;CHAR(39)&amp;"!r2c"&amp;$C1108,0),variables,2,0)</f>
        <v>10967</v>
      </c>
      <c r="H1108" s="71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Group Annuity Mortality Table</v>
      </c>
    </row>
    <row r="1109" spans="1:8" x14ac:dyDescent="0.2">
      <c r="A1109" s="66" t="s">
        <v>1045</v>
      </c>
      <c r="B1109" s="66">
        <f t="shared" si="2186"/>
        <v>10</v>
      </c>
      <c r="C1109" s="66">
        <f t="shared" si="2171"/>
        <v>42</v>
      </c>
      <c r="E1109" s="66">
        <f t="shared" ref="E1109" si="2265">plan_id</f>
        <v>1952</v>
      </c>
      <c r="F1109" s="66">
        <f t="shared" ca="1" si="2147"/>
        <v>2007</v>
      </c>
      <c r="G1109" s="66">
        <f t="shared" ref="G1109" ca="1" si="2266">VLOOKUP(INDIRECT(CHAR(39)&amp;$A1109&amp;CHAR(39)&amp;"!r2c"&amp;$C1109,0),variables,2,0)</f>
        <v>10968</v>
      </c>
      <c r="H1109" s="71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2">
      <c r="A1110" s="66" t="s">
        <v>1045</v>
      </c>
      <c r="B1110" s="66">
        <f t="shared" si="2186"/>
        <v>10</v>
      </c>
      <c r="C1110" s="66">
        <f t="shared" si="2171"/>
        <v>43</v>
      </c>
      <c r="E1110" s="66">
        <f t="shared" ref="E1110" si="2267">plan_id</f>
        <v>1952</v>
      </c>
      <c r="F1110" s="66">
        <f t="shared" ca="1" si="2147"/>
        <v>2007</v>
      </c>
      <c r="G1110" s="66">
        <f t="shared" ref="G1110" ca="1" si="2268">VLOOKUP(INDIRECT(CHAR(39)&amp;$A1110&amp;CHAR(39)&amp;"!r2c"&amp;$C1110,0),variables,2,0)</f>
        <v>10969</v>
      </c>
      <c r="H1110" s="71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66" t="s">
        <v>1045</v>
      </c>
      <c r="B1111" s="66">
        <f t="shared" si="2186"/>
        <v>10</v>
      </c>
      <c r="C1111" s="66">
        <f t="shared" si="2171"/>
        <v>44</v>
      </c>
      <c r="E1111" s="66">
        <f t="shared" ref="E1111" si="2269">plan_id</f>
        <v>1952</v>
      </c>
      <c r="F1111" s="66">
        <f t="shared" ca="1" si="2147"/>
        <v>2007</v>
      </c>
      <c r="G1111" s="66">
        <f t="shared" ref="G1111" ca="1" si="2270">VLOOKUP(INDIRECT(CHAR(39)&amp;$A1111&amp;CHAR(39)&amp;"!r2c"&amp;$C1111,0),variables,2,0)</f>
        <v>10970</v>
      </c>
      <c r="H1111" s="71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State: Males &amp; Females: 1 Year; Teachers: Pre- 1 Year; Post- 3 Years</v>
      </c>
    </row>
    <row r="1112" spans="1:8" x14ac:dyDescent="0.2">
      <c r="A1112" s="66" t="s">
        <v>1045</v>
      </c>
      <c r="B1112" s="66">
        <f t="shared" si="2186"/>
        <v>10</v>
      </c>
      <c r="C1112" s="66">
        <f t="shared" si="2171"/>
        <v>45</v>
      </c>
      <c r="E1112" s="66">
        <f t="shared" ref="E1112" si="2271">plan_id</f>
        <v>1952</v>
      </c>
      <c r="F1112" s="66">
        <f t="shared" ca="1" si="2147"/>
        <v>2007</v>
      </c>
      <c r="G1112" s="66">
        <f t="shared" ref="G1112" ca="1" si="2272">VLOOKUP(INDIRECT(CHAR(39)&amp;$A1112&amp;CHAR(39)&amp;"!r2c"&amp;$C1112,0),variables,2,0)</f>
        <v>10971</v>
      </c>
      <c r="H1112" s="71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66" t="s">
        <v>1045</v>
      </c>
      <c r="B1113" s="66">
        <f t="shared" si="2186"/>
        <v>10</v>
      </c>
      <c r="C1113" s="66">
        <f t="shared" si="2171"/>
        <v>46</v>
      </c>
      <c r="E1113" s="66">
        <f t="shared" ref="E1113" si="2273">plan_id</f>
        <v>1952</v>
      </c>
      <c r="F1113" s="66">
        <f t="shared" ca="1" si="2147"/>
        <v>2007</v>
      </c>
      <c r="G1113" s="66">
        <f t="shared" ref="G1113" ca="1" si="2274">VLOOKUP(INDIRECT(CHAR(39)&amp;$A1113&amp;CHAR(39)&amp;"!r2c"&amp;$C1113,0),variables,2,0)</f>
        <v>10972</v>
      </c>
      <c r="H1113" s="71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closed</v>
      </c>
    </row>
    <row r="1114" spans="1:8" x14ac:dyDescent="0.2">
      <c r="A1114" s="66" t="s">
        <v>1045</v>
      </c>
      <c r="B1114" s="66">
        <f t="shared" si="2186"/>
        <v>10</v>
      </c>
      <c r="C1114" s="66">
        <f t="shared" si="2171"/>
        <v>47</v>
      </c>
      <c r="E1114" s="66">
        <f t="shared" ref="E1114" si="2275">plan_id</f>
        <v>1952</v>
      </c>
      <c r="F1114" s="66">
        <f t="shared" ca="1" si="2147"/>
        <v>2007</v>
      </c>
      <c r="G1114" s="66">
        <f t="shared" ref="G1114" ca="1" si="2276">VLOOKUP(INDIRECT(CHAR(39)&amp;$A1114&amp;CHAR(39)&amp;"!r2c"&amp;$C1114,0),variables,2,0)</f>
        <v>10973</v>
      </c>
      <c r="H1114" s="71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2">
      <c r="A1115" s="66" t="s">
        <v>1045</v>
      </c>
      <c r="B1115" s="66">
        <f t="shared" si="2186"/>
        <v>10</v>
      </c>
      <c r="C1115" s="66">
        <f t="shared" si="2171"/>
        <v>48</v>
      </c>
      <c r="E1115" s="66">
        <f t="shared" ref="E1115" si="2277">plan_id</f>
        <v>1952</v>
      </c>
      <c r="F1115" s="66">
        <f t="shared" ca="1" si="2147"/>
        <v>2007</v>
      </c>
      <c r="G1115" s="66">
        <f t="shared" ref="G1115" ca="1" si="2278">VLOOKUP(INDIRECT(CHAR(39)&amp;$A1115&amp;CHAR(39)&amp;"!r2c"&amp;$C1115,0),variables,2,0)</f>
        <v>10975</v>
      </c>
      <c r="H1115" s="71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2">
      <c r="A1116" s="66" t="s">
        <v>1045</v>
      </c>
      <c r="B1116" s="66">
        <f t="shared" si="2186"/>
        <v>10</v>
      </c>
      <c r="C1116" s="66">
        <f t="shared" si="2171"/>
        <v>49</v>
      </c>
      <c r="E1116" s="66">
        <f t="shared" ref="E1116" si="2279">plan_id</f>
        <v>1952</v>
      </c>
      <c r="F1116" s="66">
        <f t="shared" ca="1" si="2147"/>
        <v>2007</v>
      </c>
      <c r="G1116" s="66">
        <f t="shared" ref="G1116" ca="1" si="2280">VLOOKUP(INDIRECT(CHAR(39)&amp;$A1116&amp;CHAR(39)&amp;"!r2c"&amp;$C1116,0),variables,2,0)</f>
        <v>10976</v>
      </c>
      <c r="H1116" s="71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2">
      <c r="A1117" s="66" t="s">
        <v>1045</v>
      </c>
      <c r="B1117" s="66">
        <f t="shared" si="2186"/>
        <v>10</v>
      </c>
      <c r="C1117" s="66">
        <f t="shared" si="2171"/>
        <v>50</v>
      </c>
      <c r="E1117" s="66">
        <f t="shared" ref="E1117" si="2281">plan_id</f>
        <v>1952</v>
      </c>
      <c r="F1117" s="66">
        <f t="shared" ca="1" si="2147"/>
        <v>2007</v>
      </c>
      <c r="G1117" s="66">
        <f t="shared" ref="G1117" ca="1" si="2282">VLOOKUP(INDIRECT(CHAR(39)&amp;$A1117&amp;CHAR(39)&amp;"!r2c"&amp;$C1117,0),variables,2,0)</f>
        <v>10977</v>
      </c>
      <c r="H1117" s="71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66" t="s">
        <v>1045</v>
      </c>
      <c r="B1118" s="66">
        <f t="shared" si="2186"/>
        <v>10</v>
      </c>
      <c r="C1118" s="66">
        <f t="shared" si="2171"/>
        <v>51</v>
      </c>
      <c r="E1118" s="66">
        <f t="shared" ref="E1118" si="2283">plan_id</f>
        <v>1952</v>
      </c>
      <c r="F1118" s="66">
        <f t="shared" ca="1" si="2147"/>
        <v>2007</v>
      </c>
      <c r="G1118" s="66">
        <f t="shared" ref="G1118" ca="1" si="2284">VLOOKUP(INDIRECT(CHAR(39)&amp;$A1118&amp;CHAR(39)&amp;"!r2c"&amp;$C1118,0),variables,2,0)</f>
        <v>10978</v>
      </c>
      <c r="H1118" s="71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2">
      <c r="A1119" s="66" t="s">
        <v>1045</v>
      </c>
      <c r="B1119" s="66">
        <f t="shared" si="2186"/>
        <v>10</v>
      </c>
      <c r="C1119" s="66">
        <f t="shared" si="2171"/>
        <v>52</v>
      </c>
      <c r="E1119" s="66">
        <f t="shared" ref="E1119" si="2285">plan_id</f>
        <v>1952</v>
      </c>
      <c r="F1119" s="66">
        <f t="shared" ca="1" si="2147"/>
        <v>2007</v>
      </c>
      <c r="G1119" s="66">
        <f t="shared" ref="G1119" ca="1" si="2286">VLOOKUP(INDIRECT(CHAR(39)&amp;$A1119&amp;CHAR(39)&amp;"!r2c"&amp;$C1119,0),variables,2,0)</f>
        <v>10979</v>
      </c>
      <c r="H1119" s="71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2">
      <c r="A1120" s="66" t="s">
        <v>1045</v>
      </c>
      <c r="B1120" s="66">
        <f t="shared" si="2186"/>
        <v>10</v>
      </c>
      <c r="C1120" s="66">
        <f t="shared" si="2171"/>
        <v>53</v>
      </c>
      <c r="E1120" s="66">
        <f t="shared" ref="E1120" si="2287">plan_id</f>
        <v>1952</v>
      </c>
      <c r="F1120" s="66">
        <f t="shared" ca="1" si="2147"/>
        <v>2007</v>
      </c>
      <c r="G1120" s="66">
        <f t="shared" ref="G1120" ca="1" si="2288">VLOOKUP(INDIRECT(CHAR(39)&amp;$A1120&amp;CHAR(39)&amp;"!r2c"&amp;$C1120,0),variables,2,0)</f>
        <v>10980</v>
      </c>
      <c r="H1120" s="71" t="str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State Employees: 13.34% ;Teachers: 13.10%</v>
      </c>
    </row>
    <row r="1121" spans="1:8" x14ac:dyDescent="0.2">
      <c r="A1121" s="66" t="s">
        <v>1045</v>
      </c>
      <c r="B1121" s="66">
        <f t="shared" si="2186"/>
        <v>10</v>
      </c>
      <c r="C1121" s="66">
        <f t="shared" si="2171"/>
        <v>54</v>
      </c>
      <c r="E1121" s="66">
        <f t="shared" ref="E1121" si="2289">plan_id</f>
        <v>1952</v>
      </c>
      <c r="F1121" s="66">
        <f t="shared" ca="1" si="2147"/>
        <v>2007</v>
      </c>
      <c r="G1121" s="66">
        <f t="shared" ref="G1121" ca="1" si="2290">VLOOKUP(INDIRECT(CHAR(39)&amp;$A1121&amp;CHAR(39)&amp;"!r2c"&amp;$C1121,0),variables,2,0)</f>
        <v>10981</v>
      </c>
      <c r="H1121" s="71" t="str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State Employees: -20.73% ;Teachers: -20.32%</v>
      </c>
    </row>
    <row r="1122" spans="1:8" x14ac:dyDescent="0.2">
      <c r="A1122" s="66" t="s">
        <v>1045</v>
      </c>
      <c r="B1122" s="66">
        <f t="shared" si="2186"/>
        <v>10</v>
      </c>
      <c r="C1122" s="66">
        <f t="shared" si="2171"/>
        <v>55</v>
      </c>
      <c r="E1122" s="66">
        <f t="shared" ref="E1122" si="2291">plan_id</f>
        <v>1952</v>
      </c>
      <c r="F1122" s="66">
        <f t="shared" ca="1" si="2147"/>
        <v>2007</v>
      </c>
      <c r="G1122" s="66">
        <f t="shared" ref="G1122" ca="1" si="2292">VLOOKUP(INDIRECT(CHAR(39)&amp;$A1122&amp;CHAR(39)&amp;"!r2c"&amp;$C1122,0),variables,2,0)</f>
        <v>10706</v>
      </c>
      <c r="H1122" s="71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6.2038555676141745E-4</v>
      </c>
    </row>
    <row r="1123" spans="1:8" x14ac:dyDescent="0.2">
      <c r="A1123" s="66" t="s">
        <v>1045</v>
      </c>
      <c r="B1123" s="66">
        <f t="shared" si="2186"/>
        <v>10</v>
      </c>
      <c r="C1123" s="66">
        <f t="shared" si="2171"/>
        <v>56</v>
      </c>
      <c r="E1123" s="66">
        <f t="shared" ref="E1123" si="2293">plan_id</f>
        <v>1952</v>
      </c>
      <c r="F1123" s="66">
        <f t="shared" ca="1" si="2147"/>
        <v>2007</v>
      </c>
      <c r="G1123" s="66">
        <f t="shared" ref="G1123" ca="1" si="2294">VLOOKUP(INDIRECT(CHAR(39)&amp;$A1123&amp;CHAR(39)&amp;"!r2c"&amp;$C1123,0),variables,2,0)</f>
        <v>10983</v>
      </c>
      <c r="H1123" s="71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66" t="s">
        <v>1045</v>
      </c>
      <c r="B1124" s="66">
        <f t="shared" si="2186"/>
        <v>10</v>
      </c>
      <c r="C1124" s="66">
        <f t="shared" si="2171"/>
        <v>57</v>
      </c>
      <c r="E1124" s="66">
        <f t="shared" ref="E1124" si="2295">plan_id</f>
        <v>1952</v>
      </c>
      <c r="F1124" s="66">
        <f t="shared" ca="1" si="2147"/>
        <v>2007</v>
      </c>
      <c r="G1124" s="66">
        <f t="shared" ref="G1124" ca="1" si="2296">VLOOKUP(INDIRECT(CHAR(39)&amp;$A1124&amp;CHAR(39)&amp;"!r2c"&amp;$C1124,0),variables,2,0)</f>
        <v>10989</v>
      </c>
      <c r="H1124" s="7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37062213000</v>
      </c>
    </row>
    <row r="1125" spans="1:8" x14ac:dyDescent="0.2">
      <c r="A1125" s="66" t="s">
        <v>1045</v>
      </c>
      <c r="B1125" s="66">
        <f t="shared" si="2186"/>
        <v>10</v>
      </c>
      <c r="C1125" s="66">
        <f t="shared" si="2171"/>
        <v>58</v>
      </c>
      <c r="E1125" s="66">
        <f t="shared" ref="E1125" si="2297">plan_id</f>
        <v>1952</v>
      </c>
      <c r="F1125" s="66">
        <f t="shared" ca="1" si="2147"/>
        <v>2007</v>
      </c>
      <c r="G1125" s="66">
        <f t="shared" ref="G1125" ca="1" si="2298">VLOOKUP(INDIRECT(CHAR(39)&amp;$A1125&amp;CHAR(39)&amp;"!r2c"&amp;$C1125,0),variables,2,0)</f>
        <v>10990</v>
      </c>
      <c r="H1125" s="7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45949619000</v>
      </c>
    </row>
    <row r="1126" spans="1:8" x14ac:dyDescent="0.2">
      <c r="A1126" s="66" t="s">
        <v>1045</v>
      </c>
      <c r="B1126" s="66">
        <f t="shared" si="2186"/>
        <v>10</v>
      </c>
      <c r="C1126" s="66">
        <f t="shared" si="2171"/>
        <v>59</v>
      </c>
      <c r="E1126" s="66">
        <f t="shared" ref="E1126" si="2299">plan_id</f>
        <v>1952</v>
      </c>
      <c r="F1126" s="66">
        <f t="shared" ca="1" si="2147"/>
        <v>2007</v>
      </c>
      <c r="G1126" s="66">
        <f t="shared" ref="G1126" ca="1" si="2300">VLOOKUP(INDIRECT(CHAR(39)&amp;$A1126&amp;CHAR(39)&amp;"!r2c"&amp;$C1126,0),variables,2,0)</f>
        <v>10991</v>
      </c>
      <c r="H1126" s="7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8887406000</v>
      </c>
    </row>
    <row r="1127" spans="1:8" x14ac:dyDescent="0.2">
      <c r="A1127" s="66" t="s">
        <v>1045</v>
      </c>
      <c r="B1127" s="66">
        <f t="shared" si="2186"/>
        <v>10</v>
      </c>
      <c r="C1127" s="66">
        <f t="shared" ref="C1127:C1190" si="2301">C1036</f>
        <v>60</v>
      </c>
      <c r="E1127" s="66">
        <f t="shared" ref="E1127" si="2302">plan_id</f>
        <v>1952</v>
      </c>
      <c r="F1127" s="66">
        <f t="shared" ca="1" si="2147"/>
        <v>2007</v>
      </c>
      <c r="G1127" s="66">
        <f t="shared" ref="G1127" ca="1" si="2303">VLOOKUP(INDIRECT(CHAR(39)&amp;$A1127&amp;CHAR(39)&amp;"!r2c"&amp;$C1127,0),variables,2,0)</f>
        <v>10992</v>
      </c>
      <c r="H1127" s="71" t="str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State Employees: 85.1%; Teachers: 78.2%</v>
      </c>
    </row>
    <row r="1128" spans="1:8" x14ac:dyDescent="0.2">
      <c r="A1128" s="66" t="s">
        <v>1045</v>
      </c>
      <c r="B1128" s="66">
        <f t="shared" si="2186"/>
        <v>10</v>
      </c>
      <c r="C1128" s="66">
        <f t="shared" si="2301"/>
        <v>61</v>
      </c>
      <c r="E1128" s="66">
        <f t="shared" ref="E1128" si="2304">plan_id</f>
        <v>1952</v>
      </c>
      <c r="F1128" s="66">
        <f t="shared" ca="1" si="2147"/>
        <v>2007</v>
      </c>
      <c r="G1128" s="66">
        <f t="shared" ref="G1128" ca="1" si="2305">VLOOKUP(INDIRECT(CHAR(39)&amp;$A1128&amp;CHAR(39)&amp;"!r2c"&amp;$C1128,0),variables,2,0)</f>
        <v>10993</v>
      </c>
      <c r="H1128" s="71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10072031000</v>
      </c>
    </row>
    <row r="1129" spans="1:8" x14ac:dyDescent="0.2">
      <c r="A1129" s="66" t="s">
        <v>1045</v>
      </c>
      <c r="B1129" s="66">
        <f t="shared" si="2186"/>
        <v>10</v>
      </c>
      <c r="C1129" s="66">
        <f t="shared" si="2301"/>
        <v>62</v>
      </c>
      <c r="E1129" s="66">
        <f t="shared" ref="E1129" si="2306">plan_id</f>
        <v>1952</v>
      </c>
      <c r="F1129" s="66">
        <f t="shared" ca="1" si="2147"/>
        <v>2007</v>
      </c>
      <c r="G1129" s="66">
        <f t="shared" ref="G1129" ca="1" si="2307">VLOOKUP(INDIRECT(CHAR(39)&amp;$A1129&amp;CHAR(39)&amp;"!r2c"&amp;$C1129,0),variables,2,0)</f>
        <v>10801</v>
      </c>
      <c r="H1129" s="71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2">
      <c r="A1130" s="66" t="s">
        <v>1045</v>
      </c>
      <c r="B1130" s="66">
        <f t="shared" si="2186"/>
        <v>10</v>
      </c>
      <c r="C1130" s="66">
        <f t="shared" si="2301"/>
        <v>63</v>
      </c>
      <c r="E1130" s="66">
        <f t="shared" ref="E1130" si="2308">plan_id</f>
        <v>1952</v>
      </c>
      <c r="F1130" s="66">
        <f t="shared" ca="1" si="2147"/>
        <v>2007</v>
      </c>
      <c r="G1130" s="66">
        <f t="shared" ref="G1130" ca="1" si="2309">VLOOKUP(INDIRECT(CHAR(39)&amp;$A1130&amp;CHAR(39)&amp;"!r2c"&amp;$C1130,0),variables,2,0)</f>
        <v>10802</v>
      </c>
      <c r="H1130" s="7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66" t="s">
        <v>1045</v>
      </c>
      <c r="B1131" s="66">
        <f t="shared" si="2186"/>
        <v>10</v>
      </c>
      <c r="C1131" s="66">
        <f t="shared" si="2301"/>
        <v>64</v>
      </c>
      <c r="E1131" s="66">
        <f t="shared" ref="E1131" si="2310">plan_id</f>
        <v>1952</v>
      </c>
      <c r="F1131" s="66">
        <f t="shared" ca="1" si="2147"/>
        <v>2007</v>
      </c>
      <c r="G1131" s="66">
        <f t="shared" ref="G1131" ca="1" si="2311">VLOOKUP(INDIRECT(CHAR(39)&amp;$A1131&amp;CHAR(39)&amp;"!r2c"&amp;$C1131,0),variables,2,0)</f>
        <v>10803</v>
      </c>
      <c r="H1131" s="71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66" t="s">
        <v>1045</v>
      </c>
      <c r="B1132" s="66">
        <f t="shared" si="2186"/>
        <v>10</v>
      </c>
      <c r="C1132" s="66">
        <f t="shared" si="2301"/>
        <v>65</v>
      </c>
      <c r="E1132" s="66">
        <f t="shared" ref="E1132" si="2312">plan_id</f>
        <v>1952</v>
      </c>
      <c r="F1132" s="66">
        <f t="shared" ca="1" si="2147"/>
        <v>2007</v>
      </c>
      <c r="G1132" s="66">
        <f t="shared" ref="G1132" ca="1" si="2313">VLOOKUP(INDIRECT(CHAR(39)&amp;$A1132&amp;CHAR(39)&amp;"!r2c"&amp;$C1132,0),variables,2,0)</f>
        <v>10804</v>
      </c>
      <c r="H1132" s="7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66" t="s">
        <v>1045</v>
      </c>
      <c r="B1133" s="66">
        <f t="shared" si="2186"/>
        <v>10</v>
      </c>
      <c r="C1133" s="66">
        <f t="shared" si="2301"/>
        <v>66</v>
      </c>
      <c r="E1133" s="66">
        <f t="shared" ref="E1133" si="2314">plan_id</f>
        <v>1952</v>
      </c>
      <c r="F1133" s="66">
        <f t="shared" ca="1" si="2147"/>
        <v>2007</v>
      </c>
      <c r="G1133" s="66">
        <f t="shared" ref="G1133" ca="1" si="2315">VLOOKUP(INDIRECT(CHAR(39)&amp;$A1133&amp;CHAR(39)&amp;"!r2c"&amp;$C1133,0),variables,2,0)</f>
        <v>10805</v>
      </c>
      <c r="H1133" s="7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66" t="s">
        <v>1045</v>
      </c>
      <c r="B1134" s="66">
        <f t="shared" ref="B1134" si="2316">B1069+1</f>
        <v>10</v>
      </c>
      <c r="C1134" s="66">
        <f t="shared" si="2301"/>
        <v>67</v>
      </c>
      <c r="E1134" s="66">
        <f t="shared" ref="E1134" si="2317">plan_id</f>
        <v>1952</v>
      </c>
      <c r="F1134" s="66">
        <f t="shared" ca="1" si="2147"/>
        <v>2007</v>
      </c>
      <c r="G1134" s="66">
        <f t="shared" ref="G1134" ca="1" si="2318">VLOOKUP(INDIRECT(CHAR(39)&amp;$A1134&amp;CHAR(39)&amp;"!r2c"&amp;$C1134,0),variables,2,0)</f>
        <v>10806</v>
      </c>
      <c r="H1134" s="7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66" t="s">
        <v>1045</v>
      </c>
      <c r="B1135" s="66">
        <f>B1134</f>
        <v>10</v>
      </c>
      <c r="C1135" s="66">
        <f t="shared" si="2301"/>
        <v>68</v>
      </c>
      <c r="E1135" s="66">
        <f t="shared" ref="E1135" si="2319">plan_id</f>
        <v>1952</v>
      </c>
      <c r="F1135" s="66">
        <f t="shared" ca="1" si="2147"/>
        <v>2007</v>
      </c>
      <c r="G1135" s="66">
        <f t="shared" ref="G1135" ca="1" si="2320">VLOOKUP(INDIRECT(CHAR(39)&amp;$A1135&amp;CHAR(39)&amp;"!r2c"&amp;$C1135,0),variables,2,0)</f>
        <v>10807</v>
      </c>
      <c r="H1135" s="7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66" t="s">
        <v>1045</v>
      </c>
      <c r="B1136" s="66">
        <f t="shared" ref="B1136:B1160" si="2321">B1135</f>
        <v>10</v>
      </c>
      <c r="C1136" s="66">
        <f t="shared" si="2301"/>
        <v>69</v>
      </c>
      <c r="E1136" s="66">
        <f t="shared" ref="E1136" si="2322">plan_id</f>
        <v>1952</v>
      </c>
      <c r="F1136" s="66">
        <f t="shared" ca="1" si="2147"/>
        <v>2007</v>
      </c>
      <c r="G1136" s="66">
        <f t="shared" ref="G1136" ca="1" si="2323">VLOOKUP(INDIRECT(CHAR(39)&amp;$A1136&amp;CHAR(39)&amp;"!r2c"&amp;$C1136,0),variables,2,0)</f>
        <v>10808</v>
      </c>
      <c r="H1136" s="7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66" t="s">
        <v>1045</v>
      </c>
      <c r="B1137" s="66">
        <f t="shared" si="2321"/>
        <v>10</v>
      </c>
      <c r="C1137" s="66">
        <f t="shared" si="2301"/>
        <v>70</v>
      </c>
      <c r="E1137" s="66">
        <f t="shared" ref="E1137" si="2324">plan_id</f>
        <v>1952</v>
      </c>
      <c r="F1137" s="66">
        <f t="shared" ca="1" si="2147"/>
        <v>2007</v>
      </c>
      <c r="G1137" s="66">
        <f t="shared" ref="G1137" ca="1" si="2325">VLOOKUP(INDIRECT(CHAR(39)&amp;$A1137&amp;CHAR(39)&amp;"!r2c"&amp;$C1137,0),variables,2,0)</f>
        <v>10809</v>
      </c>
      <c r="H1137" s="7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66" t="s">
        <v>1045</v>
      </c>
      <c r="B1138" s="66">
        <f t="shared" si="2321"/>
        <v>10</v>
      </c>
      <c r="C1138" s="66">
        <f t="shared" si="2301"/>
        <v>71</v>
      </c>
      <c r="E1138" s="66">
        <f t="shared" ref="E1138" si="2326">plan_id</f>
        <v>1952</v>
      </c>
      <c r="F1138" s="66">
        <f t="shared" ca="1" si="2147"/>
        <v>2007</v>
      </c>
      <c r="G1138" s="66">
        <f t="shared" ref="G1138" ca="1" si="2327">VLOOKUP(INDIRECT(CHAR(39)&amp;$A1138&amp;CHAR(39)&amp;"!r2c"&amp;$C1138,0),variables,2,0)</f>
        <v>10810</v>
      </c>
      <c r="H1138" s="71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66" t="s">
        <v>1045</v>
      </c>
      <c r="B1139" s="66">
        <f t="shared" si="2321"/>
        <v>10</v>
      </c>
      <c r="C1139" s="66">
        <f t="shared" si="2301"/>
        <v>72</v>
      </c>
      <c r="E1139" s="66">
        <f t="shared" ref="E1139" si="2328">plan_id</f>
        <v>1952</v>
      </c>
      <c r="F1139" s="66">
        <f t="shared" ca="1" si="2147"/>
        <v>2007</v>
      </c>
      <c r="G1139" s="66">
        <f t="shared" ref="G1139" ca="1" si="2329">VLOOKUP(INDIRECT(CHAR(39)&amp;$A1139&amp;CHAR(39)&amp;"!r2c"&amp;$C1139,0),variables,2,0)</f>
        <v>10811</v>
      </c>
      <c r="H1139" s="7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66" t="s">
        <v>1045</v>
      </c>
      <c r="B1140" s="66">
        <f t="shared" si="2321"/>
        <v>10</v>
      </c>
      <c r="C1140" s="66">
        <f t="shared" si="2301"/>
        <v>73</v>
      </c>
      <c r="E1140" s="66">
        <f t="shared" ref="E1140" si="2330">plan_id</f>
        <v>1952</v>
      </c>
      <c r="F1140" s="66">
        <f t="shared" ca="1" si="2147"/>
        <v>2007</v>
      </c>
      <c r="G1140" s="66">
        <f t="shared" ref="G1140" ca="1" si="2331">VLOOKUP(INDIRECT(CHAR(39)&amp;$A1140&amp;CHAR(39)&amp;"!r2c"&amp;$C1140,0),variables,2,0)</f>
        <v>10812</v>
      </c>
      <c r="H1140" s="7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66" t="s">
        <v>1045</v>
      </c>
      <c r="B1141" s="66">
        <f t="shared" si="2321"/>
        <v>10</v>
      </c>
      <c r="C1141" s="66">
        <f t="shared" si="2301"/>
        <v>74</v>
      </c>
      <c r="E1141" s="66">
        <f t="shared" ref="E1141" si="2332">plan_id</f>
        <v>1952</v>
      </c>
      <c r="F1141" s="66">
        <f t="shared" ca="1" si="2147"/>
        <v>2007</v>
      </c>
      <c r="G1141" s="66">
        <f t="shared" ref="G1141" ca="1" si="2333">VLOOKUP(INDIRECT(CHAR(39)&amp;$A1141&amp;CHAR(39)&amp;"!r2c"&amp;$C1141,0),variables,2,0)</f>
        <v>10813</v>
      </c>
      <c r="H1141" s="71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66" t="s">
        <v>1045</v>
      </c>
      <c r="B1142" s="66">
        <f t="shared" si="2321"/>
        <v>10</v>
      </c>
      <c r="C1142" s="66">
        <f t="shared" si="2301"/>
        <v>75</v>
      </c>
      <c r="E1142" s="66">
        <f t="shared" ref="E1142" si="2334">plan_id</f>
        <v>1952</v>
      </c>
      <c r="F1142" s="66">
        <f t="shared" ca="1" si="2147"/>
        <v>2007</v>
      </c>
      <c r="G1142" s="66">
        <f t="shared" ref="G1142" ca="1" si="2335">VLOOKUP(INDIRECT(CHAR(39)&amp;$A1142&amp;CHAR(39)&amp;"!r2c"&amp;$C1142,0),variables,2,0)</f>
        <v>10814</v>
      </c>
      <c r="H1142" s="71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66" t="s">
        <v>1045</v>
      </c>
      <c r="B1143" s="66">
        <f t="shared" si="2321"/>
        <v>10</v>
      </c>
      <c r="C1143" s="66">
        <f t="shared" si="2301"/>
        <v>76</v>
      </c>
      <c r="E1143" s="66">
        <f t="shared" ref="E1143" si="2336">plan_id</f>
        <v>1952</v>
      </c>
      <c r="F1143" s="66">
        <f t="shared" ca="1" si="2147"/>
        <v>2007</v>
      </c>
      <c r="G1143" s="66">
        <f t="shared" ref="G1143" ca="1" si="2337">VLOOKUP(INDIRECT(CHAR(39)&amp;$A1143&amp;CHAR(39)&amp;"!r2c"&amp;$C1143,0),variables,2,0)</f>
        <v>10815</v>
      </c>
      <c r="H1143" s="71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66" t="s">
        <v>1045</v>
      </c>
      <c r="B1144" s="66">
        <f t="shared" si="2321"/>
        <v>10</v>
      </c>
      <c r="C1144" s="66">
        <f t="shared" si="2301"/>
        <v>77</v>
      </c>
      <c r="E1144" s="66">
        <f t="shared" ref="E1144" si="2338">plan_id</f>
        <v>1952</v>
      </c>
      <c r="F1144" s="66">
        <f t="shared" ref="F1144:F1236" ca="1" si="2339">INDIRECT(CHAR(39)&amp;$A1144&amp;CHAR(39)&amp;"!r"&amp;$B1144&amp;"c2",0)</f>
        <v>2007</v>
      </c>
      <c r="G1144" s="66">
        <f t="shared" ref="G1144" ca="1" si="2340">VLOOKUP(INDIRECT(CHAR(39)&amp;$A1144&amp;CHAR(39)&amp;"!r2c"&amp;$C1144,0),variables,2,0)</f>
        <v>10816</v>
      </c>
      <c r="H1144" s="7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66" t="s">
        <v>1045</v>
      </c>
      <c r="B1145" s="66">
        <f t="shared" si="2321"/>
        <v>10</v>
      </c>
      <c r="C1145" s="66">
        <f t="shared" si="2301"/>
        <v>78</v>
      </c>
      <c r="E1145" s="66">
        <f t="shared" ref="E1145" si="2341">plan_id</f>
        <v>1952</v>
      </c>
      <c r="F1145" s="66">
        <f t="shared" ca="1" si="2339"/>
        <v>2007</v>
      </c>
      <c r="G1145" s="66">
        <f t="shared" ref="G1145" ca="1" si="2342">VLOOKUP(INDIRECT(CHAR(39)&amp;$A1145&amp;CHAR(39)&amp;"!r2c"&amp;$C1145,0),variables,2,0)</f>
        <v>10817</v>
      </c>
      <c r="H1145" s="7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66" t="s">
        <v>1045</v>
      </c>
      <c r="B1146" s="66">
        <f t="shared" si="2321"/>
        <v>10</v>
      </c>
      <c r="C1146" s="66">
        <f t="shared" si="2301"/>
        <v>79</v>
      </c>
      <c r="E1146" s="66">
        <f t="shared" ref="E1146" si="2343">plan_id</f>
        <v>1952</v>
      </c>
      <c r="F1146" s="66">
        <f t="shared" ca="1" si="2339"/>
        <v>2007</v>
      </c>
      <c r="G1146" s="66">
        <f t="shared" ref="G1146" ca="1" si="2344">VLOOKUP(INDIRECT(CHAR(39)&amp;$A1146&amp;CHAR(39)&amp;"!r2c"&amp;$C1146,0),variables,2,0)</f>
        <v>10818</v>
      </c>
      <c r="H1146" s="71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66" t="s">
        <v>1045</v>
      </c>
      <c r="B1147" s="66">
        <f t="shared" si="2321"/>
        <v>10</v>
      </c>
      <c r="C1147" s="66">
        <f t="shared" si="2301"/>
        <v>80</v>
      </c>
      <c r="E1147" s="66">
        <f t="shared" ref="E1147" si="2345">plan_id</f>
        <v>1952</v>
      </c>
      <c r="F1147" s="66">
        <f t="shared" ca="1" si="2339"/>
        <v>2007</v>
      </c>
      <c r="G1147" s="66">
        <f t="shared" ref="G1147" ca="1" si="2346">VLOOKUP(INDIRECT(CHAR(39)&amp;$A1147&amp;CHAR(39)&amp;"!r2c"&amp;$C1147,0),variables,2,0)</f>
        <v>10819</v>
      </c>
      <c r="H1147" s="71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66" t="s">
        <v>1045</v>
      </c>
      <c r="B1148" s="66">
        <f t="shared" si="2321"/>
        <v>10</v>
      </c>
      <c r="C1148" s="66">
        <f t="shared" si="2301"/>
        <v>81</v>
      </c>
      <c r="E1148" s="66">
        <f t="shared" ref="E1148" si="2347">plan_id</f>
        <v>1952</v>
      </c>
      <c r="F1148" s="66">
        <f t="shared" ca="1" si="2339"/>
        <v>2007</v>
      </c>
      <c r="G1148" s="66">
        <f t="shared" ref="G1148" ca="1" si="2348">VLOOKUP(INDIRECT(CHAR(39)&amp;$A1148&amp;CHAR(39)&amp;"!r2c"&amp;$C1148,0),variables,2,0)</f>
        <v>10820</v>
      </c>
      <c r="H1148" s="71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66" t="s">
        <v>1045</v>
      </c>
      <c r="B1149" s="66">
        <f t="shared" si="2321"/>
        <v>10</v>
      </c>
      <c r="C1149" s="66">
        <f t="shared" si="2301"/>
        <v>82</v>
      </c>
      <c r="E1149" s="66">
        <f t="shared" ref="E1149" si="2349">plan_id</f>
        <v>1952</v>
      </c>
      <c r="F1149" s="66">
        <f t="shared" ca="1" si="2339"/>
        <v>2007</v>
      </c>
      <c r="G1149" s="66">
        <f t="shared" ref="G1149" ca="1" si="2350">VLOOKUP(INDIRECT(CHAR(39)&amp;$A1149&amp;CHAR(39)&amp;"!r2c"&amp;$C1149,0),variables,2,0)</f>
        <v>10821</v>
      </c>
      <c r="H1149" s="71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66" t="s">
        <v>1045</v>
      </c>
      <c r="B1150" s="66">
        <f t="shared" si="2321"/>
        <v>10</v>
      </c>
      <c r="C1150" s="66">
        <f t="shared" si="2301"/>
        <v>83</v>
      </c>
      <c r="E1150" s="66">
        <f t="shared" ref="E1150" si="2351">plan_id</f>
        <v>1952</v>
      </c>
      <c r="F1150" s="66">
        <f t="shared" ca="1" si="2339"/>
        <v>2007</v>
      </c>
      <c r="G1150" s="66">
        <f t="shared" ref="G1150" ca="1" si="2352">VLOOKUP(INDIRECT(CHAR(39)&amp;$A1150&amp;CHAR(39)&amp;"!r2c"&amp;$C1150,0),variables,2,0)</f>
        <v>10822</v>
      </c>
      <c r="H1150" s="71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66" t="s">
        <v>1045</v>
      </c>
      <c r="B1151" s="66">
        <f t="shared" si="2321"/>
        <v>10</v>
      </c>
      <c r="C1151" s="66">
        <f t="shared" si="2301"/>
        <v>84</v>
      </c>
      <c r="E1151" s="66">
        <f t="shared" ref="E1151" si="2353">plan_id</f>
        <v>1952</v>
      </c>
      <c r="F1151" s="66">
        <f t="shared" ca="1" si="2339"/>
        <v>2007</v>
      </c>
      <c r="G1151" s="66">
        <f t="shared" ref="G1151" ca="1" si="2354">VLOOKUP(INDIRECT(CHAR(39)&amp;$A1151&amp;CHAR(39)&amp;"!r2c"&amp;$C1151,0),variables,2,0)</f>
        <v>10829</v>
      </c>
      <c r="H1151" s="71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66" t="s">
        <v>1045</v>
      </c>
      <c r="B1152" s="66">
        <f t="shared" si="2321"/>
        <v>10</v>
      </c>
      <c r="C1152" s="66">
        <f t="shared" si="2301"/>
        <v>85</v>
      </c>
      <c r="E1152" s="66">
        <f t="shared" ref="E1152" si="2355">plan_id</f>
        <v>1952</v>
      </c>
      <c r="F1152" s="66">
        <f t="shared" ca="1" si="2339"/>
        <v>2007</v>
      </c>
      <c r="G1152" s="66">
        <f t="shared" ref="G1152" ca="1" si="2356">VLOOKUP(INDIRECT(CHAR(39)&amp;$A1152&amp;CHAR(39)&amp;"!r2c"&amp;$C1152,0),variables,2,0)</f>
        <v>10823</v>
      </c>
      <c r="H1152" s="71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2">
      <c r="A1153" s="66" t="s">
        <v>1045</v>
      </c>
      <c r="B1153" s="66">
        <f t="shared" si="2321"/>
        <v>10</v>
      </c>
      <c r="C1153" s="66">
        <f t="shared" si="2301"/>
        <v>86</v>
      </c>
      <c r="E1153" s="66">
        <f t="shared" ref="E1153" si="2357">plan_id</f>
        <v>1952</v>
      </c>
      <c r="F1153" s="66">
        <f t="shared" ca="1" si="2339"/>
        <v>2007</v>
      </c>
      <c r="G1153" s="66">
        <f t="shared" ref="G1153" ca="1" si="2358">VLOOKUP(INDIRECT(CHAR(39)&amp;$A1153&amp;CHAR(39)&amp;"!r2c"&amp;$C1153,0),variables,2,0)</f>
        <v>10798</v>
      </c>
      <c r="H1153" s="71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66" t="s">
        <v>1045</v>
      </c>
      <c r="B1154" s="66">
        <f t="shared" si="2321"/>
        <v>10</v>
      </c>
      <c r="C1154" s="66">
        <f t="shared" si="2301"/>
        <v>87</v>
      </c>
      <c r="E1154" s="66">
        <f t="shared" ref="E1154" si="2359">plan_id</f>
        <v>1952</v>
      </c>
      <c r="F1154" s="66">
        <f t="shared" ca="1" si="2339"/>
        <v>2007</v>
      </c>
      <c r="G1154" s="66">
        <f t="shared" ref="G1154" ca="1" si="2360">VLOOKUP(INDIRECT(CHAR(39)&amp;$A1154&amp;CHAR(39)&amp;"!r2c"&amp;$C1154,0),variables,2,0)</f>
        <v>10799</v>
      </c>
      <c r="H1154" s="7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66" t="s">
        <v>1045</v>
      </c>
      <c r="B1155" s="66">
        <f t="shared" si="2321"/>
        <v>10</v>
      </c>
      <c r="C1155" s="66">
        <f t="shared" si="2301"/>
        <v>88</v>
      </c>
      <c r="E1155" s="66">
        <f t="shared" ref="E1155" si="2361">plan_id</f>
        <v>1952</v>
      </c>
      <c r="F1155" s="66">
        <f t="shared" ca="1" si="2339"/>
        <v>2007</v>
      </c>
      <c r="G1155" s="66">
        <f t="shared" ref="G1155" ca="1" si="2362">VLOOKUP(INDIRECT(CHAR(39)&amp;$A1155&amp;CHAR(39)&amp;"!r2c"&amp;$C1155,0),variables,2,0)</f>
        <v>10800</v>
      </c>
      <c r="H1155" s="7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66" t="s">
        <v>1045</v>
      </c>
      <c r="B1156" s="66">
        <f t="shared" si="2321"/>
        <v>10</v>
      </c>
      <c r="C1156" s="66">
        <f t="shared" si="2301"/>
        <v>89</v>
      </c>
      <c r="E1156" s="66">
        <f t="shared" ref="E1156" si="2363">plan_id</f>
        <v>1952</v>
      </c>
      <c r="F1156" s="66">
        <f t="shared" ca="1" si="2339"/>
        <v>2007</v>
      </c>
      <c r="G1156" s="66">
        <f t="shared" ref="G1156" ca="1" si="2364">VLOOKUP(INDIRECT(CHAR(39)&amp;$A1156&amp;CHAR(39)&amp;"!r2c"&amp;$C1156,0),variables,2,0)</f>
        <v>10824</v>
      </c>
      <c r="H1156" s="7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66" t="s">
        <v>1045</v>
      </c>
      <c r="B1157" s="66">
        <f t="shared" si="2321"/>
        <v>10</v>
      </c>
      <c r="C1157" s="66">
        <f t="shared" si="2301"/>
        <v>90</v>
      </c>
      <c r="E1157" s="66">
        <f t="shared" ref="E1157" si="2365">plan_id</f>
        <v>1952</v>
      </c>
      <c r="F1157" s="66">
        <f t="shared" ca="1" si="2339"/>
        <v>2007</v>
      </c>
      <c r="G1157" s="66">
        <f t="shared" ref="G1157" ca="1" si="2366">VLOOKUP(INDIRECT(CHAR(39)&amp;$A1157&amp;CHAR(39)&amp;"!r2c"&amp;$C1157,0),variables,2,0)</f>
        <v>10825</v>
      </c>
      <c r="H1157" s="7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66" t="s">
        <v>1045</v>
      </c>
      <c r="B1158" s="66">
        <f t="shared" si="2321"/>
        <v>10</v>
      </c>
      <c r="C1158" s="66">
        <f t="shared" si="2301"/>
        <v>91</v>
      </c>
      <c r="E1158" s="66">
        <f t="shared" ref="E1158" si="2367">plan_id</f>
        <v>1952</v>
      </c>
      <c r="F1158" s="66">
        <f t="shared" ca="1" si="2339"/>
        <v>2007</v>
      </c>
      <c r="G1158" s="66">
        <f t="shared" ref="G1158" ca="1" si="2368">VLOOKUP(INDIRECT(CHAR(39)&amp;$A1158&amp;CHAR(39)&amp;"!r2c"&amp;$C1158,0),variables,2,0)</f>
        <v>10826</v>
      </c>
      <c r="H1158" s="71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66" t="s">
        <v>1045</v>
      </c>
      <c r="B1159" s="66">
        <f t="shared" si="2321"/>
        <v>10</v>
      </c>
      <c r="C1159" s="66">
        <f t="shared" si="2301"/>
        <v>92</v>
      </c>
      <c r="E1159" s="66">
        <f t="shared" ref="E1159" si="2369">plan_id</f>
        <v>1952</v>
      </c>
      <c r="F1159" s="66">
        <f t="shared" ca="1" si="2339"/>
        <v>2007</v>
      </c>
      <c r="G1159" s="66">
        <f t="shared" ref="G1159" ca="1" si="2370">VLOOKUP(INDIRECT(CHAR(39)&amp;$A1159&amp;CHAR(39)&amp;"!r2c"&amp;$C1159,0),variables,2,0)</f>
        <v>10828</v>
      </c>
      <c r="H1159" s="71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66" t="s">
        <v>1045</v>
      </c>
      <c r="B1160" s="66">
        <f t="shared" si="2321"/>
        <v>10</v>
      </c>
      <c r="C1160" s="66">
        <f t="shared" si="2301"/>
        <v>93</v>
      </c>
      <c r="E1160" s="66">
        <f t="shared" ref="E1160" si="2371">plan_id</f>
        <v>1952</v>
      </c>
      <c r="F1160" s="66">
        <f t="shared" ca="1" si="2339"/>
        <v>2007</v>
      </c>
      <c r="G1160" s="66">
        <f t="shared" ref="G1160" ca="1" si="2372">VLOOKUP(INDIRECT(CHAR(39)&amp;$A1160&amp;CHAR(39)&amp;"!r2c"&amp;$C1160,0),variables,2,0)</f>
        <v>10827</v>
      </c>
      <c r="H1160" s="71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66" t="s">
        <v>1045</v>
      </c>
      <c r="B1161" s="66">
        <f t="shared" ref="B1161:B1224" si="2373">B1096+1</f>
        <v>11</v>
      </c>
      <c r="C1161" s="66">
        <f t="shared" si="2301"/>
        <v>3</v>
      </c>
      <c r="E1161" s="66">
        <f t="shared" ref="E1161" si="2374">plan_id</f>
        <v>1952</v>
      </c>
      <c r="F1161" s="66">
        <f t="shared" ca="1" si="2339"/>
        <v>2008</v>
      </c>
      <c r="G1161" s="66">
        <f t="shared" ref="G1161" ca="1" si="2375">VLOOKUP(INDIRECT(CHAR(39)&amp;$A1161&amp;CHAR(39)&amp;"!r2c"&amp;$C1161,0),variables,2,0)</f>
        <v>10703</v>
      </c>
      <c r="H1161" s="71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N/A</v>
      </c>
    </row>
    <row r="1162" spans="1:8" x14ac:dyDescent="0.2">
      <c r="A1162" s="66" t="s">
        <v>1045</v>
      </c>
      <c r="B1162" s="66">
        <f t="shared" si="2373"/>
        <v>11</v>
      </c>
      <c r="C1162" s="66">
        <f t="shared" si="2301"/>
        <v>4</v>
      </c>
      <c r="E1162" s="66">
        <f t="shared" ref="E1162" si="2376">plan_id</f>
        <v>1952</v>
      </c>
      <c r="F1162" s="66">
        <f t="shared" ca="1" si="2339"/>
        <v>2008</v>
      </c>
      <c r="G1162" s="66">
        <f t="shared" ref="G1162" ca="1" si="2377">VLOOKUP(INDIRECT(CHAR(39)&amp;$A1162&amp;CHAR(39)&amp;"!r2c"&amp;$C1162,0),variables,2,0)</f>
        <v>10845</v>
      </c>
      <c r="H1162" s="71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 Consulting ,LLC</v>
      </c>
    </row>
    <row r="1163" spans="1:8" x14ac:dyDescent="0.2">
      <c r="A1163" s="66" t="s">
        <v>1045</v>
      </c>
      <c r="B1163" s="66">
        <f t="shared" si="2373"/>
        <v>11</v>
      </c>
      <c r="C1163" s="66">
        <f t="shared" si="2301"/>
        <v>5</v>
      </c>
      <c r="E1163" s="66">
        <f t="shared" ref="E1163" si="2378">plan_id</f>
        <v>1952</v>
      </c>
      <c r="F1163" s="66">
        <f t="shared" ca="1" si="2339"/>
        <v>2008</v>
      </c>
      <c r="G1163" s="66">
        <f t="shared" ref="G1163" ca="1" si="2379">VLOOKUP(INDIRECT(CHAR(39)&amp;$A1163&amp;CHAR(39)&amp;"!r2c"&amp;$C1163,0),variables,2,0)</f>
        <v>10924</v>
      </c>
      <c r="H1163" s="71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(i)7.99%; (ii)10.14%</v>
      </c>
    </row>
    <row r="1164" spans="1:8" x14ac:dyDescent="0.2">
      <c r="A1164" s="66" t="s">
        <v>1045</v>
      </c>
      <c r="B1164" s="66">
        <f t="shared" si="2373"/>
        <v>11</v>
      </c>
      <c r="C1164" s="66">
        <f t="shared" si="2301"/>
        <v>6</v>
      </c>
      <c r="E1164" s="66">
        <f t="shared" ref="E1164" si="2380">plan_id</f>
        <v>1952</v>
      </c>
      <c r="F1164" s="66">
        <f t="shared" ca="1" si="2339"/>
        <v>2008</v>
      </c>
      <c r="G1164" s="66">
        <f t="shared" ref="G1164" ca="1" si="2381">VLOOKUP(INDIRECT(CHAR(39)&amp;$A1164&amp;CHAR(39)&amp;"!r2c"&amp;$C1164,0),variables,2,0)</f>
        <v>10925</v>
      </c>
      <c r="H1164" s="71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(i)2.99%; (ii)5.14%</v>
      </c>
    </row>
    <row r="1165" spans="1:8" x14ac:dyDescent="0.2">
      <c r="A1165" s="66" t="s">
        <v>1045</v>
      </c>
      <c r="B1165" s="66">
        <f t="shared" si="2373"/>
        <v>11</v>
      </c>
      <c r="C1165" s="66">
        <f t="shared" si="2301"/>
        <v>7</v>
      </c>
      <c r="E1165" s="66">
        <f t="shared" ref="E1165" si="2382">plan_id</f>
        <v>1952</v>
      </c>
      <c r="F1165" s="66">
        <f t="shared" ca="1" si="2339"/>
        <v>2008</v>
      </c>
      <c r="G1165" s="66">
        <f t="shared" ref="G1165" ca="1" si="2383">VLOOKUP(INDIRECT(CHAR(39)&amp;$A1165&amp;CHAR(39)&amp;"!r2c"&amp;$C1165,0),variables,2,0)</f>
        <v>10926</v>
      </c>
      <c r="H1165" s="71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(i)5%; (ii)5%</v>
      </c>
    </row>
    <row r="1166" spans="1:8" x14ac:dyDescent="0.2">
      <c r="A1166" s="66" t="s">
        <v>1045</v>
      </c>
      <c r="B1166" s="66">
        <f t="shared" si="2373"/>
        <v>11</v>
      </c>
      <c r="C1166" s="66">
        <f t="shared" si="2301"/>
        <v>8</v>
      </c>
      <c r="E1166" s="66">
        <f t="shared" ref="E1166" si="2384">plan_id</f>
        <v>1952</v>
      </c>
      <c r="F1166" s="66">
        <f t="shared" ca="1" si="2339"/>
        <v>2008</v>
      </c>
      <c r="G1166" s="66">
        <f t="shared" ref="G1166" ca="1" si="2385">VLOOKUP(INDIRECT(CHAR(39)&amp;$A1166&amp;CHAR(39)&amp;"!r2c"&amp;$C1166,0),variables,2,0)</f>
        <v>10704</v>
      </c>
      <c r="H1166" s="71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2">
      <c r="A1167" s="66" t="s">
        <v>1045</v>
      </c>
      <c r="B1167" s="66">
        <f t="shared" si="2373"/>
        <v>11</v>
      </c>
      <c r="C1167" s="66">
        <f t="shared" si="2301"/>
        <v>9</v>
      </c>
      <c r="E1167" s="66">
        <f t="shared" ref="E1167" si="2386">plan_id</f>
        <v>1952</v>
      </c>
      <c r="F1167" s="66">
        <f t="shared" ca="1" si="2339"/>
        <v>2008</v>
      </c>
      <c r="G1167" s="66">
        <f t="shared" ref="G1167" ca="1" si="2387">VLOOKUP(INDIRECT(CHAR(39)&amp;$A1167&amp;CHAR(39)&amp;"!r2c"&amp;$C1167,0),variables,2,0)</f>
        <v>10928</v>
      </c>
      <c r="H1167" s="71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(i)4.1%; (ii)5.82%</v>
      </c>
    </row>
    <row r="1168" spans="1:8" x14ac:dyDescent="0.2">
      <c r="A1168" s="66" t="s">
        <v>1045</v>
      </c>
      <c r="B1168" s="66">
        <f t="shared" si="2373"/>
        <v>11</v>
      </c>
      <c r="C1168" s="66">
        <f t="shared" si="2301"/>
        <v>10</v>
      </c>
      <c r="E1168" s="66">
        <f t="shared" ref="E1168" si="2388">plan_id</f>
        <v>1952</v>
      </c>
      <c r="F1168" s="66">
        <f t="shared" ca="1" si="2339"/>
        <v>2008</v>
      </c>
      <c r="G1168" s="66">
        <f t="shared" ref="G1168" ca="1" si="2389">VLOOKUP(INDIRECT(CHAR(39)&amp;$A1168&amp;CHAR(39)&amp;"!r2c"&amp;$C1168,0),variables,2,0)</f>
        <v>10929</v>
      </c>
      <c r="H1168" s="71" t="str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(i)4.1%; (ii)5.82%</v>
      </c>
    </row>
    <row r="1169" spans="1:8" x14ac:dyDescent="0.2">
      <c r="A1169" s="66" t="s">
        <v>1045</v>
      </c>
      <c r="B1169" s="66">
        <f t="shared" si="2373"/>
        <v>11</v>
      </c>
      <c r="C1169" s="66">
        <f t="shared" si="2301"/>
        <v>11</v>
      </c>
      <c r="E1169" s="66">
        <f t="shared" ref="E1169" si="2390">plan_id</f>
        <v>1952</v>
      </c>
      <c r="F1169" s="66">
        <f t="shared" ca="1" si="2339"/>
        <v>2008</v>
      </c>
      <c r="G1169" s="66">
        <f t="shared" ref="G1169" ca="1" si="2391">VLOOKUP(INDIRECT(CHAR(39)&amp;$A1169&amp;CHAR(39)&amp;"!r2c"&amp;$C1169,0),variables,2,0)</f>
        <v>10930</v>
      </c>
      <c r="H1169" s="71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66" t="s">
        <v>1045</v>
      </c>
      <c r="B1170" s="66">
        <f t="shared" si="2373"/>
        <v>11</v>
      </c>
      <c r="C1170" s="66">
        <f t="shared" si="2301"/>
        <v>12</v>
      </c>
      <c r="E1170" s="66">
        <f t="shared" ref="E1170" si="2392">plan_id</f>
        <v>1952</v>
      </c>
      <c r="F1170" s="66">
        <f t="shared" ca="1" si="2339"/>
        <v>2008</v>
      </c>
      <c r="G1170" s="66">
        <f t="shared" ref="G1170" ca="1" si="2393">VLOOKUP(INDIRECT(CHAR(39)&amp;$A1170&amp;CHAR(39)&amp;"!r2c"&amp;$C1170,0),variables,2,0)</f>
        <v>10705</v>
      </c>
      <c r="H1170" s="7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538718000</v>
      </c>
    </row>
    <row r="1171" spans="1:8" x14ac:dyDescent="0.2">
      <c r="A1171" s="66" t="s">
        <v>1045</v>
      </c>
      <c r="B1171" s="66">
        <f t="shared" si="2373"/>
        <v>11</v>
      </c>
      <c r="C1171" s="66">
        <f t="shared" si="2301"/>
        <v>13</v>
      </c>
      <c r="E1171" s="66">
        <f t="shared" ref="E1171" si="2394">plan_id</f>
        <v>1952</v>
      </c>
      <c r="F1171" s="66">
        <f t="shared" ca="1" si="2339"/>
        <v>2008</v>
      </c>
      <c r="G1171" s="66">
        <f t="shared" ref="G1171" ca="1" si="2395">VLOOKUP(INDIRECT(CHAR(39)&amp;$A1171&amp;CHAR(39)&amp;"!r2c"&amp;$C1171,0),variables,2,0)</f>
        <v>10842</v>
      </c>
      <c r="H1171" s="71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66" t="s">
        <v>1045</v>
      </c>
      <c r="B1172" s="66">
        <f t="shared" si="2373"/>
        <v>11</v>
      </c>
      <c r="C1172" s="66">
        <f t="shared" si="2301"/>
        <v>14</v>
      </c>
      <c r="E1172" s="66">
        <f t="shared" ref="E1172" si="2396">plan_id</f>
        <v>1952</v>
      </c>
      <c r="F1172" s="66">
        <f t="shared" ca="1" si="2339"/>
        <v>2008</v>
      </c>
      <c r="G1172" s="66">
        <f t="shared" ref="G1172" ca="1" si="2397">VLOOKUP(INDIRECT(CHAR(39)&amp;$A1172&amp;CHAR(39)&amp;"!r2c"&amp;$C1172,0),variables,2,0)</f>
        <v>10843</v>
      </c>
      <c r="H1172" s="71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66" t="s">
        <v>1045</v>
      </c>
      <c r="B1173" s="66">
        <f t="shared" si="2373"/>
        <v>11</v>
      </c>
      <c r="C1173" s="66">
        <f t="shared" si="2301"/>
        <v>15</v>
      </c>
      <c r="E1173" s="66">
        <f t="shared" ref="E1173" si="2398">plan_id</f>
        <v>1952</v>
      </c>
      <c r="F1173" s="66">
        <f t="shared" ca="1" si="2339"/>
        <v>2008</v>
      </c>
      <c r="G1173" s="66">
        <f t="shared" ref="G1173" ca="1" si="2399">VLOOKUP(INDIRECT(CHAR(39)&amp;$A1173&amp;CHAR(39)&amp;"!r2c"&amp;$C1173,0),variables,2,0)</f>
        <v>10931</v>
      </c>
      <c r="H1173" s="7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66" t="s">
        <v>1045</v>
      </c>
      <c r="B1174" s="66">
        <f t="shared" si="2373"/>
        <v>11</v>
      </c>
      <c r="C1174" s="66">
        <f t="shared" si="2301"/>
        <v>16</v>
      </c>
      <c r="E1174" s="66">
        <f t="shared" ref="E1174" si="2400">plan_id</f>
        <v>1952</v>
      </c>
      <c r="F1174" s="66">
        <f t="shared" ca="1" si="2339"/>
        <v>2008</v>
      </c>
      <c r="G1174" s="66">
        <f t="shared" ref="G1174" ca="1" si="2401">VLOOKUP(INDIRECT(CHAR(39)&amp;$A1174&amp;CHAR(39)&amp;"!r2c"&amp;$C1174,0),variables,2,0)</f>
        <v>10932</v>
      </c>
      <c r="H1174" s="7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66" t="s">
        <v>1045</v>
      </c>
      <c r="B1175" s="66">
        <f t="shared" si="2373"/>
        <v>11</v>
      </c>
      <c r="C1175" s="66">
        <f t="shared" si="2301"/>
        <v>17</v>
      </c>
      <c r="E1175" s="66">
        <f t="shared" ref="E1175" si="2402">plan_id</f>
        <v>1952</v>
      </c>
      <c r="F1175" s="66">
        <f t="shared" ca="1" si="2339"/>
        <v>2008</v>
      </c>
      <c r="G1175" s="66">
        <f t="shared" ref="G1175" ca="1" si="2403">VLOOKUP(INDIRECT(CHAR(39)&amp;$A1175&amp;CHAR(39)&amp;"!r2c"&amp;$C1175,0),variables,2,0)</f>
        <v>10933</v>
      </c>
      <c r="H1175" s="71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(i)7.09%; (ii)11.96%</v>
      </c>
    </row>
    <row r="1176" spans="1:8" x14ac:dyDescent="0.2">
      <c r="A1176" s="66" t="s">
        <v>1045</v>
      </c>
      <c r="B1176" s="66">
        <f t="shared" si="2373"/>
        <v>11</v>
      </c>
      <c r="C1176" s="66">
        <f t="shared" si="2301"/>
        <v>18</v>
      </c>
      <c r="E1176" s="66">
        <f t="shared" ref="E1176" si="2404">plan_id</f>
        <v>1952</v>
      </c>
      <c r="F1176" s="66">
        <f t="shared" ca="1" si="2339"/>
        <v>2008</v>
      </c>
      <c r="G1176" s="66">
        <f t="shared" ref="G1176" ca="1" si="2405">VLOOKUP(INDIRECT(CHAR(39)&amp;$A1176&amp;CHAR(39)&amp;"!r2c"&amp;$C1176,0),variables,2,0)</f>
        <v>10934</v>
      </c>
      <c r="H1176" s="71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(i)5%; (ii)5%</v>
      </c>
    </row>
    <row r="1177" spans="1:8" x14ac:dyDescent="0.2">
      <c r="A1177" s="66" t="s">
        <v>1045</v>
      </c>
      <c r="B1177" s="66">
        <f t="shared" si="2373"/>
        <v>11</v>
      </c>
      <c r="C1177" s="66">
        <f t="shared" si="2301"/>
        <v>19</v>
      </c>
      <c r="E1177" s="66">
        <f t="shared" ref="E1177" si="2406">plan_id</f>
        <v>1952</v>
      </c>
      <c r="F1177" s="66">
        <f t="shared" ca="1" si="2339"/>
        <v>2008</v>
      </c>
      <c r="G1177" s="66">
        <f t="shared" ref="G1177" ca="1" si="2407">VLOOKUP(INDIRECT(CHAR(39)&amp;$A1177&amp;CHAR(39)&amp;"!r2c"&amp;$C1177,0),variables,2,0)</f>
        <v>10935</v>
      </c>
      <c r="H1177" s="71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</row>
    <row r="1178" spans="1:8" x14ac:dyDescent="0.2">
      <c r="A1178" s="66" t="s">
        <v>1045</v>
      </c>
      <c r="B1178" s="66">
        <f t="shared" si="2373"/>
        <v>11</v>
      </c>
      <c r="C1178" s="66">
        <f t="shared" si="2301"/>
        <v>20</v>
      </c>
      <c r="E1178" s="66">
        <f t="shared" ref="E1178" si="2408">plan_id</f>
        <v>1952</v>
      </c>
      <c r="F1178" s="66">
        <f t="shared" ca="1" si="2339"/>
        <v>2008</v>
      </c>
      <c r="G1178" s="66">
        <f t="shared" ref="G1178" ca="1" si="2409">VLOOKUP(INDIRECT(CHAR(39)&amp;$A1178&amp;CHAR(39)&amp;"!r2c"&amp;$C1178,0),variables,2,0)</f>
        <v>10937</v>
      </c>
      <c r="H1178" s="71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66" t="s">
        <v>1045</v>
      </c>
      <c r="B1179" s="66">
        <f t="shared" si="2373"/>
        <v>11</v>
      </c>
      <c r="C1179" s="66">
        <f t="shared" si="2301"/>
        <v>21</v>
      </c>
      <c r="E1179" s="66">
        <f t="shared" ref="E1179" si="2410">plan_id</f>
        <v>1952</v>
      </c>
      <c r="F1179" s="66">
        <f t="shared" ca="1" si="2339"/>
        <v>2008</v>
      </c>
      <c r="G1179" s="66">
        <f t="shared" ref="G1179" ca="1" si="2411">VLOOKUP(INDIRECT(CHAR(39)&amp;$A1179&amp;CHAR(39)&amp;"!r2c"&amp;$C1179,0),variables,2,0)</f>
        <v>10938</v>
      </c>
      <c r="H1179" s="7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66" t="s">
        <v>1045</v>
      </c>
      <c r="B1180" s="66">
        <f t="shared" si="2373"/>
        <v>11</v>
      </c>
      <c r="C1180" s="66">
        <f t="shared" si="2301"/>
        <v>22</v>
      </c>
      <c r="E1180" s="66">
        <f t="shared" ref="E1180" si="2412">plan_id</f>
        <v>1952</v>
      </c>
      <c r="F1180" s="66">
        <f t="shared" ca="1" si="2339"/>
        <v>2008</v>
      </c>
      <c r="G1180" s="66">
        <f t="shared" ref="G1180" ca="1" si="2413">VLOOKUP(INDIRECT(CHAR(39)&amp;$A1180&amp;CHAR(39)&amp;"!r2c"&amp;$C1180,0),variables,2,0)</f>
        <v>11007</v>
      </c>
      <c r="H1180" s="71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1.7% of AFC times years of service</v>
      </c>
    </row>
    <row r="1181" spans="1:8" x14ac:dyDescent="0.2">
      <c r="A1181" s="66" t="s">
        <v>1045</v>
      </c>
      <c r="B1181" s="66">
        <f t="shared" si="2373"/>
        <v>11</v>
      </c>
      <c r="C1181" s="66">
        <f t="shared" si="2301"/>
        <v>23</v>
      </c>
      <c r="E1181" s="66">
        <f t="shared" ref="E1181" si="2414">plan_id</f>
        <v>1952</v>
      </c>
      <c r="F1181" s="66">
        <f t="shared" ca="1" si="2339"/>
        <v>2008</v>
      </c>
      <c r="G1181" s="66">
        <f t="shared" ref="G1181" ca="1" si="2415">VLOOKUP(INDIRECT(CHAR(39)&amp;$A1181&amp;CHAR(39)&amp;"!r2c"&amp;$C1181,0),variables,2,0)</f>
        <v>10941</v>
      </c>
      <c r="H1181" s="71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PBI</v>
      </c>
    </row>
    <row r="1182" spans="1:8" x14ac:dyDescent="0.2">
      <c r="A1182" s="66" t="s">
        <v>1045</v>
      </c>
      <c r="B1182" s="66">
        <f t="shared" si="2373"/>
        <v>11</v>
      </c>
      <c r="C1182" s="66">
        <f t="shared" si="2301"/>
        <v>24</v>
      </c>
      <c r="E1182" s="66">
        <f t="shared" ref="E1182" si="2416">plan_id</f>
        <v>1952</v>
      </c>
      <c r="F1182" s="66">
        <f t="shared" ca="1" si="2339"/>
        <v>2008</v>
      </c>
      <c r="G1182" s="66">
        <f t="shared" ref="G1182" ca="1" si="2417">VLOOKUP(INDIRECT(CHAR(39)&amp;$A1182&amp;CHAR(39)&amp;"!r2c"&amp;$C1182,0),variables,2,0)</f>
        <v>10942</v>
      </c>
      <c r="H1182" s="71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66" t="s">
        <v>1045</v>
      </c>
      <c r="B1183" s="66">
        <f t="shared" si="2373"/>
        <v>11</v>
      </c>
      <c r="C1183" s="66">
        <f t="shared" si="2301"/>
        <v>25</v>
      </c>
      <c r="E1183" s="66">
        <f t="shared" ref="E1183" si="2418">plan_id</f>
        <v>1952</v>
      </c>
      <c r="F1183" s="66">
        <f t="shared" ca="1" si="2339"/>
        <v>2008</v>
      </c>
      <c r="G1183" s="66">
        <f t="shared" ref="G1183" ca="1" si="2419">VLOOKUP(INDIRECT(CHAR(39)&amp;$A1183&amp;CHAR(39)&amp;"!r2c"&amp;$C1183,0),variables,2,0)</f>
        <v>10701</v>
      </c>
      <c r="H1183" s="71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2">
      <c r="A1184" s="66" t="s">
        <v>1045</v>
      </c>
      <c r="B1184" s="66">
        <f t="shared" si="2373"/>
        <v>11</v>
      </c>
      <c r="C1184" s="66">
        <f t="shared" si="2301"/>
        <v>26</v>
      </c>
      <c r="E1184" s="66">
        <f t="shared" ref="E1184" si="2420">plan_id</f>
        <v>1952</v>
      </c>
      <c r="F1184" s="66">
        <f t="shared" ca="1" si="2339"/>
        <v>2008</v>
      </c>
      <c r="G1184" s="66">
        <f t="shared" ref="G1184" ca="1" si="2421">VLOOKUP(INDIRECT(CHAR(39)&amp;$A1184&amp;CHAR(39)&amp;"!r2c"&amp;$C1184,0),variables,2,0)</f>
        <v>10702</v>
      </c>
      <c r="H1184" s="71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66" t="s">
        <v>1045</v>
      </c>
      <c r="B1185" s="66">
        <f t="shared" si="2373"/>
        <v>11</v>
      </c>
      <c r="C1185" s="66">
        <f t="shared" si="2301"/>
        <v>27</v>
      </c>
      <c r="E1185" s="66">
        <f t="shared" ref="E1185" si="2422">plan_id</f>
        <v>1952</v>
      </c>
      <c r="F1185" s="66">
        <f t="shared" ca="1" si="2339"/>
        <v>2008</v>
      </c>
      <c r="G1185" s="66">
        <f t="shared" ref="G1185" ca="1" si="2423">VLOOKUP(INDIRECT(CHAR(39)&amp;$A1185&amp;CHAR(39)&amp;"!r2c"&amp;$C1185,0),variables,2,0)</f>
        <v>10943</v>
      </c>
      <c r="H1185" s="71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2.5000000000000001E-2</v>
      </c>
    </row>
    <row r="1186" spans="1:8" x14ac:dyDescent="0.2">
      <c r="A1186" s="66" t="s">
        <v>1045</v>
      </c>
      <c r="B1186" s="66">
        <f t="shared" si="2373"/>
        <v>11</v>
      </c>
      <c r="C1186" s="66">
        <f t="shared" si="2301"/>
        <v>28</v>
      </c>
      <c r="E1186" s="66">
        <f t="shared" ref="E1186" si="2424">plan_id</f>
        <v>1952</v>
      </c>
      <c r="F1186" s="66">
        <f t="shared" ca="1" si="2339"/>
        <v>2008</v>
      </c>
      <c r="G1186" s="66">
        <f t="shared" ref="G1186" ca="1" si="2425">VLOOKUP(INDIRECT(CHAR(39)&amp;$A1186&amp;CHAR(39)&amp;"!r2c"&amp;$C1186,0),variables,2,0)</f>
        <v>10944</v>
      </c>
      <c r="H1186" s="71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66" t="s">
        <v>1045</v>
      </c>
      <c r="B1187" s="66">
        <f t="shared" si="2373"/>
        <v>11</v>
      </c>
      <c r="C1187" s="66">
        <f t="shared" si="2301"/>
        <v>29</v>
      </c>
      <c r="E1187" s="66">
        <f t="shared" ref="E1187" si="2426">plan_id</f>
        <v>1952</v>
      </c>
      <c r="F1187" s="66">
        <f t="shared" ca="1" si="2339"/>
        <v>2008</v>
      </c>
      <c r="G1187" s="66">
        <f t="shared" ref="G1187" ca="1" si="2427">VLOOKUP(INDIRECT(CHAR(39)&amp;$A1187&amp;CHAR(39)&amp;"!r2c"&amp;$C1187,0),variables,2,0)</f>
        <v>10945</v>
      </c>
      <c r="H1187" s="71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66" t="s">
        <v>1045</v>
      </c>
      <c r="B1188" s="66">
        <f t="shared" si="2373"/>
        <v>11</v>
      </c>
      <c r="C1188" s="66">
        <f t="shared" si="2301"/>
        <v>30</v>
      </c>
      <c r="E1188" s="66">
        <f t="shared" ref="E1188" si="2428">plan_id</f>
        <v>1952</v>
      </c>
      <c r="F1188" s="66">
        <f t="shared" ca="1" si="2339"/>
        <v>2008</v>
      </c>
      <c r="G1188" s="66">
        <f t="shared" ref="G1188" ca="1" si="2429">VLOOKUP(INDIRECT(CHAR(39)&amp;$A1188&amp;CHAR(39)&amp;"!r2c"&amp;$C1188,0),variables,2,0)</f>
        <v>10947</v>
      </c>
      <c r="H1188" s="71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66" t="s">
        <v>1045</v>
      </c>
      <c r="B1189" s="66">
        <f t="shared" si="2373"/>
        <v>11</v>
      </c>
      <c r="C1189" s="66">
        <f t="shared" si="2301"/>
        <v>31</v>
      </c>
      <c r="E1189" s="66">
        <f t="shared" ref="E1189" si="2430">plan_id</f>
        <v>1952</v>
      </c>
      <c r="F1189" s="66">
        <f t="shared" ca="1" si="2339"/>
        <v>2008</v>
      </c>
      <c r="G1189" s="66">
        <f t="shared" ref="G1189" ca="1" si="2431">VLOOKUP(INDIRECT(CHAR(39)&amp;$A1189&amp;CHAR(39)&amp;"!r2c"&amp;$C1189,0),variables,2,0)</f>
        <v>10948</v>
      </c>
      <c r="H1189" s="71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2">
      <c r="A1190" s="66" t="s">
        <v>1045</v>
      </c>
      <c r="B1190" s="66">
        <f t="shared" si="2373"/>
        <v>11</v>
      </c>
      <c r="C1190" s="66">
        <f t="shared" si="2301"/>
        <v>32</v>
      </c>
      <c r="E1190" s="66">
        <f t="shared" ref="E1190" si="2432">plan_id</f>
        <v>1952</v>
      </c>
      <c r="F1190" s="66">
        <f t="shared" ca="1" si="2339"/>
        <v>2008</v>
      </c>
      <c r="G1190" s="66">
        <f t="shared" ref="G1190" ca="1" si="2433">VLOOKUP(INDIRECT(CHAR(39)&amp;$A1190&amp;CHAR(39)&amp;"!r2c"&amp;$C1190,0),variables,2,0)</f>
        <v>10949</v>
      </c>
      <c r="H1190" s="71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66" t="s">
        <v>1045</v>
      </c>
      <c r="B1191" s="66">
        <f t="shared" si="2373"/>
        <v>11</v>
      </c>
      <c r="C1191" s="66">
        <f t="shared" ref="C1191:C1254" si="2434">C1100</f>
        <v>33</v>
      </c>
      <c r="E1191" s="66">
        <f t="shared" ref="E1191" si="2435">plan_id</f>
        <v>1952</v>
      </c>
      <c r="F1191" s="66">
        <f t="shared" ca="1" si="2339"/>
        <v>2008</v>
      </c>
      <c r="G1191" s="66">
        <f t="shared" ref="G1191" ca="1" si="2436">VLOOKUP(INDIRECT(CHAR(39)&amp;$A1191&amp;CHAR(39)&amp;"!r2c"&amp;$C1191,0),variables,2,0)</f>
        <v>10951</v>
      </c>
      <c r="H1191" s="71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2">
      <c r="A1192" s="66" t="s">
        <v>1045</v>
      </c>
      <c r="B1192" s="66">
        <f t="shared" si="2373"/>
        <v>11</v>
      </c>
      <c r="C1192" s="66">
        <f t="shared" si="2434"/>
        <v>34</v>
      </c>
      <c r="E1192" s="66">
        <f t="shared" ref="E1192" si="2437">plan_id</f>
        <v>1952</v>
      </c>
      <c r="F1192" s="66">
        <f t="shared" ca="1" si="2339"/>
        <v>2008</v>
      </c>
      <c r="G1192" s="66">
        <f t="shared" ref="G1192" ca="1" si="2438">VLOOKUP(INDIRECT(CHAR(39)&amp;$A1192&amp;CHAR(39)&amp;"!r2c"&amp;$C1192,0),variables,2,0)</f>
        <v>10950</v>
      </c>
      <c r="H1192" s="71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66" t="s">
        <v>1045</v>
      </c>
      <c r="B1193" s="66">
        <f t="shared" si="2373"/>
        <v>11</v>
      </c>
      <c r="C1193" s="66">
        <f t="shared" si="2434"/>
        <v>35</v>
      </c>
      <c r="E1193" s="66">
        <f t="shared" ref="E1193" si="2439">plan_id</f>
        <v>1952</v>
      </c>
      <c r="F1193" s="66">
        <f t="shared" ca="1" si="2339"/>
        <v>2008</v>
      </c>
      <c r="G1193" s="66">
        <f t="shared" ref="G1193" ca="1" si="2440">VLOOKUP(INDIRECT(CHAR(39)&amp;$A1193&amp;CHAR(39)&amp;"!r2c"&amp;$C1193,0),variables,2,0)</f>
        <v>10954</v>
      </c>
      <c r="H1193" s="71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2.5000000000000001E-2</v>
      </c>
    </row>
    <row r="1194" spans="1:8" x14ac:dyDescent="0.2">
      <c r="A1194" s="66" t="s">
        <v>1045</v>
      </c>
      <c r="B1194" s="66">
        <f t="shared" si="2373"/>
        <v>11</v>
      </c>
      <c r="C1194" s="66">
        <f t="shared" si="2434"/>
        <v>36</v>
      </c>
      <c r="E1194" s="66">
        <f t="shared" ref="E1194" si="2441">plan_id</f>
        <v>1952</v>
      </c>
      <c r="F1194" s="66">
        <f t="shared" ca="1" si="2339"/>
        <v>2008</v>
      </c>
      <c r="G1194" s="66">
        <f t="shared" ref="G1194" ca="1" si="2442">VLOOKUP(INDIRECT(CHAR(39)&amp;$A1194&amp;CHAR(39)&amp;"!r2c"&amp;$C1194,0),variables,2,0)</f>
        <v>10955</v>
      </c>
      <c r="H1194" s="71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2">
      <c r="A1195" s="66" t="s">
        <v>1045</v>
      </c>
      <c r="B1195" s="66">
        <f t="shared" si="2373"/>
        <v>11</v>
      </c>
      <c r="C1195" s="66">
        <f t="shared" si="2434"/>
        <v>37</v>
      </c>
      <c r="E1195" s="66">
        <f t="shared" ref="E1195" si="2443">plan_id</f>
        <v>1952</v>
      </c>
      <c r="F1195" s="66">
        <f t="shared" ca="1" si="2339"/>
        <v>2008</v>
      </c>
      <c r="G1195" s="66">
        <f t="shared" ref="G1195" ca="1" si="2444">VLOOKUP(INDIRECT(CHAR(39)&amp;$A1195&amp;CHAR(39)&amp;"!r2c"&amp;$C1195,0),variables,2,0)</f>
        <v>10956</v>
      </c>
      <c r="H1195" s="71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0.03</v>
      </c>
    </row>
    <row r="1196" spans="1:8" x14ac:dyDescent="0.2">
      <c r="A1196" s="66" t="s">
        <v>1045</v>
      </c>
      <c r="B1196" s="66">
        <f t="shared" si="2373"/>
        <v>11</v>
      </c>
      <c r="C1196" s="66">
        <f t="shared" si="2434"/>
        <v>38</v>
      </c>
      <c r="E1196" s="66">
        <f t="shared" ref="E1196" si="2445">plan_id</f>
        <v>1952</v>
      </c>
      <c r="F1196" s="66">
        <f t="shared" ca="1" si="2339"/>
        <v>2008</v>
      </c>
      <c r="G1196" s="66">
        <f t="shared" ref="G1196" ca="1" si="2446">VLOOKUP(INDIRECT(CHAR(39)&amp;$A1196&amp;CHAR(39)&amp;"!r2c"&amp;$C1196,0),variables,2,0)</f>
        <v>10959</v>
      </c>
      <c r="H1196" s="71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SE-3.75% to 5.6% &amp; Teach 3.75% to 6.20%</v>
      </c>
    </row>
    <row r="1197" spans="1:8" x14ac:dyDescent="0.2">
      <c r="A1197" s="66" t="s">
        <v>1045</v>
      </c>
      <c r="B1197" s="66">
        <f t="shared" si="2373"/>
        <v>11</v>
      </c>
      <c r="C1197" s="66">
        <f t="shared" si="2434"/>
        <v>39</v>
      </c>
      <c r="E1197" s="66">
        <f t="shared" ref="E1197" si="2447">plan_id</f>
        <v>1952</v>
      </c>
      <c r="F1197" s="66">
        <f t="shared" ca="1" si="2339"/>
        <v>2008</v>
      </c>
      <c r="G1197" s="66">
        <f t="shared" ref="G1197" ca="1" si="2448">VLOOKUP(INDIRECT(CHAR(39)&amp;$A1197&amp;CHAR(39)&amp;"!r2c"&amp;$C1197,0),variables,2,0)</f>
        <v>10962</v>
      </c>
      <c r="H1197" s="71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Pg.51 &amp; 56</v>
      </c>
    </row>
    <row r="1198" spans="1:8" x14ac:dyDescent="0.2">
      <c r="A1198" s="66" t="s">
        <v>1045</v>
      </c>
      <c r="B1198" s="66">
        <f t="shared" si="2373"/>
        <v>11</v>
      </c>
      <c r="C1198" s="66">
        <f t="shared" si="2434"/>
        <v>40</v>
      </c>
      <c r="E1198" s="66">
        <f t="shared" ref="E1198" si="2449">plan_id</f>
        <v>1952</v>
      </c>
      <c r="F1198" s="66">
        <f t="shared" ca="1" si="2339"/>
        <v>2008</v>
      </c>
      <c r="G1198" s="66">
        <f t="shared" ref="G1198" ca="1" si="2450">VLOOKUP(INDIRECT(CHAR(39)&amp;$A1198&amp;CHAR(39)&amp;"!r2c"&amp;$C1198,0),variables,2,0)</f>
        <v>10964</v>
      </c>
      <c r="H1198" s="71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Pg.49 &amp; 54</v>
      </c>
    </row>
    <row r="1199" spans="1:8" x14ac:dyDescent="0.2">
      <c r="A1199" s="66" t="s">
        <v>1045</v>
      </c>
      <c r="B1199" s="66">
        <f t="shared" si="2373"/>
        <v>11</v>
      </c>
      <c r="C1199" s="66">
        <f t="shared" si="2434"/>
        <v>41</v>
      </c>
      <c r="E1199" s="66">
        <f t="shared" ref="E1199" si="2451">plan_id</f>
        <v>1952</v>
      </c>
      <c r="F1199" s="66">
        <f t="shared" ca="1" si="2339"/>
        <v>2008</v>
      </c>
      <c r="G1199" s="66">
        <f t="shared" ref="G1199" ca="1" si="2452">VLOOKUP(INDIRECT(CHAR(39)&amp;$A1199&amp;CHAR(39)&amp;"!r2c"&amp;$C1199,0),variables,2,0)</f>
        <v>10967</v>
      </c>
      <c r="H1199" s="71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Group Annuity Mortality Table</v>
      </c>
    </row>
    <row r="1200" spans="1:8" x14ac:dyDescent="0.2">
      <c r="A1200" s="66" t="s">
        <v>1045</v>
      </c>
      <c r="B1200" s="66">
        <f t="shared" si="2373"/>
        <v>11</v>
      </c>
      <c r="C1200" s="66">
        <f t="shared" si="2434"/>
        <v>42</v>
      </c>
      <c r="E1200" s="66">
        <f t="shared" ref="E1200" si="2453">plan_id</f>
        <v>1952</v>
      </c>
      <c r="F1200" s="66">
        <f t="shared" ca="1" si="2339"/>
        <v>2008</v>
      </c>
      <c r="G1200" s="66">
        <f t="shared" ref="G1200" ca="1" si="2454">VLOOKUP(INDIRECT(CHAR(39)&amp;$A1200&amp;CHAR(39)&amp;"!r2c"&amp;$C1200,0),variables,2,0)</f>
        <v>10968</v>
      </c>
      <c r="H1200" s="71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2">
      <c r="A1201" s="66" t="s">
        <v>1045</v>
      </c>
      <c r="B1201" s="66">
        <f t="shared" si="2373"/>
        <v>11</v>
      </c>
      <c r="C1201" s="66">
        <f t="shared" si="2434"/>
        <v>43</v>
      </c>
      <c r="E1201" s="66">
        <f t="shared" ref="E1201" si="2455">plan_id</f>
        <v>1952</v>
      </c>
      <c r="F1201" s="66">
        <f t="shared" ca="1" si="2339"/>
        <v>2008</v>
      </c>
      <c r="G1201" s="66">
        <f t="shared" ref="G1201" ca="1" si="2456">VLOOKUP(INDIRECT(CHAR(39)&amp;$A1201&amp;CHAR(39)&amp;"!r2c"&amp;$C1201,0),variables,2,0)</f>
        <v>10969</v>
      </c>
      <c r="H1201" s="71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66" t="s">
        <v>1045</v>
      </c>
      <c r="B1202" s="66">
        <f t="shared" si="2373"/>
        <v>11</v>
      </c>
      <c r="C1202" s="66">
        <f t="shared" si="2434"/>
        <v>44</v>
      </c>
      <c r="E1202" s="66">
        <f t="shared" ref="E1202" si="2457">plan_id</f>
        <v>1952</v>
      </c>
      <c r="F1202" s="66">
        <f t="shared" ca="1" si="2339"/>
        <v>2008</v>
      </c>
      <c r="G1202" s="66">
        <f t="shared" ref="G1202" ca="1" si="2458">VLOOKUP(INDIRECT(CHAR(39)&amp;$A1202&amp;CHAR(39)&amp;"!r2c"&amp;$C1202,0),variables,2,0)</f>
        <v>10970</v>
      </c>
      <c r="H1202" s="71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State: Males &amp; Females: 1 Year; Teachers: Pre- 1 Year; Post- 3 Years</v>
      </c>
    </row>
    <row r="1203" spans="1:8" x14ac:dyDescent="0.2">
      <c r="A1203" s="66" t="s">
        <v>1045</v>
      </c>
      <c r="B1203" s="66">
        <f t="shared" si="2373"/>
        <v>11</v>
      </c>
      <c r="C1203" s="66">
        <f t="shared" si="2434"/>
        <v>45</v>
      </c>
      <c r="E1203" s="66">
        <f t="shared" ref="E1203" si="2459">plan_id</f>
        <v>1952</v>
      </c>
      <c r="F1203" s="66">
        <f t="shared" ca="1" si="2339"/>
        <v>2008</v>
      </c>
      <c r="G1203" s="66">
        <f t="shared" ref="G1203" ca="1" si="2460">VLOOKUP(INDIRECT(CHAR(39)&amp;$A1203&amp;CHAR(39)&amp;"!r2c"&amp;$C1203,0),variables,2,0)</f>
        <v>10971</v>
      </c>
      <c r="H1203" s="71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66" t="s">
        <v>1045</v>
      </c>
      <c r="B1204" s="66">
        <f t="shared" si="2373"/>
        <v>11</v>
      </c>
      <c r="C1204" s="66">
        <f t="shared" si="2434"/>
        <v>46</v>
      </c>
      <c r="E1204" s="66">
        <f t="shared" ref="E1204" si="2461">plan_id</f>
        <v>1952</v>
      </c>
      <c r="F1204" s="66">
        <f t="shared" ca="1" si="2339"/>
        <v>2008</v>
      </c>
      <c r="G1204" s="66">
        <f t="shared" ref="G1204" ca="1" si="2462">VLOOKUP(INDIRECT(CHAR(39)&amp;$A1204&amp;CHAR(39)&amp;"!r2c"&amp;$C1204,0),variables,2,0)</f>
        <v>10972</v>
      </c>
      <c r="H1204" s="71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open</v>
      </c>
    </row>
    <row r="1205" spans="1:8" x14ac:dyDescent="0.2">
      <c r="A1205" s="66" t="s">
        <v>1045</v>
      </c>
      <c r="B1205" s="66">
        <f t="shared" si="2373"/>
        <v>11</v>
      </c>
      <c r="C1205" s="66">
        <f t="shared" si="2434"/>
        <v>47</v>
      </c>
      <c r="E1205" s="66">
        <f t="shared" ref="E1205" si="2463">plan_id</f>
        <v>1952</v>
      </c>
      <c r="F1205" s="66">
        <f t="shared" ca="1" si="2339"/>
        <v>2008</v>
      </c>
      <c r="G1205" s="66">
        <f t="shared" ref="G1205" ca="1" si="2464">VLOOKUP(INDIRECT(CHAR(39)&amp;$A1205&amp;CHAR(39)&amp;"!r2c"&amp;$C1205,0),variables,2,0)</f>
        <v>10973</v>
      </c>
      <c r="H1205" s="71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2">
      <c r="A1206" s="66" t="s">
        <v>1045</v>
      </c>
      <c r="B1206" s="66">
        <f t="shared" si="2373"/>
        <v>11</v>
      </c>
      <c r="C1206" s="66">
        <f t="shared" si="2434"/>
        <v>48</v>
      </c>
      <c r="E1206" s="66">
        <f t="shared" ref="E1206" si="2465">plan_id</f>
        <v>1952</v>
      </c>
      <c r="F1206" s="66">
        <f t="shared" ca="1" si="2339"/>
        <v>2008</v>
      </c>
      <c r="G1206" s="66">
        <f t="shared" ref="G1206" ca="1" si="2466">VLOOKUP(INDIRECT(CHAR(39)&amp;$A1206&amp;CHAR(39)&amp;"!r2c"&amp;$C1206,0),variables,2,0)</f>
        <v>10975</v>
      </c>
      <c r="H1206" s="71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2">
      <c r="A1207" s="66" t="s">
        <v>1045</v>
      </c>
      <c r="B1207" s="66">
        <f t="shared" si="2373"/>
        <v>11</v>
      </c>
      <c r="C1207" s="66">
        <f t="shared" si="2434"/>
        <v>49</v>
      </c>
      <c r="E1207" s="66">
        <f t="shared" ref="E1207" si="2467">plan_id</f>
        <v>1952</v>
      </c>
      <c r="F1207" s="66">
        <f t="shared" ca="1" si="2339"/>
        <v>2008</v>
      </c>
      <c r="G1207" s="66">
        <f t="shared" ref="G1207" ca="1" si="2468">VLOOKUP(INDIRECT(CHAR(39)&amp;$A1207&amp;CHAR(39)&amp;"!r2c"&amp;$C1207,0),variables,2,0)</f>
        <v>10976</v>
      </c>
      <c r="H1207" s="71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2">
      <c r="A1208" s="66" t="s">
        <v>1045</v>
      </c>
      <c r="B1208" s="66">
        <f t="shared" si="2373"/>
        <v>11</v>
      </c>
      <c r="C1208" s="66">
        <f t="shared" si="2434"/>
        <v>50</v>
      </c>
      <c r="E1208" s="66">
        <f t="shared" ref="E1208" si="2469">plan_id</f>
        <v>1952</v>
      </c>
      <c r="F1208" s="66">
        <f t="shared" ca="1" si="2339"/>
        <v>2008</v>
      </c>
      <c r="G1208" s="66">
        <f t="shared" ref="G1208" ca="1" si="2470">VLOOKUP(INDIRECT(CHAR(39)&amp;$A1208&amp;CHAR(39)&amp;"!r2c"&amp;$C1208,0),variables,2,0)</f>
        <v>10977</v>
      </c>
      <c r="H1208" s="71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66" t="s">
        <v>1045</v>
      </c>
      <c r="B1209" s="66">
        <f t="shared" si="2373"/>
        <v>11</v>
      </c>
      <c r="C1209" s="66">
        <f t="shared" si="2434"/>
        <v>51</v>
      </c>
      <c r="E1209" s="66">
        <f t="shared" ref="E1209" si="2471">plan_id</f>
        <v>1952</v>
      </c>
      <c r="F1209" s="66">
        <f t="shared" ca="1" si="2339"/>
        <v>2008</v>
      </c>
      <c r="G1209" s="66">
        <f t="shared" ref="G1209" ca="1" si="2472">VLOOKUP(INDIRECT(CHAR(39)&amp;$A1209&amp;CHAR(39)&amp;"!r2c"&amp;$C1209,0),variables,2,0)</f>
        <v>10978</v>
      </c>
      <c r="H1209" s="71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2">
      <c r="A1210" s="66" t="s">
        <v>1045</v>
      </c>
      <c r="B1210" s="66">
        <f t="shared" si="2373"/>
        <v>11</v>
      </c>
      <c r="C1210" s="66">
        <f t="shared" si="2434"/>
        <v>52</v>
      </c>
      <c r="E1210" s="66">
        <f t="shared" ref="E1210" si="2473">plan_id</f>
        <v>1952</v>
      </c>
      <c r="F1210" s="66">
        <f t="shared" ca="1" si="2339"/>
        <v>2008</v>
      </c>
      <c r="G1210" s="66">
        <f t="shared" ref="G1210" ca="1" si="2474">VLOOKUP(INDIRECT(CHAR(39)&amp;$A1210&amp;CHAR(39)&amp;"!r2c"&amp;$C1210,0),variables,2,0)</f>
        <v>10979</v>
      </c>
      <c r="H1210" s="71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2">
      <c r="A1211" s="66" t="s">
        <v>1045</v>
      </c>
      <c r="B1211" s="66">
        <f t="shared" si="2373"/>
        <v>11</v>
      </c>
      <c r="C1211" s="66">
        <f t="shared" si="2434"/>
        <v>53</v>
      </c>
      <c r="E1211" s="66">
        <f t="shared" ref="E1211" si="2475">plan_id</f>
        <v>1952</v>
      </c>
      <c r="F1211" s="66">
        <f t="shared" ca="1" si="2339"/>
        <v>2008</v>
      </c>
      <c r="G1211" s="66">
        <f t="shared" ref="G1211" ca="1" si="2476">VLOOKUP(INDIRECT(CHAR(39)&amp;$A1211&amp;CHAR(39)&amp;"!r2c"&amp;$C1211,0),variables,2,0)</f>
        <v>10980</v>
      </c>
      <c r="H1211" s="71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2">
      <c r="A1212" s="66" t="s">
        <v>1045</v>
      </c>
      <c r="B1212" s="66">
        <f t="shared" si="2373"/>
        <v>11</v>
      </c>
      <c r="C1212" s="66">
        <f t="shared" si="2434"/>
        <v>54</v>
      </c>
      <c r="E1212" s="66">
        <f t="shared" ref="E1212" si="2477">plan_id</f>
        <v>1952</v>
      </c>
      <c r="F1212" s="66">
        <f t="shared" ca="1" si="2339"/>
        <v>2008</v>
      </c>
      <c r="G1212" s="66">
        <f t="shared" ref="G1212" ca="1" si="2478">VLOOKUP(INDIRECT(CHAR(39)&amp;$A1212&amp;CHAR(39)&amp;"!r2c"&amp;$C1212,0),variables,2,0)</f>
        <v>10981</v>
      </c>
      <c r="H1212" s="71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2">
      <c r="A1213" s="66" t="s">
        <v>1045</v>
      </c>
      <c r="B1213" s="66">
        <f t="shared" si="2373"/>
        <v>11</v>
      </c>
      <c r="C1213" s="66">
        <f t="shared" si="2434"/>
        <v>55</v>
      </c>
      <c r="E1213" s="66">
        <f t="shared" ref="E1213" si="2479">plan_id</f>
        <v>1952</v>
      </c>
      <c r="F1213" s="66">
        <f t="shared" ca="1" si="2339"/>
        <v>2008</v>
      </c>
      <c r="G1213" s="66">
        <f t="shared" ref="G1213" ca="1" si="2480">VLOOKUP(INDIRECT(CHAR(39)&amp;$A1213&amp;CHAR(39)&amp;"!r2c"&amp;$C1213,0),variables,2,0)</f>
        <v>10706</v>
      </c>
      <c r="H1213" s="71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7.3318594988537047E-4</v>
      </c>
    </row>
    <row r="1214" spans="1:8" x14ac:dyDescent="0.2">
      <c r="A1214" s="66" t="s">
        <v>1045</v>
      </c>
      <c r="B1214" s="66">
        <f t="shared" si="2373"/>
        <v>11</v>
      </c>
      <c r="C1214" s="66">
        <f t="shared" si="2434"/>
        <v>56</v>
      </c>
      <c r="E1214" s="66">
        <f t="shared" ref="E1214" si="2481">plan_id</f>
        <v>1952</v>
      </c>
      <c r="F1214" s="66">
        <f t="shared" ca="1" si="2339"/>
        <v>2008</v>
      </c>
      <c r="G1214" s="66">
        <f t="shared" ref="G1214" ca="1" si="2482">VLOOKUP(INDIRECT(CHAR(39)&amp;$A1214&amp;CHAR(39)&amp;"!r2c"&amp;$C1214,0),variables,2,0)</f>
        <v>10983</v>
      </c>
      <c r="H1214" s="71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66" t="s">
        <v>1045</v>
      </c>
      <c r="B1215" s="66">
        <f t="shared" si="2373"/>
        <v>11</v>
      </c>
      <c r="C1215" s="66">
        <f t="shared" si="2434"/>
        <v>57</v>
      </c>
      <c r="E1215" s="66">
        <f t="shared" ref="E1215" si="2483">plan_id</f>
        <v>1952</v>
      </c>
      <c r="F1215" s="66">
        <f t="shared" ca="1" si="2339"/>
        <v>2008</v>
      </c>
      <c r="G1215" s="66">
        <f t="shared" ref="G1215" ca="1" si="2484">VLOOKUP(INDIRECT(CHAR(39)&amp;$A1215&amp;CHAR(39)&amp;"!r2c"&amp;$C1215,0),variables,2,0)</f>
        <v>10989</v>
      </c>
      <c r="H1215" s="7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40548830000</v>
      </c>
    </row>
    <row r="1216" spans="1:8" x14ac:dyDescent="0.2">
      <c r="A1216" s="66" t="s">
        <v>1045</v>
      </c>
      <c r="B1216" s="66">
        <f t="shared" si="2373"/>
        <v>11</v>
      </c>
      <c r="C1216" s="66">
        <f t="shared" si="2434"/>
        <v>58</v>
      </c>
      <c r="E1216" s="66">
        <f t="shared" ref="E1216" si="2485">plan_id</f>
        <v>1952</v>
      </c>
      <c r="F1216" s="66">
        <f t="shared" ca="1" si="2339"/>
        <v>2008</v>
      </c>
      <c r="G1216" s="66">
        <f t="shared" ref="G1216" ca="1" si="2486">VLOOKUP(INDIRECT(CHAR(39)&amp;$A1216&amp;CHAR(39)&amp;"!r2c"&amp;$C1216,0),variables,2,0)</f>
        <v>10990</v>
      </c>
      <c r="H1216" s="7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49055263000</v>
      </c>
    </row>
    <row r="1217" spans="1:8" x14ac:dyDescent="0.2">
      <c r="A1217" s="66" t="s">
        <v>1045</v>
      </c>
      <c r="B1217" s="66">
        <f t="shared" si="2373"/>
        <v>11</v>
      </c>
      <c r="C1217" s="66">
        <f t="shared" si="2434"/>
        <v>59</v>
      </c>
      <c r="E1217" s="66">
        <f t="shared" ref="E1217" si="2487">plan_id</f>
        <v>1952</v>
      </c>
      <c r="F1217" s="66">
        <f t="shared" ca="1" si="2339"/>
        <v>2008</v>
      </c>
      <c r="G1217" s="66">
        <f t="shared" ref="G1217" ca="1" si="2488">VLOOKUP(INDIRECT(CHAR(39)&amp;$A1217&amp;CHAR(39)&amp;"!r2c"&amp;$C1217,0),variables,2,0)</f>
        <v>10991</v>
      </c>
      <c r="H1217" s="7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8506433000</v>
      </c>
    </row>
    <row r="1218" spans="1:8" x14ac:dyDescent="0.2">
      <c r="A1218" s="66" t="s">
        <v>1045</v>
      </c>
      <c r="B1218" s="66">
        <f t="shared" si="2373"/>
        <v>11</v>
      </c>
      <c r="C1218" s="66">
        <f t="shared" si="2434"/>
        <v>60</v>
      </c>
      <c r="E1218" s="66">
        <f t="shared" ref="E1218" si="2489">plan_id</f>
        <v>1952</v>
      </c>
      <c r="F1218" s="66">
        <f t="shared" ca="1" si="2339"/>
        <v>2008</v>
      </c>
      <c r="G1218" s="66">
        <f t="shared" ref="G1218" ca="1" si="2490">VLOOKUP(INDIRECT(CHAR(39)&amp;$A1218&amp;CHAR(39)&amp;"!r2c"&amp;$C1218,0),variables,2,0)</f>
        <v>10992</v>
      </c>
      <c r="H1218" s="71" t="str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State Employees: 88%; Teachers: 79.8%</v>
      </c>
    </row>
    <row r="1219" spans="1:8" x14ac:dyDescent="0.2">
      <c r="A1219" s="66" t="s">
        <v>1045</v>
      </c>
      <c r="B1219" s="66">
        <f t="shared" si="2373"/>
        <v>11</v>
      </c>
      <c r="C1219" s="66">
        <f t="shared" si="2434"/>
        <v>61</v>
      </c>
      <c r="E1219" s="66">
        <f t="shared" ref="E1219" si="2491">plan_id</f>
        <v>1952</v>
      </c>
      <c r="F1219" s="66">
        <f t="shared" ca="1" si="2339"/>
        <v>2008</v>
      </c>
      <c r="G1219" s="66">
        <f t="shared" ref="G1219" ca="1" si="2492">VLOOKUP(INDIRECT(CHAR(39)&amp;$A1219&amp;CHAR(39)&amp;"!r2c"&amp;$C1219,0),variables,2,0)</f>
        <v>10993</v>
      </c>
      <c r="H1219" s="71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10537124000</v>
      </c>
    </row>
    <row r="1220" spans="1:8" x14ac:dyDescent="0.2">
      <c r="A1220" s="66" t="s">
        <v>1045</v>
      </c>
      <c r="B1220" s="66">
        <f t="shared" si="2373"/>
        <v>11</v>
      </c>
      <c r="C1220" s="66">
        <f t="shared" si="2434"/>
        <v>62</v>
      </c>
      <c r="E1220" s="66">
        <f t="shared" ref="E1220" si="2493">plan_id</f>
        <v>1952</v>
      </c>
      <c r="F1220" s="66">
        <f t="shared" ca="1" si="2339"/>
        <v>2008</v>
      </c>
      <c r="G1220" s="66">
        <f t="shared" ref="G1220" ca="1" si="2494">VLOOKUP(INDIRECT(CHAR(39)&amp;$A1220&amp;CHAR(39)&amp;"!r2c"&amp;$C1220,0),variables,2,0)</f>
        <v>10801</v>
      </c>
      <c r="H1220" s="71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-1308200000</v>
      </c>
    </row>
    <row r="1221" spans="1:8" x14ac:dyDescent="0.2">
      <c r="A1221" s="66" t="s">
        <v>1045</v>
      </c>
      <c r="B1221" s="66">
        <f t="shared" si="2373"/>
        <v>11</v>
      </c>
      <c r="C1221" s="66">
        <f t="shared" si="2434"/>
        <v>63</v>
      </c>
      <c r="E1221" s="66">
        <f t="shared" ref="E1221" si="2495">plan_id</f>
        <v>1952</v>
      </c>
      <c r="F1221" s="66">
        <f t="shared" ca="1" si="2339"/>
        <v>2008</v>
      </c>
      <c r="G1221" s="66">
        <f t="shared" ref="G1221" ca="1" si="2496">VLOOKUP(INDIRECT(CHAR(39)&amp;$A1221&amp;CHAR(39)&amp;"!r2c"&amp;$C1221,0),variables,2,0)</f>
        <v>10802</v>
      </c>
      <c r="H1221" s="7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-52400000</v>
      </c>
    </row>
    <row r="1222" spans="1:8" x14ac:dyDescent="0.2">
      <c r="A1222" s="66" t="s">
        <v>1045</v>
      </c>
      <c r="B1222" s="66">
        <f t="shared" si="2373"/>
        <v>11</v>
      </c>
      <c r="C1222" s="66">
        <f t="shared" si="2434"/>
        <v>64</v>
      </c>
      <c r="E1222" s="66">
        <f t="shared" ref="E1222" si="2497">plan_id</f>
        <v>1952</v>
      </c>
      <c r="F1222" s="66">
        <f t="shared" ca="1" si="2339"/>
        <v>2008</v>
      </c>
      <c r="G1222" s="66">
        <f t="shared" ref="G1222" ca="1" si="2498">VLOOKUP(INDIRECT(CHAR(39)&amp;$A1222&amp;CHAR(39)&amp;"!r2c"&amp;$C1222,0),variables,2,0)</f>
        <v>10803</v>
      </c>
      <c r="H1222" s="71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66" t="s">
        <v>1045</v>
      </c>
      <c r="B1223" s="66">
        <f t="shared" si="2373"/>
        <v>11</v>
      </c>
      <c r="C1223" s="66">
        <f t="shared" si="2434"/>
        <v>65</v>
      </c>
      <c r="E1223" s="66">
        <f t="shared" ref="E1223" si="2499">plan_id</f>
        <v>1952</v>
      </c>
      <c r="F1223" s="66">
        <f t="shared" ca="1" si="2339"/>
        <v>2008</v>
      </c>
      <c r="G1223" s="66">
        <f t="shared" ref="G1223" ca="1" si="2500">VLOOKUP(INDIRECT(CHAR(39)&amp;$A1223&amp;CHAR(39)&amp;"!r2c"&amp;$C1223,0),variables,2,0)</f>
        <v>10804</v>
      </c>
      <c r="H1223" s="7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66" t="s">
        <v>1045</v>
      </c>
      <c r="B1224" s="66">
        <f t="shared" si="2373"/>
        <v>11</v>
      </c>
      <c r="C1224" s="66">
        <f t="shared" si="2434"/>
        <v>66</v>
      </c>
      <c r="E1224" s="66">
        <f t="shared" ref="E1224" si="2501">plan_id</f>
        <v>1952</v>
      </c>
      <c r="F1224" s="66">
        <f t="shared" ca="1" si="2339"/>
        <v>2008</v>
      </c>
      <c r="G1224" s="66">
        <f t="shared" ref="G1224" ca="1" si="2502">VLOOKUP(INDIRECT(CHAR(39)&amp;$A1224&amp;CHAR(39)&amp;"!r2c"&amp;$C1224,0),variables,2,0)</f>
        <v>10805</v>
      </c>
      <c r="H1224" s="7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66" t="s">
        <v>1045</v>
      </c>
      <c r="B1225" s="66">
        <f t="shared" ref="B1225" si="2503">B1160+1</f>
        <v>11</v>
      </c>
      <c r="C1225" s="66">
        <f t="shared" si="2434"/>
        <v>67</v>
      </c>
      <c r="E1225" s="66">
        <f t="shared" ref="E1225" si="2504">plan_id</f>
        <v>1952</v>
      </c>
      <c r="F1225" s="66">
        <f t="shared" ca="1" si="2339"/>
        <v>2008</v>
      </c>
      <c r="G1225" s="66">
        <f t="shared" ref="G1225" ca="1" si="2505">VLOOKUP(INDIRECT(CHAR(39)&amp;$A1225&amp;CHAR(39)&amp;"!r2c"&amp;$C1225,0),variables,2,0)</f>
        <v>10806</v>
      </c>
      <c r="H1225" s="7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28800000</v>
      </c>
    </row>
    <row r="1226" spans="1:8" x14ac:dyDescent="0.2">
      <c r="A1226" s="66" t="s">
        <v>1045</v>
      </c>
      <c r="B1226" s="66">
        <f>B1225</f>
        <v>11</v>
      </c>
      <c r="C1226" s="66">
        <f t="shared" si="2434"/>
        <v>68</v>
      </c>
      <c r="E1226" s="66">
        <f t="shared" ref="E1226" si="2506">plan_id</f>
        <v>1952</v>
      </c>
      <c r="F1226" s="66">
        <f t="shared" ca="1" si="2339"/>
        <v>2008</v>
      </c>
      <c r="G1226" s="66">
        <f t="shared" ref="G1226" ca="1" si="2507">VLOOKUP(INDIRECT(CHAR(39)&amp;$A1226&amp;CHAR(39)&amp;"!r2c"&amp;$C1226,0),variables,2,0)</f>
        <v>10807</v>
      </c>
      <c r="H1226" s="7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66" t="s">
        <v>1045</v>
      </c>
      <c r="B1227" s="66">
        <f t="shared" ref="B1227:B1251" si="2508">B1226</f>
        <v>11</v>
      </c>
      <c r="C1227" s="66">
        <f t="shared" si="2434"/>
        <v>69</v>
      </c>
      <c r="E1227" s="66">
        <f t="shared" ref="E1227" si="2509">plan_id</f>
        <v>1952</v>
      </c>
      <c r="F1227" s="66">
        <f t="shared" ca="1" si="2339"/>
        <v>2008</v>
      </c>
      <c r="G1227" s="66">
        <f t="shared" ref="G1227" ca="1" si="2510">VLOOKUP(INDIRECT(CHAR(39)&amp;$A1227&amp;CHAR(39)&amp;"!r2c"&amp;$C1227,0),variables,2,0)</f>
        <v>10808</v>
      </c>
      <c r="H1227" s="7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66" t="s">
        <v>1045</v>
      </c>
      <c r="B1228" s="66">
        <f t="shared" si="2508"/>
        <v>11</v>
      </c>
      <c r="C1228" s="66">
        <f t="shared" si="2434"/>
        <v>70</v>
      </c>
      <c r="E1228" s="66">
        <f t="shared" ref="E1228" si="2511">plan_id</f>
        <v>1952</v>
      </c>
      <c r="F1228" s="66">
        <f t="shared" ca="1" si="2339"/>
        <v>2008</v>
      </c>
      <c r="G1228" s="66">
        <f t="shared" ref="G1228" ca="1" si="2512">VLOOKUP(INDIRECT(CHAR(39)&amp;$A1228&amp;CHAR(39)&amp;"!r2c"&amp;$C1228,0),variables,2,0)</f>
        <v>10809</v>
      </c>
      <c r="H1228" s="7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66" t="s">
        <v>1045</v>
      </c>
      <c r="B1229" s="66">
        <f t="shared" si="2508"/>
        <v>11</v>
      </c>
      <c r="C1229" s="66">
        <f t="shared" si="2434"/>
        <v>71</v>
      </c>
      <c r="E1229" s="66">
        <f t="shared" ref="E1229" si="2513">plan_id</f>
        <v>1952</v>
      </c>
      <c r="F1229" s="66">
        <f t="shared" ca="1" si="2339"/>
        <v>2008</v>
      </c>
      <c r="G1229" s="66">
        <f t="shared" ref="G1229" ca="1" si="2514">VLOOKUP(INDIRECT(CHAR(39)&amp;$A1229&amp;CHAR(39)&amp;"!r2c"&amp;$C1229,0),variables,2,0)</f>
        <v>10810</v>
      </c>
      <c r="H1229" s="71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15500000</v>
      </c>
    </row>
    <row r="1230" spans="1:8" x14ac:dyDescent="0.2">
      <c r="A1230" s="66" t="s">
        <v>1045</v>
      </c>
      <c r="B1230" s="66">
        <f t="shared" si="2508"/>
        <v>11</v>
      </c>
      <c r="C1230" s="66">
        <f t="shared" si="2434"/>
        <v>72</v>
      </c>
      <c r="E1230" s="66">
        <f t="shared" ref="E1230" si="2515">plan_id</f>
        <v>1952</v>
      </c>
      <c r="F1230" s="66">
        <f t="shared" ca="1" si="2339"/>
        <v>2008</v>
      </c>
      <c r="G1230" s="66">
        <f t="shared" ref="G1230" ca="1" si="2516">VLOOKUP(INDIRECT(CHAR(39)&amp;$A1230&amp;CHAR(39)&amp;"!r2c"&amp;$C1230,0),variables,2,0)</f>
        <v>10811</v>
      </c>
      <c r="H1230" s="7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66" t="s">
        <v>1045</v>
      </c>
      <c r="B1231" s="66">
        <f t="shared" si="2508"/>
        <v>11</v>
      </c>
      <c r="C1231" s="66">
        <f t="shared" si="2434"/>
        <v>73</v>
      </c>
      <c r="E1231" s="66">
        <f t="shared" ref="E1231" si="2517">plan_id</f>
        <v>1952</v>
      </c>
      <c r="F1231" s="66">
        <f t="shared" ca="1" si="2339"/>
        <v>2008</v>
      </c>
      <c r="G1231" s="66">
        <f t="shared" ref="G1231" ca="1" si="2518">VLOOKUP(INDIRECT(CHAR(39)&amp;$A1231&amp;CHAR(39)&amp;"!r2c"&amp;$C1231,0),variables,2,0)</f>
        <v>10812</v>
      </c>
      <c r="H1231" s="7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66" t="s">
        <v>1045</v>
      </c>
      <c r="B1232" s="66">
        <f t="shared" si="2508"/>
        <v>11</v>
      </c>
      <c r="C1232" s="66">
        <f t="shared" si="2434"/>
        <v>74</v>
      </c>
      <c r="E1232" s="66">
        <f t="shared" ref="E1232" si="2519">plan_id</f>
        <v>1952</v>
      </c>
      <c r="F1232" s="66">
        <f t="shared" ca="1" si="2339"/>
        <v>2008</v>
      </c>
      <c r="G1232" s="66">
        <f t="shared" ref="G1232" ca="1" si="2520">VLOOKUP(INDIRECT(CHAR(39)&amp;$A1232&amp;CHAR(39)&amp;"!r2c"&amp;$C1232,0),variables,2,0)</f>
        <v>10813</v>
      </c>
      <c r="H1232" s="71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66" t="s">
        <v>1045</v>
      </c>
      <c r="B1233" s="66">
        <f t="shared" si="2508"/>
        <v>11</v>
      </c>
      <c r="C1233" s="66">
        <f t="shared" si="2434"/>
        <v>75</v>
      </c>
      <c r="E1233" s="66">
        <f t="shared" ref="E1233" si="2521">plan_id</f>
        <v>1952</v>
      </c>
      <c r="F1233" s="66">
        <f t="shared" ca="1" si="2339"/>
        <v>2008</v>
      </c>
      <c r="G1233" s="66">
        <f t="shared" ref="G1233" ca="1" si="2522">VLOOKUP(INDIRECT(CHAR(39)&amp;$A1233&amp;CHAR(39)&amp;"!r2c"&amp;$C1233,0),variables,2,0)</f>
        <v>10814</v>
      </c>
      <c r="H1233" s="71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7799999.9999999991</v>
      </c>
    </row>
    <row r="1234" spans="1:8" x14ac:dyDescent="0.2">
      <c r="A1234" s="66" t="s">
        <v>1045</v>
      </c>
      <c r="B1234" s="66">
        <f t="shared" si="2508"/>
        <v>11</v>
      </c>
      <c r="C1234" s="66">
        <f t="shared" si="2434"/>
        <v>76</v>
      </c>
      <c r="E1234" s="66">
        <f t="shared" ref="E1234" si="2523">plan_id</f>
        <v>1952</v>
      </c>
      <c r="F1234" s="66">
        <f t="shared" ca="1" si="2339"/>
        <v>2008</v>
      </c>
      <c r="G1234" s="66">
        <f t="shared" ref="G1234" ca="1" si="2524">VLOOKUP(INDIRECT(CHAR(39)&amp;$A1234&amp;CHAR(39)&amp;"!r2c"&amp;$C1234,0),variables,2,0)</f>
        <v>10815</v>
      </c>
      <c r="H1234" s="71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118400000</v>
      </c>
    </row>
    <row r="1235" spans="1:8" x14ac:dyDescent="0.2">
      <c r="A1235" s="66" t="s">
        <v>1045</v>
      </c>
      <c r="B1235" s="66">
        <f t="shared" si="2508"/>
        <v>11</v>
      </c>
      <c r="C1235" s="66">
        <f t="shared" si="2434"/>
        <v>77</v>
      </c>
      <c r="E1235" s="66">
        <f t="shared" ref="E1235" si="2525">plan_id</f>
        <v>1952</v>
      </c>
      <c r="F1235" s="66">
        <f t="shared" ca="1" si="2339"/>
        <v>2008</v>
      </c>
      <c r="G1235" s="66">
        <f t="shared" ref="G1235" ca="1" si="2526">VLOOKUP(INDIRECT(CHAR(39)&amp;$A1235&amp;CHAR(39)&amp;"!r2c"&amp;$C1235,0),variables,2,0)</f>
        <v>10816</v>
      </c>
      <c r="H1235" s="7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117400000</v>
      </c>
    </row>
    <row r="1236" spans="1:8" x14ac:dyDescent="0.2">
      <c r="A1236" s="66" t="s">
        <v>1045</v>
      </c>
      <c r="B1236" s="66">
        <f t="shared" si="2508"/>
        <v>11</v>
      </c>
      <c r="C1236" s="66">
        <f t="shared" si="2434"/>
        <v>78</v>
      </c>
      <c r="E1236" s="66">
        <f t="shared" ref="E1236" si="2527">plan_id</f>
        <v>1952</v>
      </c>
      <c r="F1236" s="66">
        <f t="shared" ca="1" si="2339"/>
        <v>2008</v>
      </c>
      <c r="G1236" s="66">
        <f t="shared" ref="G1236" ca="1" si="2528">VLOOKUP(INDIRECT(CHAR(39)&amp;$A1236&amp;CHAR(39)&amp;"!r2c"&amp;$C1236,0),variables,2,0)</f>
        <v>10817</v>
      </c>
      <c r="H1236" s="7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66" t="s">
        <v>1045</v>
      </c>
      <c r="B1237" s="66">
        <f t="shared" si="2508"/>
        <v>11</v>
      </c>
      <c r="C1237" s="66">
        <f t="shared" si="2434"/>
        <v>79</v>
      </c>
      <c r="E1237" s="66">
        <f t="shared" ref="E1237" si="2529">plan_id</f>
        <v>1952</v>
      </c>
      <c r="F1237" s="66">
        <f t="shared" ref="F1237:F1329" ca="1" si="2530">INDIRECT(CHAR(39)&amp;$A1237&amp;CHAR(39)&amp;"!r"&amp;$B1237&amp;"c2",0)</f>
        <v>2008</v>
      </c>
      <c r="G1237" s="66">
        <f t="shared" ref="G1237" ca="1" si="2531">VLOOKUP(INDIRECT(CHAR(39)&amp;$A1237&amp;CHAR(39)&amp;"!r2c"&amp;$C1237,0),variables,2,0)</f>
        <v>10818</v>
      </c>
      <c r="H1237" s="71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64700000</v>
      </c>
    </row>
    <row r="1238" spans="1:8" x14ac:dyDescent="0.2">
      <c r="A1238" s="66" t="s">
        <v>1045</v>
      </c>
      <c r="B1238" s="66">
        <f t="shared" si="2508"/>
        <v>11</v>
      </c>
      <c r="C1238" s="66">
        <f t="shared" si="2434"/>
        <v>80</v>
      </c>
      <c r="E1238" s="66">
        <f t="shared" ref="E1238" si="2532">plan_id</f>
        <v>1952</v>
      </c>
      <c r="F1238" s="66">
        <f t="shared" ca="1" si="2530"/>
        <v>2008</v>
      </c>
      <c r="G1238" s="66">
        <f t="shared" ref="G1238" ca="1" si="2533">VLOOKUP(INDIRECT(CHAR(39)&amp;$A1238&amp;CHAR(39)&amp;"!r2c"&amp;$C1238,0),variables,2,0)</f>
        <v>10819</v>
      </c>
      <c r="H1238" s="71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66" t="s">
        <v>1045</v>
      </c>
      <c r="B1239" s="66">
        <f t="shared" si="2508"/>
        <v>11</v>
      </c>
      <c r="C1239" s="66">
        <f t="shared" si="2434"/>
        <v>81</v>
      </c>
      <c r="E1239" s="66">
        <f t="shared" ref="E1239" si="2534">plan_id</f>
        <v>1952</v>
      </c>
      <c r="F1239" s="66">
        <f t="shared" ca="1" si="2530"/>
        <v>2008</v>
      </c>
      <c r="G1239" s="66">
        <f t="shared" ref="G1239" ca="1" si="2535">VLOOKUP(INDIRECT(CHAR(39)&amp;$A1239&amp;CHAR(39)&amp;"!r2c"&amp;$C1239,0),variables,2,0)</f>
        <v>10820</v>
      </c>
      <c r="H1239" s="71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656500000</v>
      </c>
    </row>
    <row r="1240" spans="1:8" x14ac:dyDescent="0.2">
      <c r="A1240" s="66" t="s">
        <v>1045</v>
      </c>
      <c r="B1240" s="66">
        <f t="shared" si="2508"/>
        <v>11</v>
      </c>
      <c r="C1240" s="66">
        <f t="shared" si="2434"/>
        <v>82</v>
      </c>
      <c r="E1240" s="66">
        <f t="shared" ref="E1240" si="2536">plan_id</f>
        <v>1952</v>
      </c>
      <c r="F1240" s="66">
        <f t="shared" ca="1" si="2530"/>
        <v>2008</v>
      </c>
      <c r="G1240" s="66">
        <f t="shared" ref="G1240" ca="1" si="2537">VLOOKUP(INDIRECT(CHAR(39)&amp;$A1240&amp;CHAR(39)&amp;"!r2c"&amp;$C1240,0),variables,2,0)</f>
        <v>10821</v>
      </c>
      <c r="H1240" s="71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66" t="s">
        <v>1045</v>
      </c>
      <c r="B1241" s="66">
        <f t="shared" si="2508"/>
        <v>11</v>
      </c>
      <c r="C1241" s="66">
        <f t="shared" si="2434"/>
        <v>83</v>
      </c>
      <c r="E1241" s="66">
        <f t="shared" ref="E1241" si="2538">plan_id</f>
        <v>1952</v>
      </c>
      <c r="F1241" s="66">
        <f t="shared" ca="1" si="2530"/>
        <v>2008</v>
      </c>
      <c r="G1241" s="66">
        <f t="shared" ref="G1241" ca="1" si="2539">VLOOKUP(INDIRECT(CHAR(39)&amp;$A1241&amp;CHAR(39)&amp;"!r2c"&amp;$C1241,0),variables,2,0)</f>
        <v>10822</v>
      </c>
      <c r="H1241" s="71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66" t="s">
        <v>1045</v>
      </c>
      <c r="B1242" s="66">
        <f t="shared" si="2508"/>
        <v>11</v>
      </c>
      <c r="C1242" s="66">
        <f t="shared" si="2434"/>
        <v>84</v>
      </c>
      <c r="E1242" s="66">
        <f t="shared" ref="E1242" si="2540">plan_id</f>
        <v>1952</v>
      </c>
      <c r="F1242" s="66">
        <f t="shared" ca="1" si="2530"/>
        <v>2008</v>
      </c>
      <c r="G1242" s="66">
        <f t="shared" ref="G1242" ca="1" si="2541">VLOOKUP(INDIRECT(CHAR(39)&amp;$A1242&amp;CHAR(39)&amp;"!r2c"&amp;$C1242,0),variables,2,0)</f>
        <v>10829</v>
      </c>
      <c r="H1242" s="71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412700000.00000006</v>
      </c>
    </row>
    <row r="1243" spans="1:8" x14ac:dyDescent="0.2">
      <c r="A1243" s="66" t="s">
        <v>1045</v>
      </c>
      <c r="B1243" s="66">
        <f t="shared" si="2508"/>
        <v>11</v>
      </c>
      <c r="C1243" s="66">
        <f t="shared" si="2434"/>
        <v>85</v>
      </c>
      <c r="E1243" s="66">
        <f t="shared" ref="E1243" si="2542">plan_id</f>
        <v>1952</v>
      </c>
      <c r="F1243" s="66">
        <f t="shared" ca="1" si="2530"/>
        <v>2008</v>
      </c>
      <c r="G1243" s="66">
        <f t="shared" ref="G1243" ca="1" si="2543">VLOOKUP(INDIRECT(CHAR(39)&amp;$A1243&amp;CHAR(39)&amp;"!r2c"&amp;$C1243,0),variables,2,0)</f>
        <v>10823</v>
      </c>
      <c r="H1243" s="71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-381000000</v>
      </c>
    </row>
    <row r="1244" spans="1:8" x14ac:dyDescent="0.2">
      <c r="A1244" s="66" t="s">
        <v>1045</v>
      </c>
      <c r="B1244" s="66">
        <f t="shared" si="2508"/>
        <v>11</v>
      </c>
      <c r="C1244" s="66">
        <f t="shared" si="2434"/>
        <v>86</v>
      </c>
      <c r="E1244" s="66">
        <f t="shared" ref="E1244" si="2544">plan_id</f>
        <v>1952</v>
      </c>
      <c r="F1244" s="66">
        <f t="shared" ca="1" si="2530"/>
        <v>2008</v>
      </c>
      <c r="G1244" s="66">
        <f t="shared" ref="G1244" ca="1" si="2545">VLOOKUP(INDIRECT(CHAR(39)&amp;$A1244&amp;CHAR(39)&amp;"!r2c"&amp;$C1244,0),variables,2,0)</f>
        <v>10798</v>
      </c>
      <c r="H1244" s="71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66" t="s">
        <v>1045</v>
      </c>
      <c r="B1245" s="66">
        <f t="shared" si="2508"/>
        <v>11</v>
      </c>
      <c r="C1245" s="66">
        <f t="shared" si="2434"/>
        <v>87</v>
      </c>
      <c r="E1245" s="66">
        <f t="shared" ref="E1245" si="2546">plan_id</f>
        <v>1952</v>
      </c>
      <c r="F1245" s="66">
        <f t="shared" ca="1" si="2530"/>
        <v>2008</v>
      </c>
      <c r="G1245" s="66">
        <f t="shared" ref="G1245" ca="1" si="2547">VLOOKUP(INDIRECT(CHAR(39)&amp;$A1245&amp;CHAR(39)&amp;"!r2c"&amp;$C1245,0),variables,2,0)</f>
        <v>10799</v>
      </c>
      <c r="H1245" s="7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66" t="s">
        <v>1045</v>
      </c>
      <c r="B1246" s="66">
        <f t="shared" si="2508"/>
        <v>11</v>
      </c>
      <c r="C1246" s="66">
        <f t="shared" si="2434"/>
        <v>88</v>
      </c>
      <c r="E1246" s="66">
        <f t="shared" ref="E1246" si="2548">plan_id</f>
        <v>1952</v>
      </c>
      <c r="F1246" s="66">
        <f t="shared" ca="1" si="2530"/>
        <v>2008</v>
      </c>
      <c r="G1246" s="66">
        <f t="shared" ref="G1246" ca="1" si="2549">VLOOKUP(INDIRECT(CHAR(39)&amp;$A1246&amp;CHAR(39)&amp;"!r2c"&amp;$C1246,0),variables,2,0)</f>
        <v>10800</v>
      </c>
      <c r="H1246" s="7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66" t="s">
        <v>1045</v>
      </c>
      <c r="B1247" s="66">
        <f t="shared" si="2508"/>
        <v>11</v>
      </c>
      <c r="C1247" s="66">
        <f t="shared" si="2434"/>
        <v>89</v>
      </c>
      <c r="E1247" s="66">
        <f t="shared" ref="E1247" si="2550">plan_id</f>
        <v>1952</v>
      </c>
      <c r="F1247" s="66">
        <f t="shared" ca="1" si="2530"/>
        <v>2008</v>
      </c>
      <c r="G1247" s="66">
        <f t="shared" ref="G1247" ca="1" si="2551">VLOOKUP(INDIRECT(CHAR(39)&amp;$A1247&amp;CHAR(39)&amp;"!r2c"&amp;$C1247,0),variables,2,0)</f>
        <v>10824</v>
      </c>
      <c r="H1247" s="7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66" t="s">
        <v>1045</v>
      </c>
      <c r="B1248" s="66">
        <f t="shared" si="2508"/>
        <v>11</v>
      </c>
      <c r="C1248" s="66">
        <f t="shared" si="2434"/>
        <v>90</v>
      </c>
      <c r="E1248" s="66">
        <f t="shared" ref="E1248" si="2552">plan_id</f>
        <v>1952</v>
      </c>
      <c r="F1248" s="66">
        <f t="shared" ca="1" si="2530"/>
        <v>2008</v>
      </c>
      <c r="G1248" s="66">
        <f t="shared" ref="G1248" ca="1" si="2553">VLOOKUP(INDIRECT(CHAR(39)&amp;$A1248&amp;CHAR(39)&amp;"!r2c"&amp;$C1248,0),variables,2,0)</f>
        <v>10825</v>
      </c>
      <c r="H1248" s="7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66" t="s">
        <v>1045</v>
      </c>
      <c r="B1249" s="66">
        <f t="shared" si="2508"/>
        <v>11</v>
      </c>
      <c r="C1249" s="66">
        <f t="shared" si="2434"/>
        <v>91</v>
      </c>
      <c r="E1249" s="66">
        <f t="shared" ref="E1249" si="2554">plan_id</f>
        <v>1952</v>
      </c>
      <c r="F1249" s="66">
        <f t="shared" ca="1" si="2530"/>
        <v>2008</v>
      </c>
      <c r="G1249" s="66">
        <f t="shared" ref="G1249" ca="1" si="2555">VLOOKUP(INDIRECT(CHAR(39)&amp;$A1249&amp;CHAR(39)&amp;"!r2c"&amp;$C1249,0),variables,2,0)</f>
        <v>10826</v>
      </c>
      <c r="H1249" s="71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66" t="s">
        <v>1045</v>
      </c>
      <c r="B1250" s="66">
        <f t="shared" si="2508"/>
        <v>11</v>
      </c>
      <c r="C1250" s="66">
        <f t="shared" si="2434"/>
        <v>92</v>
      </c>
      <c r="E1250" s="66">
        <f t="shared" ref="E1250" si="2556">plan_id</f>
        <v>1952</v>
      </c>
      <c r="F1250" s="66">
        <f t="shared" ca="1" si="2530"/>
        <v>2008</v>
      </c>
      <c r="G1250" s="66">
        <f t="shared" ref="G1250" ca="1" si="2557">VLOOKUP(INDIRECT(CHAR(39)&amp;$A1250&amp;CHAR(39)&amp;"!r2c"&amp;$C1250,0),variables,2,0)</f>
        <v>10828</v>
      </c>
      <c r="H1250" s="71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66" t="s">
        <v>1045</v>
      </c>
      <c r="B1251" s="66">
        <f t="shared" si="2508"/>
        <v>11</v>
      </c>
      <c r="C1251" s="66">
        <f t="shared" si="2434"/>
        <v>93</v>
      </c>
      <c r="E1251" s="66">
        <f t="shared" ref="E1251" si="2558">plan_id</f>
        <v>1952</v>
      </c>
      <c r="F1251" s="66">
        <f t="shared" ca="1" si="2530"/>
        <v>2008</v>
      </c>
      <c r="G1251" s="66">
        <f t="shared" ref="G1251" ca="1" si="2559">VLOOKUP(INDIRECT(CHAR(39)&amp;$A1251&amp;CHAR(39)&amp;"!r2c"&amp;$C1251,0),variables,2,0)</f>
        <v>10827</v>
      </c>
      <c r="H1251" s="71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66" t="s">
        <v>1045</v>
      </c>
      <c r="B1252" s="66">
        <f t="shared" ref="B1252:B1315" si="2560">B1187+1</f>
        <v>12</v>
      </c>
      <c r="C1252" s="66">
        <f t="shared" si="2434"/>
        <v>3</v>
      </c>
      <c r="E1252" s="66">
        <f t="shared" ref="E1252" si="2561">plan_id</f>
        <v>1952</v>
      </c>
      <c r="F1252" s="66">
        <f t="shared" ca="1" si="2530"/>
        <v>2009</v>
      </c>
      <c r="G1252" s="66">
        <f t="shared" ref="G1252" ca="1" si="2562">VLOOKUP(INDIRECT(CHAR(39)&amp;$A1252&amp;CHAR(39)&amp;"!r2c"&amp;$C1252,0),variables,2,0)</f>
        <v>10703</v>
      </c>
      <c r="H1252" s="71" t="str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 &amp; 2012</v>
      </c>
    </row>
    <row r="1253" spans="1:8" x14ac:dyDescent="0.2">
      <c r="A1253" s="66" t="s">
        <v>1045</v>
      </c>
      <c r="B1253" s="66">
        <f t="shared" si="2560"/>
        <v>12</v>
      </c>
      <c r="C1253" s="66">
        <f t="shared" si="2434"/>
        <v>4</v>
      </c>
      <c r="E1253" s="66">
        <f t="shared" ref="E1253" si="2563">plan_id</f>
        <v>1952</v>
      </c>
      <c r="F1253" s="66">
        <f t="shared" ca="1" si="2530"/>
        <v>2009</v>
      </c>
      <c r="G1253" s="66">
        <f t="shared" ref="G1253" ca="1" si="2564">VLOOKUP(INDIRECT(CHAR(39)&amp;$A1253&amp;CHAR(39)&amp;"!r2c"&amp;$C1253,0),variables,2,0)</f>
        <v>10845</v>
      </c>
      <c r="H1253" s="71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 Consulting ,LLC</v>
      </c>
    </row>
    <row r="1254" spans="1:8" x14ac:dyDescent="0.2">
      <c r="A1254" s="66" t="s">
        <v>1045</v>
      </c>
      <c r="B1254" s="66">
        <f t="shared" si="2560"/>
        <v>12</v>
      </c>
      <c r="C1254" s="66">
        <f t="shared" si="2434"/>
        <v>5</v>
      </c>
      <c r="E1254" s="66">
        <f t="shared" ref="E1254" si="2565">plan_id</f>
        <v>1952</v>
      </c>
      <c r="F1254" s="66">
        <f t="shared" ca="1" si="2530"/>
        <v>2009</v>
      </c>
      <c r="G1254" s="66">
        <f t="shared" ref="G1254" ca="1" si="2566">VLOOKUP(INDIRECT(CHAR(39)&amp;$A1254&amp;CHAR(39)&amp;"!r2c"&amp;$C1254,0),variables,2,0)</f>
        <v>10924</v>
      </c>
      <c r="H1254" s="71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(i)7.67%; (ii)9.68%</v>
      </c>
    </row>
    <row r="1255" spans="1:8" x14ac:dyDescent="0.2">
      <c r="A1255" s="66" t="s">
        <v>1045</v>
      </c>
      <c r="B1255" s="66">
        <f t="shared" si="2560"/>
        <v>12</v>
      </c>
      <c r="C1255" s="66">
        <f t="shared" ref="C1255:C1318" si="2567">C1164</f>
        <v>6</v>
      </c>
      <c r="E1255" s="66">
        <f t="shared" ref="E1255" si="2568">plan_id</f>
        <v>1952</v>
      </c>
      <c r="F1255" s="66">
        <f t="shared" ca="1" si="2530"/>
        <v>2009</v>
      </c>
      <c r="G1255" s="66">
        <f t="shared" ref="G1255" ca="1" si="2569">VLOOKUP(INDIRECT(CHAR(39)&amp;$A1255&amp;CHAR(39)&amp;"!r2c"&amp;$C1255,0),variables,2,0)</f>
        <v>10925</v>
      </c>
      <c r="H1255" s="71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(i)2.67%; (ii)4.68%</v>
      </c>
    </row>
    <row r="1256" spans="1:8" x14ac:dyDescent="0.2">
      <c r="A1256" s="66" t="s">
        <v>1045</v>
      </c>
      <c r="B1256" s="66">
        <f t="shared" si="2560"/>
        <v>12</v>
      </c>
      <c r="C1256" s="66">
        <f t="shared" si="2567"/>
        <v>7</v>
      </c>
      <c r="E1256" s="66">
        <f t="shared" ref="E1256" si="2570">plan_id</f>
        <v>1952</v>
      </c>
      <c r="F1256" s="66">
        <f t="shared" ca="1" si="2530"/>
        <v>2009</v>
      </c>
      <c r="G1256" s="66">
        <f t="shared" ref="G1256" ca="1" si="2571">VLOOKUP(INDIRECT(CHAR(39)&amp;$A1256&amp;CHAR(39)&amp;"!r2c"&amp;$C1256,0),variables,2,0)</f>
        <v>10926</v>
      </c>
      <c r="H1256" s="71" t="str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(i)5%; (ii)5%</v>
      </c>
    </row>
    <row r="1257" spans="1:8" x14ac:dyDescent="0.2">
      <c r="A1257" s="66" t="s">
        <v>1045</v>
      </c>
      <c r="B1257" s="66">
        <f t="shared" si="2560"/>
        <v>12</v>
      </c>
      <c r="C1257" s="66">
        <f t="shared" si="2567"/>
        <v>8</v>
      </c>
      <c r="E1257" s="66">
        <f t="shared" ref="E1257" si="2572">plan_id</f>
        <v>1952</v>
      </c>
      <c r="F1257" s="66">
        <f t="shared" ca="1" si="2530"/>
        <v>2009</v>
      </c>
      <c r="G1257" s="66">
        <f t="shared" ref="G1257" ca="1" si="2573">VLOOKUP(INDIRECT(CHAR(39)&amp;$A1257&amp;CHAR(39)&amp;"!r2c"&amp;$C1257,0),variables,2,0)</f>
        <v>10704</v>
      </c>
      <c r="H1257" s="71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2">
      <c r="A1258" s="66" t="s">
        <v>1045</v>
      </c>
      <c r="B1258" s="66">
        <f t="shared" si="2560"/>
        <v>12</v>
      </c>
      <c r="C1258" s="66">
        <f t="shared" si="2567"/>
        <v>9</v>
      </c>
      <c r="E1258" s="66">
        <f t="shared" ref="E1258" si="2574">plan_id</f>
        <v>1952</v>
      </c>
      <c r="F1258" s="66">
        <f t="shared" ca="1" si="2530"/>
        <v>2009</v>
      </c>
      <c r="G1258" s="66">
        <f t="shared" ref="G1258" ca="1" si="2575">VLOOKUP(INDIRECT(CHAR(39)&amp;$A1258&amp;CHAR(39)&amp;"!r2c"&amp;$C1258,0),variables,2,0)</f>
        <v>10928</v>
      </c>
      <c r="H1258" s="71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(i)5.79%; (ii)8.23%</v>
      </c>
    </row>
    <row r="1259" spans="1:8" x14ac:dyDescent="0.2">
      <c r="A1259" s="66" t="s">
        <v>1045</v>
      </c>
      <c r="B1259" s="66">
        <f t="shared" si="2560"/>
        <v>12</v>
      </c>
      <c r="C1259" s="66">
        <f t="shared" si="2567"/>
        <v>10</v>
      </c>
      <c r="E1259" s="66">
        <f t="shared" ref="E1259" si="2576">plan_id</f>
        <v>1952</v>
      </c>
      <c r="F1259" s="66">
        <f t="shared" ca="1" si="2530"/>
        <v>2009</v>
      </c>
      <c r="G1259" s="66">
        <f t="shared" ref="G1259" ca="1" si="2577">VLOOKUP(INDIRECT(CHAR(39)&amp;$A1259&amp;CHAR(39)&amp;"!r2c"&amp;$C1259,0),variables,2,0)</f>
        <v>10929</v>
      </c>
      <c r="H1259" s="71" t="str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(i)5.79%; (ii)8.23%</v>
      </c>
    </row>
    <row r="1260" spans="1:8" x14ac:dyDescent="0.2">
      <c r="A1260" s="66" t="s">
        <v>1045</v>
      </c>
      <c r="B1260" s="66">
        <f t="shared" si="2560"/>
        <v>12</v>
      </c>
      <c r="C1260" s="66">
        <f t="shared" si="2567"/>
        <v>11</v>
      </c>
      <c r="E1260" s="66">
        <f t="shared" ref="E1260" si="2578">plan_id</f>
        <v>1952</v>
      </c>
      <c r="F1260" s="66">
        <f t="shared" ca="1" si="2530"/>
        <v>2009</v>
      </c>
      <c r="G1260" s="66">
        <f t="shared" ref="G1260" ca="1" si="2579">VLOOKUP(INDIRECT(CHAR(39)&amp;$A1260&amp;CHAR(39)&amp;"!r2c"&amp;$C1260,0),variables,2,0)</f>
        <v>10930</v>
      </c>
      <c r="H1260" s="71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66" t="s">
        <v>1045</v>
      </c>
      <c r="B1261" s="66">
        <f t="shared" si="2560"/>
        <v>12</v>
      </c>
      <c r="C1261" s="66">
        <f t="shared" si="2567"/>
        <v>12</v>
      </c>
      <c r="E1261" s="66">
        <f t="shared" ref="E1261" si="2580">plan_id</f>
        <v>1952</v>
      </c>
      <c r="F1261" s="66">
        <f t="shared" ca="1" si="2530"/>
        <v>2009</v>
      </c>
      <c r="G1261" s="66">
        <f t="shared" ref="G1261" ca="1" si="2581">VLOOKUP(INDIRECT(CHAR(39)&amp;$A1261&amp;CHAR(39)&amp;"!r2c"&amp;$C1261,0),variables,2,0)</f>
        <v>10705</v>
      </c>
      <c r="H1261" s="7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551808000</v>
      </c>
    </row>
    <row r="1262" spans="1:8" x14ac:dyDescent="0.2">
      <c r="A1262" s="66" t="s">
        <v>1045</v>
      </c>
      <c r="B1262" s="66">
        <f t="shared" si="2560"/>
        <v>12</v>
      </c>
      <c r="C1262" s="66">
        <f t="shared" si="2567"/>
        <v>13</v>
      </c>
      <c r="E1262" s="66">
        <f t="shared" ref="E1262" si="2582">plan_id</f>
        <v>1952</v>
      </c>
      <c r="F1262" s="66">
        <f t="shared" ca="1" si="2530"/>
        <v>2009</v>
      </c>
      <c r="G1262" s="66">
        <f t="shared" ref="G1262" ca="1" si="2583">VLOOKUP(INDIRECT(CHAR(39)&amp;$A1262&amp;CHAR(39)&amp;"!r2c"&amp;$C1262,0),variables,2,0)</f>
        <v>10842</v>
      </c>
      <c r="H1262" s="71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66" t="s">
        <v>1045</v>
      </c>
      <c r="B1263" s="66">
        <f t="shared" si="2560"/>
        <v>12</v>
      </c>
      <c r="C1263" s="66">
        <f t="shared" si="2567"/>
        <v>14</v>
      </c>
      <c r="E1263" s="66">
        <f t="shared" ref="E1263" si="2584">plan_id</f>
        <v>1952</v>
      </c>
      <c r="F1263" s="66">
        <f t="shared" ca="1" si="2530"/>
        <v>2009</v>
      </c>
      <c r="G1263" s="66">
        <f t="shared" ref="G1263" ca="1" si="2585">VLOOKUP(INDIRECT(CHAR(39)&amp;$A1263&amp;CHAR(39)&amp;"!r2c"&amp;$C1263,0),variables,2,0)</f>
        <v>10843</v>
      </c>
      <c r="H1263" s="71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66" t="s">
        <v>1045</v>
      </c>
      <c r="B1264" s="66">
        <f t="shared" si="2560"/>
        <v>12</v>
      </c>
      <c r="C1264" s="66">
        <f t="shared" si="2567"/>
        <v>15</v>
      </c>
      <c r="E1264" s="66">
        <f t="shared" ref="E1264" si="2586">plan_id</f>
        <v>1952</v>
      </c>
      <c r="F1264" s="66">
        <f t="shared" ca="1" si="2530"/>
        <v>2009</v>
      </c>
      <c r="G1264" s="66">
        <f t="shared" ref="G1264" ca="1" si="2587">VLOOKUP(INDIRECT(CHAR(39)&amp;$A1264&amp;CHAR(39)&amp;"!r2c"&amp;$C1264,0),variables,2,0)</f>
        <v>10931</v>
      </c>
      <c r="H1264" s="7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66" t="s">
        <v>1045</v>
      </c>
      <c r="B1265" s="66">
        <f t="shared" si="2560"/>
        <v>12</v>
      </c>
      <c r="C1265" s="66">
        <f t="shared" si="2567"/>
        <v>16</v>
      </c>
      <c r="E1265" s="66">
        <f t="shared" ref="E1265" si="2588">plan_id</f>
        <v>1952</v>
      </c>
      <c r="F1265" s="66">
        <f t="shared" ca="1" si="2530"/>
        <v>2009</v>
      </c>
      <c r="G1265" s="66">
        <f t="shared" ref="G1265" ca="1" si="2589">VLOOKUP(INDIRECT(CHAR(39)&amp;$A1265&amp;CHAR(39)&amp;"!r2c"&amp;$C1265,0),variables,2,0)</f>
        <v>10932</v>
      </c>
      <c r="H1265" s="7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66" t="s">
        <v>1045</v>
      </c>
      <c r="B1266" s="66">
        <f t="shared" si="2560"/>
        <v>12</v>
      </c>
      <c r="C1266" s="66">
        <f t="shared" si="2567"/>
        <v>17</v>
      </c>
      <c r="E1266" s="66">
        <f t="shared" ref="E1266" si="2590">plan_id</f>
        <v>1952</v>
      </c>
      <c r="F1266" s="66">
        <f t="shared" ca="1" si="2530"/>
        <v>2009</v>
      </c>
      <c r="G1266" s="66">
        <f t="shared" ref="G1266" ca="1" si="2591">VLOOKUP(INDIRECT(CHAR(39)&amp;$A1266&amp;CHAR(39)&amp;"!r2c"&amp;$C1266,0),variables,2,0)</f>
        <v>10933</v>
      </c>
      <c r="H1266" s="71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(i)8.46%; (ii)12.91%</v>
      </c>
    </row>
    <row r="1267" spans="1:8" x14ac:dyDescent="0.2">
      <c r="A1267" s="66" t="s">
        <v>1045</v>
      </c>
      <c r="B1267" s="66">
        <f t="shared" si="2560"/>
        <v>12</v>
      </c>
      <c r="C1267" s="66">
        <f t="shared" si="2567"/>
        <v>18</v>
      </c>
      <c r="E1267" s="66">
        <f t="shared" ref="E1267" si="2592">plan_id</f>
        <v>1952</v>
      </c>
      <c r="F1267" s="66">
        <f t="shared" ca="1" si="2530"/>
        <v>2009</v>
      </c>
      <c r="G1267" s="66">
        <f t="shared" ref="G1267" ca="1" si="2593">VLOOKUP(INDIRECT(CHAR(39)&amp;$A1267&amp;CHAR(39)&amp;"!r2c"&amp;$C1267,0),variables,2,0)</f>
        <v>10934</v>
      </c>
      <c r="H1267" s="71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(i)5%; (ii)5%</v>
      </c>
    </row>
    <row r="1268" spans="1:8" x14ac:dyDescent="0.2">
      <c r="A1268" s="66" t="s">
        <v>1045</v>
      </c>
      <c r="B1268" s="66">
        <f t="shared" si="2560"/>
        <v>12</v>
      </c>
      <c r="C1268" s="66">
        <f t="shared" si="2567"/>
        <v>19</v>
      </c>
      <c r="E1268" s="66">
        <f t="shared" ref="E1268" si="2594">plan_id</f>
        <v>1952</v>
      </c>
      <c r="F1268" s="66">
        <f t="shared" ca="1" si="2530"/>
        <v>2009</v>
      </c>
      <c r="G1268" s="66">
        <f t="shared" ref="G1268" ca="1" si="2595">VLOOKUP(INDIRECT(CHAR(39)&amp;$A1268&amp;CHAR(39)&amp;"!r2c"&amp;$C1268,0),variables,2,0)</f>
        <v>10935</v>
      </c>
      <c r="H1268" s="71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</row>
    <row r="1269" spans="1:8" x14ac:dyDescent="0.2">
      <c r="A1269" s="66" t="s">
        <v>1045</v>
      </c>
      <c r="B1269" s="66">
        <f t="shared" si="2560"/>
        <v>12</v>
      </c>
      <c r="C1269" s="66">
        <f t="shared" si="2567"/>
        <v>20</v>
      </c>
      <c r="E1269" s="66">
        <f t="shared" ref="E1269" si="2596">plan_id</f>
        <v>1952</v>
      </c>
      <c r="F1269" s="66">
        <f t="shared" ca="1" si="2530"/>
        <v>2009</v>
      </c>
      <c r="G1269" s="66">
        <f t="shared" ref="G1269" ca="1" si="2597">VLOOKUP(INDIRECT(CHAR(39)&amp;$A1269&amp;CHAR(39)&amp;"!r2c"&amp;$C1269,0),variables,2,0)</f>
        <v>10937</v>
      </c>
      <c r="H1269" s="71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66" t="s">
        <v>1045</v>
      </c>
      <c r="B1270" s="66">
        <f t="shared" si="2560"/>
        <v>12</v>
      </c>
      <c r="C1270" s="66">
        <f t="shared" si="2567"/>
        <v>21</v>
      </c>
      <c r="E1270" s="66">
        <f t="shared" ref="E1270" si="2598">plan_id</f>
        <v>1952</v>
      </c>
      <c r="F1270" s="66">
        <f t="shared" ca="1" si="2530"/>
        <v>2009</v>
      </c>
      <c r="G1270" s="66">
        <f t="shared" ref="G1270" ca="1" si="2599">VLOOKUP(INDIRECT(CHAR(39)&amp;$A1270&amp;CHAR(39)&amp;"!r2c"&amp;$C1270,0),variables,2,0)</f>
        <v>10938</v>
      </c>
      <c r="H1270" s="7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66" t="s">
        <v>1045</v>
      </c>
      <c r="B1271" s="66">
        <f t="shared" si="2560"/>
        <v>12</v>
      </c>
      <c r="C1271" s="66">
        <f t="shared" si="2567"/>
        <v>22</v>
      </c>
      <c r="E1271" s="66">
        <f t="shared" ref="E1271" si="2600">plan_id</f>
        <v>1952</v>
      </c>
      <c r="F1271" s="66">
        <f t="shared" ca="1" si="2530"/>
        <v>2009</v>
      </c>
      <c r="G1271" s="66">
        <f t="shared" ref="G1271" ca="1" si="2601">VLOOKUP(INDIRECT(CHAR(39)&amp;$A1271&amp;CHAR(39)&amp;"!r2c"&amp;$C1271,0),variables,2,0)</f>
        <v>11007</v>
      </c>
      <c r="H1271" s="71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1.7% of AFC times years of service</v>
      </c>
    </row>
    <row r="1272" spans="1:8" x14ac:dyDescent="0.2">
      <c r="A1272" s="66" t="s">
        <v>1045</v>
      </c>
      <c r="B1272" s="66">
        <f t="shared" si="2560"/>
        <v>12</v>
      </c>
      <c r="C1272" s="66">
        <f t="shared" si="2567"/>
        <v>23</v>
      </c>
      <c r="E1272" s="66">
        <f t="shared" ref="E1272" si="2602">plan_id</f>
        <v>1952</v>
      </c>
      <c r="F1272" s="66">
        <f t="shared" ca="1" si="2530"/>
        <v>2009</v>
      </c>
      <c r="G1272" s="66">
        <f t="shared" ref="G1272" ca="1" si="2603">VLOOKUP(INDIRECT(CHAR(39)&amp;$A1272&amp;CHAR(39)&amp;"!r2c"&amp;$C1272,0),variables,2,0)</f>
        <v>10941</v>
      </c>
      <c r="H1272" s="71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PBI</v>
      </c>
    </row>
    <row r="1273" spans="1:8" x14ac:dyDescent="0.2">
      <c r="A1273" s="66" t="s">
        <v>1045</v>
      </c>
      <c r="B1273" s="66">
        <f t="shared" si="2560"/>
        <v>12</v>
      </c>
      <c r="C1273" s="66">
        <f t="shared" si="2567"/>
        <v>24</v>
      </c>
      <c r="E1273" s="66">
        <f t="shared" ref="E1273" si="2604">plan_id</f>
        <v>1952</v>
      </c>
      <c r="F1273" s="66">
        <f t="shared" ca="1" si="2530"/>
        <v>2009</v>
      </c>
      <c r="G1273" s="66">
        <f t="shared" ref="G1273" ca="1" si="2605">VLOOKUP(INDIRECT(CHAR(39)&amp;$A1273&amp;CHAR(39)&amp;"!r2c"&amp;$C1273,0),variables,2,0)</f>
        <v>10942</v>
      </c>
      <c r="H1273" s="71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2">
      <c r="A1274" s="66" t="s">
        <v>1045</v>
      </c>
      <c r="B1274" s="66">
        <f t="shared" si="2560"/>
        <v>12</v>
      </c>
      <c r="C1274" s="66">
        <f t="shared" si="2567"/>
        <v>25</v>
      </c>
      <c r="E1274" s="66">
        <f t="shared" ref="E1274" si="2606">plan_id</f>
        <v>1952</v>
      </c>
      <c r="F1274" s="66">
        <f t="shared" ca="1" si="2530"/>
        <v>2009</v>
      </c>
      <c r="G1274" s="66">
        <f t="shared" ref="G1274" ca="1" si="2607">VLOOKUP(INDIRECT(CHAR(39)&amp;$A1274&amp;CHAR(39)&amp;"!r2c"&amp;$C1274,0),variables,2,0)</f>
        <v>10701</v>
      </c>
      <c r="H1274" s="71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2">
      <c r="A1275" s="66" t="s">
        <v>1045</v>
      </c>
      <c r="B1275" s="66">
        <f t="shared" si="2560"/>
        <v>12</v>
      </c>
      <c r="C1275" s="66">
        <f t="shared" si="2567"/>
        <v>26</v>
      </c>
      <c r="E1275" s="66">
        <f t="shared" ref="E1275" si="2608">plan_id</f>
        <v>1952</v>
      </c>
      <c r="F1275" s="66">
        <f t="shared" ca="1" si="2530"/>
        <v>2009</v>
      </c>
      <c r="G1275" s="66">
        <f t="shared" ref="G1275" ca="1" si="2609">VLOOKUP(INDIRECT(CHAR(39)&amp;$A1275&amp;CHAR(39)&amp;"!r2c"&amp;$C1275,0),variables,2,0)</f>
        <v>10702</v>
      </c>
      <c r="H1275" s="71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66" t="s">
        <v>1045</v>
      </c>
      <c r="B1276" s="66">
        <f t="shared" si="2560"/>
        <v>12</v>
      </c>
      <c r="C1276" s="66">
        <f t="shared" si="2567"/>
        <v>27</v>
      </c>
      <c r="E1276" s="66">
        <f t="shared" ref="E1276" si="2610">plan_id</f>
        <v>1952</v>
      </c>
      <c r="F1276" s="66">
        <f t="shared" ca="1" si="2530"/>
        <v>2009</v>
      </c>
      <c r="G1276" s="66">
        <f t="shared" ref="G1276" ca="1" si="2611">VLOOKUP(INDIRECT(CHAR(39)&amp;$A1276&amp;CHAR(39)&amp;"!r2c"&amp;$C1276,0),variables,2,0)</f>
        <v>10943</v>
      </c>
      <c r="H1276" s="71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2.5000000000000001E-2</v>
      </c>
    </row>
    <row r="1277" spans="1:8" x14ac:dyDescent="0.2">
      <c r="A1277" s="66" t="s">
        <v>1045</v>
      </c>
      <c r="B1277" s="66">
        <f t="shared" si="2560"/>
        <v>12</v>
      </c>
      <c r="C1277" s="66">
        <f t="shared" si="2567"/>
        <v>28</v>
      </c>
      <c r="E1277" s="66">
        <f t="shared" ref="E1277" si="2612">plan_id</f>
        <v>1952</v>
      </c>
      <c r="F1277" s="66">
        <f t="shared" ca="1" si="2530"/>
        <v>2009</v>
      </c>
      <c r="G1277" s="66">
        <f t="shared" ref="G1277" ca="1" si="2613">VLOOKUP(INDIRECT(CHAR(39)&amp;$A1277&amp;CHAR(39)&amp;"!r2c"&amp;$C1277,0),variables,2,0)</f>
        <v>10944</v>
      </c>
      <c r="H1277" s="71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2">
      <c r="A1278" s="66" t="s">
        <v>1045</v>
      </c>
      <c r="B1278" s="66">
        <f t="shared" si="2560"/>
        <v>12</v>
      </c>
      <c r="C1278" s="66">
        <f t="shared" si="2567"/>
        <v>29</v>
      </c>
      <c r="E1278" s="66">
        <f t="shared" ref="E1278" si="2614">plan_id</f>
        <v>1952</v>
      </c>
      <c r="F1278" s="66">
        <f t="shared" ca="1" si="2530"/>
        <v>2009</v>
      </c>
      <c r="G1278" s="66">
        <f t="shared" ref="G1278" ca="1" si="2615">VLOOKUP(INDIRECT(CHAR(39)&amp;$A1278&amp;CHAR(39)&amp;"!r2c"&amp;$C1278,0),variables,2,0)</f>
        <v>10945</v>
      </c>
      <c r="H1278" s="71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66" t="s">
        <v>1045</v>
      </c>
      <c r="B1279" s="66">
        <f t="shared" si="2560"/>
        <v>12</v>
      </c>
      <c r="C1279" s="66">
        <f t="shared" si="2567"/>
        <v>30</v>
      </c>
      <c r="E1279" s="66">
        <f t="shared" ref="E1279" si="2616">plan_id</f>
        <v>1952</v>
      </c>
      <c r="F1279" s="66">
        <f t="shared" ca="1" si="2530"/>
        <v>2009</v>
      </c>
      <c r="G1279" s="66">
        <f t="shared" ref="G1279" ca="1" si="2617">VLOOKUP(INDIRECT(CHAR(39)&amp;$A1279&amp;CHAR(39)&amp;"!r2c"&amp;$C1279,0),variables,2,0)</f>
        <v>10947</v>
      </c>
      <c r="H1279" s="71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66" t="s">
        <v>1045</v>
      </c>
      <c r="B1280" s="66">
        <f t="shared" si="2560"/>
        <v>12</v>
      </c>
      <c r="C1280" s="66">
        <f t="shared" si="2567"/>
        <v>31</v>
      </c>
      <c r="E1280" s="66">
        <f t="shared" ref="E1280" si="2618">plan_id</f>
        <v>1952</v>
      </c>
      <c r="F1280" s="66">
        <f t="shared" ca="1" si="2530"/>
        <v>2009</v>
      </c>
      <c r="G1280" s="66">
        <f t="shared" ref="G1280" ca="1" si="2619">VLOOKUP(INDIRECT(CHAR(39)&amp;$A1280&amp;CHAR(39)&amp;"!r2c"&amp;$C1280,0),variables,2,0)</f>
        <v>10948</v>
      </c>
      <c r="H1280" s="71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2">
      <c r="A1281" s="66" t="s">
        <v>1045</v>
      </c>
      <c r="B1281" s="66">
        <f t="shared" si="2560"/>
        <v>12</v>
      </c>
      <c r="C1281" s="66">
        <f t="shared" si="2567"/>
        <v>32</v>
      </c>
      <c r="E1281" s="66">
        <f t="shared" ref="E1281" si="2620">plan_id</f>
        <v>1952</v>
      </c>
      <c r="F1281" s="66">
        <f t="shared" ca="1" si="2530"/>
        <v>2009</v>
      </c>
      <c r="G1281" s="66">
        <f t="shared" ref="G1281" ca="1" si="2621">VLOOKUP(INDIRECT(CHAR(39)&amp;$A1281&amp;CHAR(39)&amp;"!r2c"&amp;$C1281,0),variables,2,0)</f>
        <v>10949</v>
      </c>
      <c r="H1281" s="71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66" t="s">
        <v>1045</v>
      </c>
      <c r="B1282" s="66">
        <f t="shared" si="2560"/>
        <v>12</v>
      </c>
      <c r="C1282" s="66">
        <f t="shared" si="2567"/>
        <v>33</v>
      </c>
      <c r="E1282" s="66">
        <f t="shared" ref="E1282" si="2622">plan_id</f>
        <v>1952</v>
      </c>
      <c r="F1282" s="66">
        <f t="shared" ca="1" si="2530"/>
        <v>2009</v>
      </c>
      <c r="G1282" s="66">
        <f t="shared" ref="G1282" ca="1" si="2623">VLOOKUP(INDIRECT(CHAR(39)&amp;$A1282&amp;CHAR(39)&amp;"!r2c"&amp;$C1282,0),variables,2,0)</f>
        <v>10951</v>
      </c>
      <c r="H1282" s="71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2">
      <c r="A1283" s="66" t="s">
        <v>1045</v>
      </c>
      <c r="B1283" s="66">
        <f t="shared" si="2560"/>
        <v>12</v>
      </c>
      <c r="C1283" s="66">
        <f t="shared" si="2567"/>
        <v>34</v>
      </c>
      <c r="E1283" s="66">
        <f t="shared" ref="E1283" si="2624">plan_id</f>
        <v>1952</v>
      </c>
      <c r="F1283" s="66">
        <f t="shared" ca="1" si="2530"/>
        <v>2009</v>
      </c>
      <c r="G1283" s="66">
        <f t="shared" ref="G1283" ca="1" si="2625">VLOOKUP(INDIRECT(CHAR(39)&amp;$A1283&amp;CHAR(39)&amp;"!r2c"&amp;$C1283,0),variables,2,0)</f>
        <v>10950</v>
      </c>
      <c r="H1283" s="71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66" t="s">
        <v>1045</v>
      </c>
      <c r="B1284" s="66">
        <f t="shared" si="2560"/>
        <v>12</v>
      </c>
      <c r="C1284" s="66">
        <f t="shared" si="2567"/>
        <v>35</v>
      </c>
      <c r="E1284" s="66">
        <f t="shared" ref="E1284" si="2626">plan_id</f>
        <v>1952</v>
      </c>
      <c r="F1284" s="66">
        <f t="shared" ca="1" si="2530"/>
        <v>2009</v>
      </c>
      <c r="G1284" s="66">
        <f t="shared" ref="G1284" ca="1" si="2627">VLOOKUP(INDIRECT(CHAR(39)&amp;$A1284&amp;CHAR(39)&amp;"!r2c"&amp;$C1284,0),variables,2,0)</f>
        <v>10954</v>
      </c>
      <c r="H1284" s="71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2.5000000000000001E-2</v>
      </c>
    </row>
    <row r="1285" spans="1:8" x14ac:dyDescent="0.2">
      <c r="A1285" s="66" t="s">
        <v>1045</v>
      </c>
      <c r="B1285" s="66">
        <f t="shared" si="2560"/>
        <v>12</v>
      </c>
      <c r="C1285" s="66">
        <f t="shared" si="2567"/>
        <v>36</v>
      </c>
      <c r="E1285" s="66">
        <f t="shared" ref="E1285" si="2628">plan_id</f>
        <v>1952</v>
      </c>
      <c r="F1285" s="66">
        <f t="shared" ca="1" si="2530"/>
        <v>2009</v>
      </c>
      <c r="G1285" s="66">
        <f t="shared" ref="G1285" ca="1" si="2629">VLOOKUP(INDIRECT(CHAR(39)&amp;$A1285&amp;CHAR(39)&amp;"!r2c"&amp;$C1285,0),variables,2,0)</f>
        <v>10955</v>
      </c>
      <c r="H1285" s="71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2">
      <c r="A1286" s="66" t="s">
        <v>1045</v>
      </c>
      <c r="B1286" s="66">
        <f t="shared" si="2560"/>
        <v>12</v>
      </c>
      <c r="C1286" s="66">
        <f t="shared" si="2567"/>
        <v>37</v>
      </c>
      <c r="E1286" s="66">
        <f t="shared" ref="E1286" si="2630">plan_id</f>
        <v>1952</v>
      </c>
      <c r="F1286" s="66">
        <f t="shared" ca="1" si="2530"/>
        <v>2009</v>
      </c>
      <c r="G1286" s="66">
        <f t="shared" ref="G1286" ca="1" si="2631">VLOOKUP(INDIRECT(CHAR(39)&amp;$A1286&amp;CHAR(39)&amp;"!r2c"&amp;$C1286,0),variables,2,0)</f>
        <v>10956</v>
      </c>
      <c r="H1286" s="71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0.03</v>
      </c>
    </row>
    <row r="1287" spans="1:8" x14ac:dyDescent="0.2">
      <c r="A1287" s="66" t="s">
        <v>1045</v>
      </c>
      <c r="B1287" s="66">
        <f t="shared" si="2560"/>
        <v>12</v>
      </c>
      <c r="C1287" s="66">
        <f t="shared" si="2567"/>
        <v>38</v>
      </c>
      <c r="E1287" s="66">
        <f t="shared" ref="E1287" si="2632">plan_id</f>
        <v>1952</v>
      </c>
      <c r="F1287" s="66">
        <f t="shared" ca="1" si="2530"/>
        <v>2009</v>
      </c>
      <c r="G1287" s="66">
        <f t="shared" ref="G1287" ca="1" si="2633">VLOOKUP(INDIRECT(CHAR(39)&amp;$A1287&amp;CHAR(39)&amp;"!r2c"&amp;$C1287,0),variables,2,0)</f>
        <v>10959</v>
      </c>
      <c r="H1287" s="71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SE-3.75% to 5.6% &amp; Teach 3.75% to 6.20%</v>
      </c>
    </row>
    <row r="1288" spans="1:8" x14ac:dyDescent="0.2">
      <c r="A1288" s="66" t="s">
        <v>1045</v>
      </c>
      <c r="B1288" s="66">
        <f t="shared" si="2560"/>
        <v>12</v>
      </c>
      <c r="C1288" s="66">
        <f t="shared" si="2567"/>
        <v>39</v>
      </c>
      <c r="E1288" s="66">
        <f t="shared" ref="E1288" si="2634">plan_id</f>
        <v>1952</v>
      </c>
      <c r="F1288" s="66">
        <f t="shared" ca="1" si="2530"/>
        <v>2009</v>
      </c>
      <c r="G1288" s="66">
        <f t="shared" ref="G1288" ca="1" si="2635">VLOOKUP(INDIRECT(CHAR(39)&amp;$A1288&amp;CHAR(39)&amp;"!r2c"&amp;$C1288,0),variables,2,0)</f>
        <v>10962</v>
      </c>
      <c r="H1288" s="71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Pg.52 &amp; 57</v>
      </c>
    </row>
    <row r="1289" spans="1:8" x14ac:dyDescent="0.2">
      <c r="A1289" s="66" t="s">
        <v>1045</v>
      </c>
      <c r="B1289" s="66">
        <f t="shared" si="2560"/>
        <v>12</v>
      </c>
      <c r="C1289" s="66">
        <f t="shared" si="2567"/>
        <v>40</v>
      </c>
      <c r="E1289" s="66">
        <f t="shared" ref="E1289" si="2636">plan_id</f>
        <v>1952</v>
      </c>
      <c r="F1289" s="66">
        <f t="shared" ca="1" si="2530"/>
        <v>2009</v>
      </c>
      <c r="G1289" s="66">
        <f t="shared" ref="G1289" ca="1" si="2637">VLOOKUP(INDIRECT(CHAR(39)&amp;$A1289&amp;CHAR(39)&amp;"!r2c"&amp;$C1289,0),variables,2,0)</f>
        <v>10964</v>
      </c>
      <c r="H1289" s="71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Pg.50 &amp; 55</v>
      </c>
    </row>
    <row r="1290" spans="1:8" x14ac:dyDescent="0.2">
      <c r="A1290" s="66" t="s">
        <v>1045</v>
      </c>
      <c r="B1290" s="66">
        <f t="shared" si="2560"/>
        <v>12</v>
      </c>
      <c r="C1290" s="66">
        <f t="shared" si="2567"/>
        <v>41</v>
      </c>
      <c r="E1290" s="66">
        <f t="shared" ref="E1290" si="2638">plan_id</f>
        <v>1952</v>
      </c>
      <c r="F1290" s="66">
        <f t="shared" ca="1" si="2530"/>
        <v>2009</v>
      </c>
      <c r="G1290" s="66">
        <f t="shared" ref="G1290" ca="1" si="2639">VLOOKUP(INDIRECT(CHAR(39)&amp;$A1290&amp;CHAR(39)&amp;"!r2c"&amp;$C1290,0),variables,2,0)</f>
        <v>10967</v>
      </c>
      <c r="H1290" s="71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Group Annuity Mortality Table</v>
      </c>
    </row>
    <row r="1291" spans="1:8" x14ac:dyDescent="0.2">
      <c r="A1291" s="66" t="s">
        <v>1045</v>
      </c>
      <c r="B1291" s="66">
        <f t="shared" si="2560"/>
        <v>12</v>
      </c>
      <c r="C1291" s="66">
        <f t="shared" si="2567"/>
        <v>42</v>
      </c>
      <c r="E1291" s="66">
        <f t="shared" ref="E1291" si="2640">plan_id</f>
        <v>1952</v>
      </c>
      <c r="F1291" s="66">
        <f t="shared" ca="1" si="2530"/>
        <v>2009</v>
      </c>
      <c r="G1291" s="66">
        <f t="shared" ref="G1291" ca="1" si="2641">VLOOKUP(INDIRECT(CHAR(39)&amp;$A1291&amp;CHAR(39)&amp;"!r2c"&amp;$C1291,0),variables,2,0)</f>
        <v>10968</v>
      </c>
      <c r="H1291" s="71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2">
      <c r="A1292" s="66" t="s">
        <v>1045</v>
      </c>
      <c r="B1292" s="66">
        <f t="shared" si="2560"/>
        <v>12</v>
      </c>
      <c r="C1292" s="66">
        <f t="shared" si="2567"/>
        <v>43</v>
      </c>
      <c r="E1292" s="66">
        <f t="shared" ref="E1292" si="2642">plan_id</f>
        <v>1952</v>
      </c>
      <c r="F1292" s="66">
        <f t="shared" ca="1" si="2530"/>
        <v>2009</v>
      </c>
      <c r="G1292" s="66">
        <f t="shared" ref="G1292" ca="1" si="2643">VLOOKUP(INDIRECT(CHAR(39)&amp;$A1292&amp;CHAR(39)&amp;"!r2c"&amp;$C1292,0),variables,2,0)</f>
        <v>10969</v>
      </c>
      <c r="H1292" s="71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66" t="s">
        <v>1045</v>
      </c>
      <c r="B1293" s="66">
        <f t="shared" si="2560"/>
        <v>12</v>
      </c>
      <c r="C1293" s="66">
        <f t="shared" si="2567"/>
        <v>44</v>
      </c>
      <c r="E1293" s="66">
        <f t="shared" ref="E1293" si="2644">plan_id</f>
        <v>1952</v>
      </c>
      <c r="F1293" s="66">
        <f t="shared" ca="1" si="2530"/>
        <v>2009</v>
      </c>
      <c r="G1293" s="66">
        <f t="shared" ref="G1293" ca="1" si="2645">VLOOKUP(INDIRECT(CHAR(39)&amp;$A1293&amp;CHAR(39)&amp;"!r2c"&amp;$C1293,0),variables,2,0)</f>
        <v>10970</v>
      </c>
      <c r="H1293" s="71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State: Males &amp; Females: 1 Year; Teachers: Pre- 1 Year; Post- 3 Years</v>
      </c>
    </row>
    <row r="1294" spans="1:8" x14ac:dyDescent="0.2">
      <c r="A1294" s="66" t="s">
        <v>1045</v>
      </c>
      <c r="B1294" s="66">
        <f t="shared" si="2560"/>
        <v>12</v>
      </c>
      <c r="C1294" s="66">
        <f t="shared" si="2567"/>
        <v>45</v>
      </c>
      <c r="E1294" s="66">
        <f t="shared" ref="E1294" si="2646">plan_id</f>
        <v>1952</v>
      </c>
      <c r="F1294" s="66">
        <f t="shared" ca="1" si="2530"/>
        <v>2009</v>
      </c>
      <c r="G1294" s="66">
        <f t="shared" ref="G1294" ca="1" si="2647">VLOOKUP(INDIRECT(CHAR(39)&amp;$A1294&amp;CHAR(39)&amp;"!r2c"&amp;$C1294,0),variables,2,0)</f>
        <v>10971</v>
      </c>
      <c r="H1294" s="71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66" t="s">
        <v>1045</v>
      </c>
      <c r="B1295" s="66">
        <f t="shared" si="2560"/>
        <v>12</v>
      </c>
      <c r="C1295" s="66">
        <f t="shared" si="2567"/>
        <v>46</v>
      </c>
      <c r="E1295" s="66">
        <f t="shared" ref="E1295" si="2648">plan_id</f>
        <v>1952</v>
      </c>
      <c r="F1295" s="66">
        <f t="shared" ca="1" si="2530"/>
        <v>2009</v>
      </c>
      <c r="G1295" s="66">
        <f t="shared" ref="G1295" ca="1" si="2649">VLOOKUP(INDIRECT(CHAR(39)&amp;$A1295&amp;CHAR(39)&amp;"!r2c"&amp;$C1295,0),variables,2,0)</f>
        <v>10972</v>
      </c>
      <c r="H1295" s="71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open</v>
      </c>
    </row>
    <row r="1296" spans="1:8" x14ac:dyDescent="0.2">
      <c r="A1296" s="66" t="s">
        <v>1045</v>
      </c>
      <c r="B1296" s="66">
        <f t="shared" si="2560"/>
        <v>12</v>
      </c>
      <c r="C1296" s="66">
        <f t="shared" si="2567"/>
        <v>47</v>
      </c>
      <c r="E1296" s="66">
        <f t="shared" ref="E1296" si="2650">plan_id</f>
        <v>1952</v>
      </c>
      <c r="F1296" s="66">
        <f t="shared" ca="1" si="2530"/>
        <v>2009</v>
      </c>
      <c r="G1296" s="66">
        <f t="shared" ref="G1296" ca="1" si="2651">VLOOKUP(INDIRECT(CHAR(39)&amp;$A1296&amp;CHAR(39)&amp;"!r2c"&amp;$C1296,0),variables,2,0)</f>
        <v>10973</v>
      </c>
      <c r="H1296" s="71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x14ac:dyDescent="0.2">
      <c r="A1297" s="66" t="s">
        <v>1045</v>
      </c>
      <c r="B1297" s="66">
        <f t="shared" si="2560"/>
        <v>12</v>
      </c>
      <c r="C1297" s="66">
        <f t="shared" si="2567"/>
        <v>48</v>
      </c>
      <c r="E1297" s="66">
        <f t="shared" ref="E1297" si="2652">plan_id</f>
        <v>1952</v>
      </c>
      <c r="F1297" s="66">
        <f t="shared" ca="1" si="2530"/>
        <v>2009</v>
      </c>
      <c r="G1297" s="66">
        <f t="shared" ref="G1297" ca="1" si="2653">VLOOKUP(INDIRECT(CHAR(39)&amp;$A1297&amp;CHAR(39)&amp;"!r2c"&amp;$C1297,0),variables,2,0)</f>
        <v>10975</v>
      </c>
      <c r="H1297" s="71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2">
      <c r="A1298" s="66" t="s">
        <v>1045</v>
      </c>
      <c r="B1298" s="66">
        <f t="shared" si="2560"/>
        <v>12</v>
      </c>
      <c r="C1298" s="66">
        <f t="shared" si="2567"/>
        <v>49</v>
      </c>
      <c r="E1298" s="66">
        <f t="shared" ref="E1298" si="2654">plan_id</f>
        <v>1952</v>
      </c>
      <c r="F1298" s="66">
        <f t="shared" ca="1" si="2530"/>
        <v>2009</v>
      </c>
      <c r="G1298" s="66">
        <f t="shared" ref="G1298" ca="1" si="2655">VLOOKUP(INDIRECT(CHAR(39)&amp;$A1298&amp;CHAR(39)&amp;"!r2c"&amp;$C1298,0),variables,2,0)</f>
        <v>10976</v>
      </c>
      <c r="H1298" s="71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2">
      <c r="A1299" s="66" t="s">
        <v>1045</v>
      </c>
      <c r="B1299" s="66">
        <f t="shared" si="2560"/>
        <v>12</v>
      </c>
      <c r="C1299" s="66">
        <f t="shared" si="2567"/>
        <v>50</v>
      </c>
      <c r="E1299" s="66">
        <f t="shared" ref="E1299" si="2656">plan_id</f>
        <v>1952</v>
      </c>
      <c r="F1299" s="66">
        <f t="shared" ca="1" si="2530"/>
        <v>2009</v>
      </c>
      <c r="G1299" s="66">
        <f t="shared" ref="G1299" ca="1" si="2657">VLOOKUP(INDIRECT(CHAR(39)&amp;$A1299&amp;CHAR(39)&amp;"!r2c"&amp;$C1299,0),variables,2,0)</f>
        <v>10977</v>
      </c>
      <c r="H1299" s="71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66" t="s">
        <v>1045</v>
      </c>
      <c r="B1300" s="66">
        <f t="shared" si="2560"/>
        <v>12</v>
      </c>
      <c r="C1300" s="66">
        <f t="shared" si="2567"/>
        <v>51</v>
      </c>
      <c r="E1300" s="66">
        <f t="shared" ref="E1300" si="2658">plan_id</f>
        <v>1952</v>
      </c>
      <c r="F1300" s="66">
        <f t="shared" ca="1" si="2530"/>
        <v>2009</v>
      </c>
      <c r="G1300" s="66">
        <f t="shared" ref="G1300" ca="1" si="2659">VLOOKUP(INDIRECT(CHAR(39)&amp;$A1300&amp;CHAR(39)&amp;"!r2c"&amp;$C1300,0),variables,2,0)</f>
        <v>10978</v>
      </c>
      <c r="H1300" s="71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2">
      <c r="A1301" s="66" t="s">
        <v>1045</v>
      </c>
      <c r="B1301" s="66">
        <f t="shared" si="2560"/>
        <v>12</v>
      </c>
      <c r="C1301" s="66">
        <f t="shared" si="2567"/>
        <v>52</v>
      </c>
      <c r="E1301" s="66">
        <f t="shared" ref="E1301" si="2660">plan_id</f>
        <v>1952</v>
      </c>
      <c r="F1301" s="66">
        <f t="shared" ca="1" si="2530"/>
        <v>2009</v>
      </c>
      <c r="G1301" s="66">
        <f t="shared" ref="G1301" ca="1" si="2661">VLOOKUP(INDIRECT(CHAR(39)&amp;$A1301&amp;CHAR(39)&amp;"!r2c"&amp;$C1301,0),variables,2,0)</f>
        <v>10979</v>
      </c>
      <c r="H1301" s="71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2">
      <c r="A1302" s="66" t="s">
        <v>1045</v>
      </c>
      <c r="B1302" s="66">
        <f t="shared" si="2560"/>
        <v>12</v>
      </c>
      <c r="C1302" s="66">
        <f t="shared" si="2567"/>
        <v>53</v>
      </c>
      <c r="E1302" s="66">
        <f t="shared" ref="E1302" si="2662">plan_id</f>
        <v>1952</v>
      </c>
      <c r="F1302" s="66">
        <f t="shared" ca="1" si="2530"/>
        <v>2009</v>
      </c>
      <c r="G1302" s="66">
        <f t="shared" ref="G1302" ca="1" si="2663">VLOOKUP(INDIRECT(CHAR(39)&amp;$A1302&amp;CHAR(39)&amp;"!r2c"&amp;$C1302,0),variables,2,0)</f>
        <v>10980</v>
      </c>
      <c r="H1302" s="71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2">
      <c r="A1303" s="66" t="s">
        <v>1045</v>
      </c>
      <c r="B1303" s="66">
        <f t="shared" si="2560"/>
        <v>12</v>
      </c>
      <c r="C1303" s="66">
        <f t="shared" si="2567"/>
        <v>54</v>
      </c>
      <c r="E1303" s="66">
        <f t="shared" ref="E1303" si="2664">plan_id</f>
        <v>1952</v>
      </c>
      <c r="F1303" s="66">
        <f t="shared" ca="1" si="2530"/>
        <v>2009</v>
      </c>
      <c r="G1303" s="66">
        <f t="shared" ref="G1303" ca="1" si="2665">VLOOKUP(INDIRECT(CHAR(39)&amp;$A1303&amp;CHAR(39)&amp;"!r2c"&amp;$C1303,0),variables,2,0)</f>
        <v>10981</v>
      </c>
      <c r="H1303" s="71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2">
      <c r="A1304" s="66" t="s">
        <v>1045</v>
      </c>
      <c r="B1304" s="66">
        <f t="shared" si="2560"/>
        <v>12</v>
      </c>
      <c r="C1304" s="66">
        <f t="shared" si="2567"/>
        <v>55</v>
      </c>
      <c r="E1304" s="66">
        <f t="shared" ref="E1304" si="2666">plan_id</f>
        <v>1952</v>
      </c>
      <c r="F1304" s="66">
        <f t="shared" ca="1" si="2530"/>
        <v>2009</v>
      </c>
      <c r="G1304" s="66">
        <f t="shared" ref="G1304" ca="1" si="2667">VLOOKUP(INDIRECT(CHAR(39)&amp;$A1304&amp;CHAR(39)&amp;"!r2c"&amp;$C1304,0),variables,2,0)</f>
        <v>10706</v>
      </c>
      <c r="H1304" s="71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1.1148661308113738E-3</v>
      </c>
    </row>
    <row r="1305" spans="1:8" x14ac:dyDescent="0.2">
      <c r="A1305" s="66" t="s">
        <v>1045</v>
      </c>
      <c r="B1305" s="66">
        <f t="shared" si="2560"/>
        <v>12</v>
      </c>
      <c r="C1305" s="66">
        <f t="shared" si="2567"/>
        <v>56</v>
      </c>
      <c r="E1305" s="66">
        <f t="shared" ref="E1305" si="2668">plan_id</f>
        <v>1952</v>
      </c>
      <c r="F1305" s="66">
        <f t="shared" ca="1" si="2530"/>
        <v>2009</v>
      </c>
      <c r="G1305" s="66">
        <f t="shared" ref="G1305" ca="1" si="2669">VLOOKUP(INDIRECT(CHAR(39)&amp;$A1305&amp;CHAR(39)&amp;"!r2c"&amp;$C1305,0),variables,2,0)</f>
        <v>10983</v>
      </c>
      <c r="H1305" s="71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66" t="s">
        <v>1045</v>
      </c>
      <c r="B1306" s="66">
        <f t="shared" si="2560"/>
        <v>12</v>
      </c>
      <c r="C1306" s="66">
        <f t="shared" si="2567"/>
        <v>57</v>
      </c>
      <c r="E1306" s="66">
        <f t="shared" ref="E1306" si="2670">plan_id</f>
        <v>1952</v>
      </c>
      <c r="F1306" s="66">
        <f t="shared" ca="1" si="2530"/>
        <v>2009</v>
      </c>
      <c r="G1306" s="66">
        <f t="shared" ref="G1306" ca="1" si="2671">VLOOKUP(INDIRECT(CHAR(39)&amp;$A1306&amp;CHAR(39)&amp;"!r2c"&amp;$C1306,0),variables,2,0)</f>
        <v>10989</v>
      </c>
      <c r="H1306" s="7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40814566000</v>
      </c>
    </row>
    <row r="1307" spans="1:8" x14ac:dyDescent="0.2">
      <c r="A1307" s="66" t="s">
        <v>1045</v>
      </c>
      <c r="B1307" s="66">
        <f t="shared" si="2560"/>
        <v>12</v>
      </c>
      <c r="C1307" s="66">
        <f t="shared" si="2567"/>
        <v>58</v>
      </c>
      <c r="E1307" s="66">
        <f t="shared" ref="E1307" si="2672">plan_id</f>
        <v>1952</v>
      </c>
      <c r="F1307" s="66">
        <f t="shared" ca="1" si="2530"/>
        <v>2009</v>
      </c>
      <c r="G1307" s="66">
        <f t="shared" ref="G1307" ca="1" si="2673">VLOOKUP(INDIRECT(CHAR(39)&amp;$A1307&amp;CHAR(39)&amp;"!r2c"&amp;$C1307,0),variables,2,0)</f>
        <v>10990</v>
      </c>
      <c r="H1307" s="7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51786393000</v>
      </c>
    </row>
    <row r="1308" spans="1:8" x14ac:dyDescent="0.2">
      <c r="A1308" s="66" t="s">
        <v>1045</v>
      </c>
      <c r="B1308" s="66">
        <f t="shared" si="2560"/>
        <v>12</v>
      </c>
      <c r="C1308" s="66">
        <f t="shared" si="2567"/>
        <v>59</v>
      </c>
      <c r="E1308" s="66">
        <f t="shared" ref="E1308" si="2674">plan_id</f>
        <v>1952</v>
      </c>
      <c r="F1308" s="66">
        <f t="shared" ca="1" si="2530"/>
        <v>2009</v>
      </c>
      <c r="G1308" s="66">
        <f t="shared" ref="G1308" ca="1" si="2675">VLOOKUP(INDIRECT(CHAR(39)&amp;$A1308&amp;CHAR(39)&amp;"!r2c"&amp;$C1308,0),variables,2,0)</f>
        <v>10991</v>
      </c>
      <c r="H1308" s="7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10971827000</v>
      </c>
    </row>
    <row r="1309" spans="1:8" x14ac:dyDescent="0.2">
      <c r="A1309" s="66" t="s">
        <v>1045</v>
      </c>
      <c r="B1309" s="66">
        <f t="shared" si="2560"/>
        <v>12</v>
      </c>
      <c r="C1309" s="66">
        <f t="shared" si="2567"/>
        <v>60</v>
      </c>
      <c r="E1309" s="66">
        <f t="shared" ref="E1309" si="2676">plan_id</f>
        <v>1952</v>
      </c>
      <c r="F1309" s="66">
        <f t="shared" ca="1" si="2530"/>
        <v>2009</v>
      </c>
      <c r="G1309" s="66">
        <f t="shared" ref="G1309" ca="1" si="2677">VLOOKUP(INDIRECT(CHAR(39)&amp;$A1309&amp;CHAR(39)&amp;"!r2c"&amp;$C1309,0),variables,2,0)</f>
        <v>10992</v>
      </c>
      <c r="H1309" s="71" t="str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State Employees: 84%; Teachers: 76.1%</v>
      </c>
    </row>
    <row r="1310" spans="1:8" x14ac:dyDescent="0.2">
      <c r="A1310" s="66" t="s">
        <v>1045</v>
      </c>
      <c r="B1310" s="66">
        <f t="shared" si="2560"/>
        <v>12</v>
      </c>
      <c r="C1310" s="66">
        <f t="shared" si="2567"/>
        <v>61</v>
      </c>
      <c r="E1310" s="66">
        <f t="shared" ref="E1310" si="2678">plan_id</f>
        <v>1952</v>
      </c>
      <c r="F1310" s="66">
        <f t="shared" ca="1" si="2530"/>
        <v>2009</v>
      </c>
      <c r="G1310" s="66">
        <f t="shared" ref="G1310" ca="1" si="2679">VLOOKUP(INDIRECT(CHAR(39)&amp;$A1310&amp;CHAR(39)&amp;"!r2c"&amp;$C1310,0),variables,2,0)</f>
        <v>10993</v>
      </c>
      <c r="H1310" s="71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10780320000</v>
      </c>
    </row>
    <row r="1311" spans="1:8" x14ac:dyDescent="0.2">
      <c r="A1311" s="66" t="s">
        <v>1045</v>
      </c>
      <c r="B1311" s="66">
        <f t="shared" si="2560"/>
        <v>12</v>
      </c>
      <c r="C1311" s="66">
        <f t="shared" si="2567"/>
        <v>62</v>
      </c>
      <c r="E1311" s="66">
        <f t="shared" ref="E1311" si="2680">plan_id</f>
        <v>1952</v>
      </c>
      <c r="F1311" s="66">
        <f t="shared" ca="1" si="2530"/>
        <v>2009</v>
      </c>
      <c r="G1311" s="66">
        <f t="shared" ref="G1311" ca="1" si="2681">VLOOKUP(INDIRECT(CHAR(39)&amp;$A1311&amp;CHAR(39)&amp;"!r2c"&amp;$C1311,0),variables,2,0)</f>
        <v>10801</v>
      </c>
      <c r="H1311" s="71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6108900000</v>
      </c>
    </row>
    <row r="1312" spans="1:8" x14ac:dyDescent="0.2">
      <c r="A1312" s="66" t="s">
        <v>1045</v>
      </c>
      <c r="B1312" s="66">
        <f t="shared" si="2560"/>
        <v>12</v>
      </c>
      <c r="C1312" s="66">
        <f t="shared" si="2567"/>
        <v>63</v>
      </c>
      <c r="E1312" s="66">
        <f t="shared" ref="E1312" si="2682">plan_id</f>
        <v>1952</v>
      </c>
      <c r="F1312" s="66">
        <f t="shared" ca="1" si="2530"/>
        <v>2009</v>
      </c>
      <c r="G1312" s="66">
        <f t="shared" ref="G1312" ca="1" si="2683">VLOOKUP(INDIRECT(CHAR(39)&amp;$A1312&amp;CHAR(39)&amp;"!r2c"&amp;$C1312,0),variables,2,0)</f>
        <v>10802</v>
      </c>
      <c r="H1312" s="7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-109800000.00000001</v>
      </c>
    </row>
    <row r="1313" spans="1:8" x14ac:dyDescent="0.2">
      <c r="A1313" s="66" t="s">
        <v>1045</v>
      </c>
      <c r="B1313" s="66">
        <f t="shared" si="2560"/>
        <v>12</v>
      </c>
      <c r="C1313" s="66">
        <f t="shared" si="2567"/>
        <v>64</v>
      </c>
      <c r="E1313" s="66">
        <f t="shared" ref="E1313" si="2684">plan_id</f>
        <v>1952</v>
      </c>
      <c r="F1313" s="66">
        <f t="shared" ca="1" si="2530"/>
        <v>2009</v>
      </c>
      <c r="G1313" s="66">
        <f t="shared" ref="G1313" ca="1" si="2685">VLOOKUP(INDIRECT(CHAR(39)&amp;$A1313&amp;CHAR(39)&amp;"!r2c"&amp;$C1313,0),variables,2,0)</f>
        <v>10803</v>
      </c>
      <c r="H1313" s="71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66" t="s">
        <v>1045</v>
      </c>
      <c r="B1314" s="66">
        <f t="shared" si="2560"/>
        <v>12</v>
      </c>
      <c r="C1314" s="66">
        <f t="shared" si="2567"/>
        <v>65</v>
      </c>
      <c r="E1314" s="66">
        <f t="shared" ref="E1314" si="2686">plan_id</f>
        <v>1952</v>
      </c>
      <c r="F1314" s="66">
        <f t="shared" ca="1" si="2530"/>
        <v>2009</v>
      </c>
      <c r="G1314" s="66">
        <f t="shared" ref="G1314" ca="1" si="2687">VLOOKUP(INDIRECT(CHAR(39)&amp;$A1314&amp;CHAR(39)&amp;"!r2c"&amp;$C1314,0),variables,2,0)</f>
        <v>10804</v>
      </c>
      <c r="H1314" s="7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66" t="s">
        <v>1045</v>
      </c>
      <c r="B1315" s="66">
        <f t="shared" si="2560"/>
        <v>12</v>
      </c>
      <c r="C1315" s="66">
        <f t="shared" si="2567"/>
        <v>66</v>
      </c>
      <c r="E1315" s="66">
        <f t="shared" ref="E1315" si="2688">plan_id</f>
        <v>1952</v>
      </c>
      <c r="F1315" s="66">
        <f t="shared" ca="1" si="2530"/>
        <v>2009</v>
      </c>
      <c r="G1315" s="66">
        <f t="shared" ref="G1315" ca="1" si="2689">VLOOKUP(INDIRECT(CHAR(39)&amp;$A1315&amp;CHAR(39)&amp;"!r2c"&amp;$C1315,0),variables,2,0)</f>
        <v>10805</v>
      </c>
      <c r="H1315" s="7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66" t="s">
        <v>1045</v>
      </c>
      <c r="B1316" s="66">
        <f t="shared" ref="B1316" si="2690">B1251+1</f>
        <v>12</v>
      </c>
      <c r="C1316" s="66">
        <f t="shared" si="2567"/>
        <v>67</v>
      </c>
      <c r="E1316" s="66">
        <f t="shared" ref="E1316" si="2691">plan_id</f>
        <v>1952</v>
      </c>
      <c r="F1316" s="66">
        <f t="shared" ca="1" si="2530"/>
        <v>2009</v>
      </c>
      <c r="G1316" s="66">
        <f t="shared" ref="G1316" ca="1" si="2692">VLOOKUP(INDIRECT(CHAR(39)&amp;$A1316&amp;CHAR(39)&amp;"!r2c"&amp;$C1316,0),variables,2,0)</f>
        <v>10806</v>
      </c>
      <c r="H1316" s="7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30600000</v>
      </c>
    </row>
    <row r="1317" spans="1:8" x14ac:dyDescent="0.2">
      <c r="A1317" s="66" t="s">
        <v>1045</v>
      </c>
      <c r="B1317" s="66">
        <f>B1316</f>
        <v>12</v>
      </c>
      <c r="C1317" s="66">
        <f t="shared" si="2567"/>
        <v>68</v>
      </c>
      <c r="E1317" s="66">
        <f t="shared" ref="E1317" si="2693">plan_id</f>
        <v>1952</v>
      </c>
      <c r="F1317" s="66">
        <f t="shared" ca="1" si="2530"/>
        <v>2009</v>
      </c>
      <c r="G1317" s="66">
        <f t="shared" ref="G1317" ca="1" si="2694">VLOOKUP(INDIRECT(CHAR(39)&amp;$A1317&amp;CHAR(39)&amp;"!r2c"&amp;$C1317,0),variables,2,0)</f>
        <v>10807</v>
      </c>
      <c r="H1317" s="7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66" t="s">
        <v>1045</v>
      </c>
      <c r="B1318" s="66">
        <f t="shared" ref="B1318:B1342" si="2695">B1317</f>
        <v>12</v>
      </c>
      <c r="C1318" s="66">
        <f t="shared" si="2567"/>
        <v>69</v>
      </c>
      <c r="E1318" s="66">
        <f t="shared" ref="E1318" si="2696">plan_id</f>
        <v>1952</v>
      </c>
      <c r="F1318" s="66">
        <f t="shared" ca="1" si="2530"/>
        <v>2009</v>
      </c>
      <c r="G1318" s="66">
        <f t="shared" ref="G1318" ca="1" si="2697">VLOOKUP(INDIRECT(CHAR(39)&amp;$A1318&amp;CHAR(39)&amp;"!r2c"&amp;$C1318,0),variables,2,0)</f>
        <v>10808</v>
      </c>
      <c r="H1318" s="7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66" t="s">
        <v>1045</v>
      </c>
      <c r="B1319" s="66">
        <f t="shared" si="2695"/>
        <v>12</v>
      </c>
      <c r="C1319" s="66">
        <f t="shared" ref="C1319:C1382" si="2698">C1228</f>
        <v>70</v>
      </c>
      <c r="E1319" s="66">
        <f t="shared" ref="E1319" si="2699">plan_id</f>
        <v>1952</v>
      </c>
      <c r="F1319" s="66">
        <f t="shared" ca="1" si="2530"/>
        <v>2009</v>
      </c>
      <c r="G1319" s="66">
        <f t="shared" ref="G1319" ca="1" si="2700">VLOOKUP(INDIRECT(CHAR(39)&amp;$A1319&amp;CHAR(39)&amp;"!r2c"&amp;$C1319,0),variables,2,0)</f>
        <v>10809</v>
      </c>
      <c r="H1319" s="7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66" t="s">
        <v>1045</v>
      </c>
      <c r="B1320" s="66">
        <f t="shared" si="2695"/>
        <v>12</v>
      </c>
      <c r="C1320" s="66">
        <f t="shared" si="2698"/>
        <v>71</v>
      </c>
      <c r="E1320" s="66">
        <f t="shared" ref="E1320" si="2701">plan_id</f>
        <v>1952</v>
      </c>
      <c r="F1320" s="66">
        <f t="shared" ca="1" si="2530"/>
        <v>2009</v>
      </c>
      <c r="G1320" s="66">
        <f t="shared" ref="G1320" ca="1" si="2702">VLOOKUP(INDIRECT(CHAR(39)&amp;$A1320&amp;CHAR(39)&amp;"!r2c"&amp;$C1320,0),variables,2,0)</f>
        <v>10810</v>
      </c>
      <c r="H1320" s="71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62000000</v>
      </c>
    </row>
    <row r="1321" spans="1:8" x14ac:dyDescent="0.2">
      <c r="A1321" s="66" t="s">
        <v>1045</v>
      </c>
      <c r="B1321" s="66">
        <f t="shared" si="2695"/>
        <v>12</v>
      </c>
      <c r="C1321" s="66">
        <f t="shared" si="2698"/>
        <v>72</v>
      </c>
      <c r="E1321" s="66">
        <f t="shared" ref="E1321" si="2703">plan_id</f>
        <v>1952</v>
      </c>
      <c r="F1321" s="66">
        <f t="shared" ca="1" si="2530"/>
        <v>2009</v>
      </c>
      <c r="G1321" s="66">
        <f t="shared" ref="G1321" ca="1" si="2704">VLOOKUP(INDIRECT(CHAR(39)&amp;$A1321&amp;CHAR(39)&amp;"!r2c"&amp;$C1321,0),variables,2,0)</f>
        <v>10811</v>
      </c>
      <c r="H1321" s="7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66" t="s">
        <v>1045</v>
      </c>
      <c r="B1322" s="66">
        <f t="shared" si="2695"/>
        <v>12</v>
      </c>
      <c r="C1322" s="66">
        <f t="shared" si="2698"/>
        <v>73</v>
      </c>
      <c r="E1322" s="66">
        <f t="shared" ref="E1322" si="2705">plan_id</f>
        <v>1952</v>
      </c>
      <c r="F1322" s="66">
        <f t="shared" ca="1" si="2530"/>
        <v>2009</v>
      </c>
      <c r="G1322" s="66">
        <f t="shared" ref="G1322" ca="1" si="2706">VLOOKUP(INDIRECT(CHAR(39)&amp;$A1322&amp;CHAR(39)&amp;"!r2c"&amp;$C1322,0),variables,2,0)</f>
        <v>10812</v>
      </c>
      <c r="H1322" s="7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66" t="s">
        <v>1045</v>
      </c>
      <c r="B1323" s="66">
        <f t="shared" si="2695"/>
        <v>12</v>
      </c>
      <c r="C1323" s="66">
        <f t="shared" si="2698"/>
        <v>74</v>
      </c>
      <c r="E1323" s="66">
        <f t="shared" ref="E1323" si="2707">plan_id</f>
        <v>1952</v>
      </c>
      <c r="F1323" s="66">
        <f t="shared" ca="1" si="2530"/>
        <v>2009</v>
      </c>
      <c r="G1323" s="66">
        <f t="shared" ref="G1323" ca="1" si="2708">VLOOKUP(INDIRECT(CHAR(39)&amp;$A1323&amp;CHAR(39)&amp;"!r2c"&amp;$C1323,0),variables,2,0)</f>
        <v>10813</v>
      </c>
      <c r="H1323" s="71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66" t="s">
        <v>1045</v>
      </c>
      <c r="B1324" s="66">
        <f t="shared" si="2695"/>
        <v>12</v>
      </c>
      <c r="C1324" s="66">
        <f t="shared" si="2698"/>
        <v>75</v>
      </c>
      <c r="E1324" s="66">
        <f t="shared" ref="E1324" si="2709">plan_id</f>
        <v>1952</v>
      </c>
      <c r="F1324" s="66">
        <f t="shared" ca="1" si="2530"/>
        <v>2009</v>
      </c>
      <c r="G1324" s="66">
        <f t="shared" ref="G1324" ca="1" si="2710">VLOOKUP(INDIRECT(CHAR(39)&amp;$A1324&amp;CHAR(39)&amp;"!r2c"&amp;$C1324,0),variables,2,0)</f>
        <v>10814</v>
      </c>
      <c r="H1324" s="71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8400000</v>
      </c>
    </row>
    <row r="1325" spans="1:8" x14ac:dyDescent="0.2">
      <c r="A1325" s="66" t="s">
        <v>1045</v>
      </c>
      <c r="B1325" s="66">
        <f t="shared" si="2695"/>
        <v>12</v>
      </c>
      <c r="C1325" s="66">
        <f t="shared" si="2698"/>
        <v>76</v>
      </c>
      <c r="E1325" s="66">
        <f t="shared" ref="E1325" si="2711">plan_id</f>
        <v>1952</v>
      </c>
      <c r="F1325" s="66">
        <f t="shared" ca="1" si="2530"/>
        <v>2009</v>
      </c>
      <c r="G1325" s="66">
        <f t="shared" ref="G1325" ca="1" si="2712">VLOOKUP(INDIRECT(CHAR(39)&amp;$A1325&amp;CHAR(39)&amp;"!r2c"&amp;$C1325,0),variables,2,0)</f>
        <v>10815</v>
      </c>
      <c r="H1325" s="71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152800000</v>
      </c>
    </row>
    <row r="1326" spans="1:8" x14ac:dyDescent="0.2">
      <c r="A1326" s="66" t="s">
        <v>1045</v>
      </c>
      <c r="B1326" s="66">
        <f t="shared" si="2695"/>
        <v>12</v>
      </c>
      <c r="C1326" s="66">
        <f t="shared" si="2698"/>
        <v>77</v>
      </c>
      <c r="E1326" s="66">
        <f t="shared" ref="E1326" si="2713">plan_id</f>
        <v>1952</v>
      </c>
      <c r="F1326" s="66">
        <f t="shared" ca="1" si="2530"/>
        <v>2009</v>
      </c>
      <c r="G1326" s="66">
        <f t="shared" ref="G1326" ca="1" si="2714">VLOOKUP(INDIRECT(CHAR(39)&amp;$A1326&amp;CHAR(39)&amp;"!r2c"&amp;$C1326,0),variables,2,0)</f>
        <v>10816</v>
      </c>
      <c r="H1326" s="7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-216200000</v>
      </c>
    </row>
    <row r="1327" spans="1:8" x14ac:dyDescent="0.2">
      <c r="A1327" s="66" t="s">
        <v>1045</v>
      </c>
      <c r="B1327" s="66">
        <f t="shared" si="2695"/>
        <v>12</v>
      </c>
      <c r="C1327" s="66">
        <f t="shared" si="2698"/>
        <v>78</v>
      </c>
      <c r="E1327" s="66">
        <f t="shared" ref="E1327" si="2715">plan_id</f>
        <v>1952</v>
      </c>
      <c r="F1327" s="66">
        <f t="shared" ca="1" si="2530"/>
        <v>2009</v>
      </c>
      <c r="G1327" s="66">
        <f t="shared" ref="G1327" ca="1" si="2716">VLOOKUP(INDIRECT(CHAR(39)&amp;$A1327&amp;CHAR(39)&amp;"!r2c"&amp;$C1327,0),variables,2,0)</f>
        <v>10817</v>
      </c>
      <c r="H1327" s="7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66" t="s">
        <v>1045</v>
      </c>
      <c r="B1328" s="66">
        <f t="shared" si="2695"/>
        <v>12</v>
      </c>
      <c r="C1328" s="66">
        <f t="shared" si="2698"/>
        <v>79</v>
      </c>
      <c r="E1328" s="66">
        <f t="shared" ref="E1328" si="2717">plan_id</f>
        <v>1952</v>
      </c>
      <c r="F1328" s="66">
        <f t="shared" ca="1" si="2530"/>
        <v>2009</v>
      </c>
      <c r="G1328" s="66">
        <f t="shared" ref="G1328" ca="1" si="2718">VLOOKUP(INDIRECT(CHAR(39)&amp;$A1328&amp;CHAR(39)&amp;"!r2c"&amp;$C1328,0),variables,2,0)</f>
        <v>10818</v>
      </c>
      <c r="H1328" s="71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52000000</v>
      </c>
    </row>
    <row r="1329" spans="1:8" x14ac:dyDescent="0.2">
      <c r="A1329" s="66" t="s">
        <v>1045</v>
      </c>
      <c r="B1329" s="66">
        <f t="shared" si="2695"/>
        <v>12</v>
      </c>
      <c r="C1329" s="66">
        <f t="shared" si="2698"/>
        <v>80</v>
      </c>
      <c r="E1329" s="66">
        <f t="shared" ref="E1329" si="2719">plan_id</f>
        <v>1952</v>
      </c>
      <c r="F1329" s="66">
        <f t="shared" ca="1" si="2530"/>
        <v>2009</v>
      </c>
      <c r="G1329" s="66">
        <f t="shared" ref="G1329" ca="1" si="2720">VLOOKUP(INDIRECT(CHAR(39)&amp;$A1329&amp;CHAR(39)&amp;"!r2c"&amp;$C1329,0),variables,2,0)</f>
        <v>10819</v>
      </c>
      <c r="H1329" s="71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66" t="s">
        <v>1045</v>
      </c>
      <c r="B1330" s="66">
        <f t="shared" si="2695"/>
        <v>12</v>
      </c>
      <c r="C1330" s="66">
        <f t="shared" si="2698"/>
        <v>81</v>
      </c>
      <c r="E1330" s="66">
        <f t="shared" ref="E1330" si="2721">plan_id</f>
        <v>1952</v>
      </c>
      <c r="F1330" s="66">
        <f t="shared" ref="F1330:F1451" ca="1" si="2722">INDIRECT(CHAR(39)&amp;$A1330&amp;CHAR(39)&amp;"!r"&amp;$B1330&amp;"c2",0)</f>
        <v>2009</v>
      </c>
      <c r="G1330" s="66">
        <f t="shared" ref="G1330" ca="1" si="2723">VLOOKUP(INDIRECT(CHAR(39)&amp;$A1330&amp;CHAR(39)&amp;"!r2c"&amp;$C1330,0),variables,2,0)</f>
        <v>10820</v>
      </c>
      <c r="H1330" s="71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632500000</v>
      </c>
    </row>
    <row r="1331" spans="1:8" x14ac:dyDescent="0.2">
      <c r="A1331" s="66" t="s">
        <v>1045</v>
      </c>
      <c r="B1331" s="66">
        <f t="shared" si="2695"/>
        <v>12</v>
      </c>
      <c r="C1331" s="66">
        <f t="shared" si="2698"/>
        <v>82</v>
      </c>
      <c r="E1331" s="66">
        <f t="shared" ref="E1331" si="2724">plan_id</f>
        <v>1952</v>
      </c>
      <c r="F1331" s="66">
        <f t="shared" ca="1" si="2722"/>
        <v>2009</v>
      </c>
      <c r="G1331" s="66">
        <f t="shared" ref="G1331" ca="1" si="2725">VLOOKUP(INDIRECT(CHAR(39)&amp;$A1331&amp;CHAR(39)&amp;"!r2c"&amp;$C1331,0),variables,2,0)</f>
        <v>10821</v>
      </c>
      <c r="H1331" s="71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66" t="s">
        <v>1045</v>
      </c>
      <c r="B1332" s="66">
        <f t="shared" si="2695"/>
        <v>12</v>
      </c>
      <c r="C1332" s="66">
        <f t="shared" si="2698"/>
        <v>83</v>
      </c>
      <c r="E1332" s="66">
        <f t="shared" ref="E1332" si="2726">plan_id</f>
        <v>1952</v>
      </c>
      <c r="F1332" s="66">
        <f t="shared" ca="1" si="2722"/>
        <v>2009</v>
      </c>
      <c r="G1332" s="66">
        <f t="shared" ref="G1332" ca="1" si="2727">VLOOKUP(INDIRECT(CHAR(39)&amp;$A1332&amp;CHAR(39)&amp;"!r2c"&amp;$C1332,0),variables,2,0)</f>
        <v>10822</v>
      </c>
      <c r="H1332" s="71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66" t="s">
        <v>1045</v>
      </c>
      <c r="B1333" s="66">
        <f t="shared" si="2695"/>
        <v>12</v>
      </c>
      <c r="C1333" s="66">
        <f t="shared" si="2698"/>
        <v>84</v>
      </c>
      <c r="E1333" s="66">
        <f t="shared" ref="E1333" si="2728">plan_id</f>
        <v>1952</v>
      </c>
      <c r="F1333" s="66">
        <f t="shared" ca="1" si="2722"/>
        <v>2009</v>
      </c>
      <c r="G1333" s="66">
        <f t="shared" ref="G1333" ca="1" si="2729">VLOOKUP(INDIRECT(CHAR(39)&amp;$A1333&amp;CHAR(39)&amp;"!r2c"&amp;$C1333,0),variables,2,0)</f>
        <v>10829</v>
      </c>
      <c r="H1333" s="71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463400000</v>
      </c>
    </row>
    <row r="1334" spans="1:8" x14ac:dyDescent="0.2">
      <c r="A1334" s="66" t="s">
        <v>1045</v>
      </c>
      <c r="B1334" s="66">
        <f t="shared" si="2695"/>
        <v>12</v>
      </c>
      <c r="C1334" s="66">
        <f t="shared" si="2698"/>
        <v>85</v>
      </c>
      <c r="E1334" s="66">
        <f t="shared" ref="E1334" si="2730">plan_id</f>
        <v>1952</v>
      </c>
      <c r="F1334" s="66">
        <f t="shared" ca="1" si="2722"/>
        <v>2009</v>
      </c>
      <c r="G1334" s="66">
        <f t="shared" ref="G1334" ca="1" si="2731">VLOOKUP(INDIRECT(CHAR(39)&amp;$A1334&amp;CHAR(39)&amp;"!r2c"&amp;$C1334,0),variables,2,0)</f>
        <v>10823</v>
      </c>
      <c r="H1334" s="71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2465399999.9999986</v>
      </c>
    </row>
    <row r="1335" spans="1:8" x14ac:dyDescent="0.2">
      <c r="A1335" s="66" t="s">
        <v>1045</v>
      </c>
      <c r="B1335" s="66">
        <f t="shared" si="2695"/>
        <v>12</v>
      </c>
      <c r="C1335" s="66">
        <f t="shared" si="2698"/>
        <v>86</v>
      </c>
      <c r="E1335" s="66">
        <f t="shared" ref="E1335" si="2732">plan_id</f>
        <v>1952</v>
      </c>
      <c r="F1335" s="66">
        <f t="shared" ca="1" si="2722"/>
        <v>2009</v>
      </c>
      <c r="G1335" s="66">
        <f t="shared" ref="G1335" ca="1" si="2733">VLOOKUP(INDIRECT(CHAR(39)&amp;$A1335&amp;CHAR(39)&amp;"!r2c"&amp;$C1335,0),variables,2,0)</f>
        <v>10798</v>
      </c>
      <c r="H1335" s="71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66" t="s">
        <v>1045</v>
      </c>
      <c r="B1336" s="66">
        <f t="shared" si="2695"/>
        <v>12</v>
      </c>
      <c r="C1336" s="66">
        <f t="shared" si="2698"/>
        <v>87</v>
      </c>
      <c r="E1336" s="66">
        <f t="shared" ref="E1336" si="2734">plan_id</f>
        <v>1952</v>
      </c>
      <c r="F1336" s="66">
        <f t="shared" ca="1" si="2722"/>
        <v>2009</v>
      </c>
      <c r="G1336" s="66">
        <f t="shared" ref="G1336" ca="1" si="2735">VLOOKUP(INDIRECT(CHAR(39)&amp;$A1336&amp;CHAR(39)&amp;"!r2c"&amp;$C1336,0),variables,2,0)</f>
        <v>10799</v>
      </c>
      <c r="H1336" s="7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66" t="s">
        <v>1045</v>
      </c>
      <c r="B1337" s="66">
        <f t="shared" si="2695"/>
        <v>12</v>
      </c>
      <c r="C1337" s="66">
        <f t="shared" si="2698"/>
        <v>88</v>
      </c>
      <c r="E1337" s="66">
        <f t="shared" ref="E1337" si="2736">plan_id</f>
        <v>1952</v>
      </c>
      <c r="F1337" s="66">
        <f t="shared" ca="1" si="2722"/>
        <v>2009</v>
      </c>
      <c r="G1337" s="66">
        <f t="shared" ref="G1337" ca="1" si="2737">VLOOKUP(INDIRECT(CHAR(39)&amp;$A1337&amp;CHAR(39)&amp;"!r2c"&amp;$C1337,0),variables,2,0)</f>
        <v>10800</v>
      </c>
      <c r="H1337" s="7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66" t="s">
        <v>1045</v>
      </c>
      <c r="B1338" s="66">
        <f t="shared" si="2695"/>
        <v>12</v>
      </c>
      <c r="C1338" s="66">
        <f t="shared" si="2698"/>
        <v>89</v>
      </c>
      <c r="E1338" s="66">
        <f t="shared" ref="E1338" si="2738">plan_id</f>
        <v>1952</v>
      </c>
      <c r="F1338" s="66">
        <f t="shared" ca="1" si="2722"/>
        <v>2009</v>
      </c>
      <c r="G1338" s="66">
        <f t="shared" ref="G1338" ca="1" si="2739">VLOOKUP(INDIRECT(CHAR(39)&amp;$A1338&amp;CHAR(39)&amp;"!r2c"&amp;$C1338,0),variables,2,0)</f>
        <v>10824</v>
      </c>
      <c r="H1338" s="7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66" t="s">
        <v>1045</v>
      </c>
      <c r="B1339" s="66">
        <f t="shared" si="2695"/>
        <v>12</v>
      </c>
      <c r="C1339" s="66">
        <f t="shared" si="2698"/>
        <v>90</v>
      </c>
      <c r="E1339" s="66">
        <f t="shared" ref="E1339" si="2740">plan_id</f>
        <v>1952</v>
      </c>
      <c r="F1339" s="66">
        <f t="shared" ca="1" si="2722"/>
        <v>2009</v>
      </c>
      <c r="G1339" s="66">
        <f t="shared" ref="G1339" ca="1" si="2741">VLOOKUP(INDIRECT(CHAR(39)&amp;$A1339&amp;CHAR(39)&amp;"!r2c"&amp;$C1339,0),variables,2,0)</f>
        <v>10825</v>
      </c>
      <c r="H1339" s="7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-4227700000</v>
      </c>
    </row>
    <row r="1340" spans="1:8" x14ac:dyDescent="0.2">
      <c r="A1340" s="66" t="s">
        <v>1045</v>
      </c>
      <c r="B1340" s="66">
        <f t="shared" si="2695"/>
        <v>12</v>
      </c>
      <c r="C1340" s="66">
        <f t="shared" si="2698"/>
        <v>91</v>
      </c>
      <c r="E1340" s="66">
        <f t="shared" ref="E1340" si="2742">plan_id</f>
        <v>1952</v>
      </c>
      <c r="F1340" s="66">
        <f t="shared" ca="1" si="2722"/>
        <v>2009</v>
      </c>
      <c r="G1340" s="66">
        <f t="shared" ref="G1340" ca="1" si="2743">VLOOKUP(INDIRECT(CHAR(39)&amp;$A1340&amp;CHAR(39)&amp;"!r2c"&amp;$C1340,0),variables,2,0)</f>
        <v>10826</v>
      </c>
      <c r="H1340" s="71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66" t="s">
        <v>1045</v>
      </c>
      <c r="B1341" s="66">
        <f t="shared" si="2695"/>
        <v>12</v>
      </c>
      <c r="C1341" s="66">
        <f t="shared" si="2698"/>
        <v>92</v>
      </c>
      <c r="E1341" s="66">
        <f t="shared" ref="E1341" si="2744">plan_id</f>
        <v>1952</v>
      </c>
      <c r="F1341" s="66">
        <f t="shared" ca="1" si="2722"/>
        <v>2009</v>
      </c>
      <c r="G1341" s="66">
        <f t="shared" ref="G1341" ca="1" si="2745">VLOOKUP(INDIRECT(CHAR(39)&amp;$A1341&amp;CHAR(39)&amp;"!r2c"&amp;$C1341,0),variables,2,0)</f>
        <v>10828</v>
      </c>
      <c r="H1341" s="71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66" t="s">
        <v>1045</v>
      </c>
      <c r="B1342" s="66">
        <f t="shared" si="2695"/>
        <v>12</v>
      </c>
      <c r="C1342" s="66">
        <f t="shared" si="2698"/>
        <v>93</v>
      </c>
      <c r="E1342" s="66">
        <f t="shared" ref="E1342" si="2746">plan_id</f>
        <v>1952</v>
      </c>
      <c r="F1342" s="66">
        <f t="shared" ca="1" si="2722"/>
        <v>2009</v>
      </c>
      <c r="G1342" s="66">
        <f t="shared" ref="G1342" ca="1" si="2747">VLOOKUP(INDIRECT(CHAR(39)&amp;$A1342&amp;CHAR(39)&amp;"!r2c"&amp;$C1342,0),variables,2,0)</f>
        <v>10827</v>
      </c>
      <c r="H1342" s="71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66" t="s">
        <v>1045</v>
      </c>
      <c r="B1343" s="66">
        <f t="shared" ref="B1343:B1406" si="2748">B1278+1</f>
        <v>13</v>
      </c>
      <c r="C1343" s="66">
        <f t="shared" si="2698"/>
        <v>3</v>
      </c>
      <c r="E1343" s="66">
        <f t="shared" ref="E1343" si="2749">plan_id</f>
        <v>1952</v>
      </c>
      <c r="F1343" s="66">
        <f t="shared" ca="1" si="2722"/>
        <v>2010</v>
      </c>
      <c r="G1343" s="66">
        <f t="shared" ref="G1343" ca="1" si="2750">VLOOKUP(INDIRECT(CHAR(39)&amp;$A1343&amp;CHAR(39)&amp;"!r2c"&amp;$C1343,0),variables,2,0)</f>
        <v>10703</v>
      </c>
      <c r="H1343" s="71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N/A</v>
      </c>
    </row>
    <row r="1344" spans="1:8" x14ac:dyDescent="0.2">
      <c r="A1344" s="66" t="s">
        <v>1045</v>
      </c>
      <c r="B1344" s="66">
        <f t="shared" si="2748"/>
        <v>13</v>
      </c>
      <c r="C1344" s="66">
        <f t="shared" si="2698"/>
        <v>4</v>
      </c>
      <c r="E1344" s="66">
        <f t="shared" ref="E1344" si="2751">plan_id</f>
        <v>1952</v>
      </c>
      <c r="F1344" s="66">
        <f t="shared" ca="1" si="2722"/>
        <v>2010</v>
      </c>
      <c r="G1344" s="66">
        <f t="shared" ref="G1344" ca="1" si="2752">VLOOKUP(INDIRECT(CHAR(39)&amp;$A1344&amp;CHAR(39)&amp;"!r2c"&amp;$C1344,0),variables,2,0)</f>
        <v>10845</v>
      </c>
      <c r="H1344" s="71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,LLC</v>
      </c>
    </row>
    <row r="1345" spans="1:8" x14ac:dyDescent="0.2">
      <c r="A1345" s="66" t="s">
        <v>1045</v>
      </c>
      <c r="B1345" s="66">
        <f t="shared" si="2748"/>
        <v>13</v>
      </c>
      <c r="C1345" s="66">
        <f t="shared" si="2698"/>
        <v>5</v>
      </c>
      <c r="E1345" s="66">
        <f t="shared" ref="E1345" si="2753">plan_id</f>
        <v>1952</v>
      </c>
      <c r="F1345" s="66">
        <f t="shared" ca="1" si="2722"/>
        <v>2010</v>
      </c>
      <c r="G1345" s="66">
        <f t="shared" ref="G1345" ca="1" si="2754">VLOOKUP(INDIRECT(CHAR(39)&amp;$A1345&amp;CHAR(39)&amp;"!r2c"&amp;$C1345,0),variables,2,0)</f>
        <v>10924</v>
      </c>
      <c r="H1345" s="71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(i)8.64%; (ii)10.95%</v>
      </c>
    </row>
    <row r="1346" spans="1:8" x14ac:dyDescent="0.2">
      <c r="A1346" s="66" t="s">
        <v>1045</v>
      </c>
      <c r="B1346" s="66">
        <f t="shared" si="2748"/>
        <v>13</v>
      </c>
      <c r="C1346" s="66">
        <f t="shared" si="2698"/>
        <v>6</v>
      </c>
      <c r="E1346" s="66">
        <f t="shared" ref="E1346" si="2755">plan_id</f>
        <v>1952</v>
      </c>
      <c r="F1346" s="66">
        <f t="shared" ca="1" si="2722"/>
        <v>2010</v>
      </c>
      <c r="G1346" s="66">
        <f t="shared" ref="G1346" ca="1" si="2756">VLOOKUP(INDIRECT(CHAR(39)&amp;$A1346&amp;CHAR(39)&amp;"!r2c"&amp;$C1346,0),variables,2,0)</f>
        <v>10925</v>
      </c>
      <c r="H1346" s="71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(i)3.64%; (ii)5.95%</v>
      </c>
    </row>
    <row r="1347" spans="1:8" x14ac:dyDescent="0.2">
      <c r="A1347" s="66" t="s">
        <v>1045</v>
      </c>
      <c r="B1347" s="66">
        <f t="shared" si="2748"/>
        <v>13</v>
      </c>
      <c r="C1347" s="66">
        <f t="shared" si="2698"/>
        <v>7</v>
      </c>
      <c r="E1347" s="66">
        <f t="shared" ref="E1347" si="2757">plan_id</f>
        <v>1952</v>
      </c>
      <c r="F1347" s="66">
        <f t="shared" ca="1" si="2722"/>
        <v>2010</v>
      </c>
      <c r="G1347" s="66">
        <f t="shared" ref="G1347" ca="1" si="2758">VLOOKUP(INDIRECT(CHAR(39)&amp;$A1347&amp;CHAR(39)&amp;"!r2c"&amp;$C1347,0),variables,2,0)</f>
        <v>10926</v>
      </c>
      <c r="H1347" s="71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(i)5%; (ii)5%</v>
      </c>
    </row>
    <row r="1348" spans="1:8" x14ac:dyDescent="0.2">
      <c r="A1348" s="66" t="s">
        <v>1045</v>
      </c>
      <c r="B1348" s="66">
        <f t="shared" si="2748"/>
        <v>13</v>
      </c>
      <c r="C1348" s="66">
        <f t="shared" si="2698"/>
        <v>8</v>
      </c>
      <c r="E1348" s="66">
        <f t="shared" ref="E1348" si="2759">plan_id</f>
        <v>1952</v>
      </c>
      <c r="F1348" s="66">
        <f t="shared" ca="1" si="2722"/>
        <v>2010</v>
      </c>
      <c r="G1348" s="66">
        <f t="shared" ref="G1348" ca="1" si="2760">VLOOKUP(INDIRECT(CHAR(39)&amp;$A1348&amp;CHAR(39)&amp;"!r2c"&amp;$C1348,0),variables,2,0)</f>
        <v>10704</v>
      </c>
      <c r="H1348" s="71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2">
      <c r="A1349" s="66" t="s">
        <v>1045</v>
      </c>
      <c r="B1349" s="66">
        <f t="shared" si="2748"/>
        <v>13</v>
      </c>
      <c r="C1349" s="66">
        <f t="shared" si="2698"/>
        <v>9</v>
      </c>
      <c r="E1349" s="66">
        <f t="shared" ref="E1349" si="2761">plan_id</f>
        <v>1952</v>
      </c>
      <c r="F1349" s="66">
        <f t="shared" ca="1" si="2722"/>
        <v>2010</v>
      </c>
      <c r="G1349" s="66">
        <f t="shared" ref="G1349" ca="1" si="2762">VLOOKUP(INDIRECT(CHAR(39)&amp;$A1349&amp;CHAR(39)&amp;"!r2c"&amp;$C1349,0),variables,2,0)</f>
        <v>10928</v>
      </c>
      <c r="H1349" s="71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(i)9.65%; (ii)11.46%</v>
      </c>
    </row>
    <row r="1350" spans="1:8" x14ac:dyDescent="0.2">
      <c r="A1350" s="66" t="s">
        <v>1045</v>
      </c>
      <c r="B1350" s="66">
        <f t="shared" si="2748"/>
        <v>13</v>
      </c>
      <c r="C1350" s="66">
        <f t="shared" si="2698"/>
        <v>10</v>
      </c>
      <c r="E1350" s="66">
        <f t="shared" ref="E1350" si="2763">plan_id</f>
        <v>1952</v>
      </c>
      <c r="F1350" s="66">
        <f t="shared" ca="1" si="2722"/>
        <v>2010</v>
      </c>
      <c r="G1350" s="66">
        <f t="shared" ref="G1350" ca="1" si="2764">VLOOKUP(INDIRECT(CHAR(39)&amp;$A1350&amp;CHAR(39)&amp;"!r2c"&amp;$C1350,0),variables,2,0)</f>
        <v>10929</v>
      </c>
      <c r="H1350" s="71" t="str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(i)9.65%; (ii)11.46%</v>
      </c>
    </row>
    <row r="1351" spans="1:8" x14ac:dyDescent="0.2">
      <c r="A1351" s="66" t="s">
        <v>1045</v>
      </c>
      <c r="B1351" s="66">
        <f t="shared" si="2748"/>
        <v>13</v>
      </c>
      <c r="C1351" s="66">
        <f t="shared" si="2698"/>
        <v>11</v>
      </c>
      <c r="E1351" s="66">
        <f t="shared" ref="E1351" si="2765">plan_id</f>
        <v>1952</v>
      </c>
      <c r="F1351" s="66">
        <f t="shared" ca="1" si="2722"/>
        <v>2010</v>
      </c>
      <c r="G1351" s="66">
        <f t="shared" ref="G1351" ca="1" si="2766">VLOOKUP(INDIRECT(CHAR(39)&amp;$A1351&amp;CHAR(39)&amp;"!r2c"&amp;$C1351,0),variables,2,0)</f>
        <v>10930</v>
      </c>
      <c r="H1351" s="71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66" t="s">
        <v>1045</v>
      </c>
      <c r="B1352" s="66">
        <f t="shared" si="2748"/>
        <v>13</v>
      </c>
      <c r="C1352" s="66">
        <f t="shared" si="2698"/>
        <v>12</v>
      </c>
      <c r="E1352" s="66">
        <f t="shared" ref="E1352" si="2767">plan_id</f>
        <v>1952</v>
      </c>
      <c r="F1352" s="66">
        <f t="shared" ca="1" si="2722"/>
        <v>2010</v>
      </c>
      <c r="G1352" s="66">
        <f t="shared" ref="G1352" ca="1" si="2768">VLOOKUP(INDIRECT(CHAR(39)&amp;$A1352&amp;CHAR(39)&amp;"!r2c"&amp;$C1352,0),variables,2,0)</f>
        <v>10705</v>
      </c>
      <c r="H1352" s="7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543606000</v>
      </c>
    </row>
    <row r="1353" spans="1:8" x14ac:dyDescent="0.2">
      <c r="A1353" s="66" t="s">
        <v>1045</v>
      </c>
      <c r="B1353" s="66">
        <f t="shared" si="2748"/>
        <v>13</v>
      </c>
      <c r="C1353" s="66">
        <f t="shared" si="2698"/>
        <v>13</v>
      </c>
      <c r="E1353" s="66">
        <f t="shared" ref="E1353" si="2769">plan_id</f>
        <v>1952</v>
      </c>
      <c r="F1353" s="66">
        <f t="shared" ca="1" si="2722"/>
        <v>2010</v>
      </c>
      <c r="G1353" s="66">
        <f t="shared" ref="G1353" ca="1" si="2770">VLOOKUP(INDIRECT(CHAR(39)&amp;$A1353&amp;CHAR(39)&amp;"!r2c"&amp;$C1353,0),variables,2,0)</f>
        <v>10842</v>
      </c>
      <c r="H1353" s="71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66" t="s">
        <v>1045</v>
      </c>
      <c r="B1354" s="66">
        <f t="shared" si="2748"/>
        <v>13</v>
      </c>
      <c r="C1354" s="66">
        <f t="shared" si="2698"/>
        <v>14</v>
      </c>
      <c r="E1354" s="66">
        <f t="shared" ref="E1354" si="2771">plan_id</f>
        <v>1952</v>
      </c>
      <c r="F1354" s="66">
        <f t="shared" ca="1" si="2722"/>
        <v>2010</v>
      </c>
      <c r="G1354" s="66">
        <f t="shared" ref="G1354" ca="1" si="2772">VLOOKUP(INDIRECT(CHAR(39)&amp;$A1354&amp;CHAR(39)&amp;"!r2c"&amp;$C1354,0),variables,2,0)</f>
        <v>10843</v>
      </c>
      <c r="H1354" s="71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66" t="s">
        <v>1045</v>
      </c>
      <c r="B1355" s="66">
        <f t="shared" si="2748"/>
        <v>13</v>
      </c>
      <c r="C1355" s="66">
        <f t="shared" si="2698"/>
        <v>15</v>
      </c>
      <c r="E1355" s="66">
        <f t="shared" ref="E1355" si="2773">plan_id</f>
        <v>1952</v>
      </c>
      <c r="F1355" s="66">
        <f t="shared" ca="1" si="2722"/>
        <v>2010</v>
      </c>
      <c r="G1355" s="66">
        <f t="shared" ref="G1355" ca="1" si="2774">VLOOKUP(INDIRECT(CHAR(39)&amp;$A1355&amp;CHAR(39)&amp;"!r2c"&amp;$C1355,0),variables,2,0)</f>
        <v>10931</v>
      </c>
      <c r="H1355" s="7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66" t="s">
        <v>1045</v>
      </c>
      <c r="B1356" s="66">
        <f t="shared" si="2748"/>
        <v>13</v>
      </c>
      <c r="C1356" s="66">
        <f t="shared" si="2698"/>
        <v>16</v>
      </c>
      <c r="E1356" s="66">
        <f t="shared" ref="E1356" si="2775">plan_id</f>
        <v>1952</v>
      </c>
      <c r="F1356" s="66">
        <f t="shared" ca="1" si="2722"/>
        <v>2010</v>
      </c>
      <c r="G1356" s="66">
        <f t="shared" ref="G1356" ca="1" si="2776">VLOOKUP(INDIRECT(CHAR(39)&amp;$A1356&amp;CHAR(39)&amp;"!r2c"&amp;$C1356,0),variables,2,0)</f>
        <v>10932</v>
      </c>
      <c r="H1356" s="7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66" t="s">
        <v>1045</v>
      </c>
      <c r="B1357" s="66">
        <f t="shared" si="2748"/>
        <v>13</v>
      </c>
      <c r="C1357" s="66">
        <f t="shared" si="2698"/>
        <v>17</v>
      </c>
      <c r="E1357" s="66">
        <f t="shared" ref="E1357" si="2777">plan_id</f>
        <v>1952</v>
      </c>
      <c r="F1357" s="66">
        <f t="shared" ca="1" si="2722"/>
        <v>2010</v>
      </c>
      <c r="G1357" s="66">
        <f t="shared" ref="G1357" ca="1" si="2778">VLOOKUP(INDIRECT(CHAR(39)&amp;$A1357&amp;CHAR(39)&amp;"!r2c"&amp;$C1357,0),variables,2,0)</f>
        <v>10933</v>
      </c>
      <c r="H1357" s="71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(i)13.29%; (ii)17.41%</v>
      </c>
    </row>
    <row r="1358" spans="1:8" x14ac:dyDescent="0.2">
      <c r="A1358" s="66" t="s">
        <v>1045</v>
      </c>
      <c r="B1358" s="66">
        <f t="shared" si="2748"/>
        <v>13</v>
      </c>
      <c r="C1358" s="66">
        <f t="shared" si="2698"/>
        <v>18</v>
      </c>
      <c r="E1358" s="66">
        <f t="shared" ref="E1358" si="2779">plan_id</f>
        <v>1952</v>
      </c>
      <c r="F1358" s="66">
        <f t="shared" ca="1" si="2722"/>
        <v>2010</v>
      </c>
      <c r="G1358" s="66">
        <f t="shared" ref="G1358" ca="1" si="2780">VLOOKUP(INDIRECT(CHAR(39)&amp;$A1358&amp;CHAR(39)&amp;"!r2c"&amp;$C1358,0),variables,2,0)</f>
        <v>10934</v>
      </c>
      <c r="H1358" s="71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(i)5%; (ii)5%</v>
      </c>
    </row>
    <row r="1359" spans="1:8" x14ac:dyDescent="0.2">
      <c r="A1359" s="66" t="s">
        <v>1045</v>
      </c>
      <c r="B1359" s="66">
        <f t="shared" si="2748"/>
        <v>13</v>
      </c>
      <c r="C1359" s="66">
        <f t="shared" si="2698"/>
        <v>19</v>
      </c>
      <c r="E1359" s="66">
        <f t="shared" ref="E1359" si="2781">plan_id</f>
        <v>1952</v>
      </c>
      <c r="F1359" s="66">
        <f t="shared" ca="1" si="2722"/>
        <v>2010</v>
      </c>
      <c r="G1359" s="66">
        <f t="shared" ref="G1359" ca="1" si="2782">VLOOKUP(INDIRECT(CHAR(39)&amp;$A1359&amp;CHAR(39)&amp;"!r2c"&amp;$C1359,0),variables,2,0)</f>
        <v>10935</v>
      </c>
      <c r="H1359" s="71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</row>
    <row r="1360" spans="1:8" x14ac:dyDescent="0.2">
      <c r="A1360" s="66" t="s">
        <v>1045</v>
      </c>
      <c r="B1360" s="66">
        <f t="shared" si="2748"/>
        <v>13</v>
      </c>
      <c r="C1360" s="66">
        <f t="shared" si="2698"/>
        <v>20</v>
      </c>
      <c r="E1360" s="66">
        <f t="shared" ref="E1360" si="2783">plan_id</f>
        <v>1952</v>
      </c>
      <c r="F1360" s="66">
        <f t="shared" ca="1" si="2722"/>
        <v>2010</v>
      </c>
      <c r="G1360" s="66">
        <f t="shared" ref="G1360" ca="1" si="2784">VLOOKUP(INDIRECT(CHAR(39)&amp;$A1360&amp;CHAR(39)&amp;"!r2c"&amp;$C1360,0),variables,2,0)</f>
        <v>10937</v>
      </c>
      <c r="H1360" s="71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66" t="s">
        <v>1045</v>
      </c>
      <c r="B1361" s="66">
        <f t="shared" si="2748"/>
        <v>13</v>
      </c>
      <c r="C1361" s="66">
        <f t="shared" si="2698"/>
        <v>21</v>
      </c>
      <c r="E1361" s="66">
        <f t="shared" ref="E1361" si="2785">plan_id</f>
        <v>1952</v>
      </c>
      <c r="F1361" s="66">
        <f t="shared" ca="1" si="2722"/>
        <v>2010</v>
      </c>
      <c r="G1361" s="66">
        <f t="shared" ref="G1361" ca="1" si="2786">VLOOKUP(INDIRECT(CHAR(39)&amp;$A1361&amp;CHAR(39)&amp;"!r2c"&amp;$C1361,0),variables,2,0)</f>
        <v>10938</v>
      </c>
      <c r="H1361" s="7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66" t="s">
        <v>1045</v>
      </c>
      <c r="B1362" s="66">
        <f t="shared" si="2748"/>
        <v>13</v>
      </c>
      <c r="C1362" s="66">
        <f t="shared" si="2698"/>
        <v>22</v>
      </c>
      <c r="E1362" s="66">
        <f t="shared" ref="E1362" si="2787">plan_id</f>
        <v>1952</v>
      </c>
      <c r="F1362" s="66">
        <f t="shared" ca="1" si="2722"/>
        <v>2010</v>
      </c>
      <c r="G1362" s="66">
        <f t="shared" ref="G1362" ca="1" si="2788">VLOOKUP(INDIRECT(CHAR(39)&amp;$A1362&amp;CHAR(39)&amp;"!r2c"&amp;$C1362,0),variables,2,0)</f>
        <v>11007</v>
      </c>
      <c r="H1362" s="71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1.7% of AFC times years of service</v>
      </c>
    </row>
    <row r="1363" spans="1:8" x14ac:dyDescent="0.2">
      <c r="A1363" s="66" t="s">
        <v>1045</v>
      </c>
      <c r="B1363" s="66">
        <f t="shared" si="2748"/>
        <v>13</v>
      </c>
      <c r="C1363" s="66">
        <f t="shared" si="2698"/>
        <v>23</v>
      </c>
      <c r="E1363" s="66">
        <f t="shared" ref="E1363" si="2789">plan_id</f>
        <v>1952</v>
      </c>
      <c r="F1363" s="66">
        <f t="shared" ca="1" si="2722"/>
        <v>2010</v>
      </c>
      <c r="G1363" s="66">
        <f t="shared" ref="G1363" ca="1" si="2790">VLOOKUP(INDIRECT(CHAR(39)&amp;$A1363&amp;CHAR(39)&amp;"!r2c"&amp;$C1363,0),variables,2,0)</f>
        <v>10941</v>
      </c>
      <c r="H1363" s="71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PBI</v>
      </c>
    </row>
    <row r="1364" spans="1:8" x14ac:dyDescent="0.2">
      <c r="A1364" s="66" t="s">
        <v>1045</v>
      </c>
      <c r="B1364" s="66">
        <f t="shared" si="2748"/>
        <v>13</v>
      </c>
      <c r="C1364" s="66">
        <f t="shared" si="2698"/>
        <v>24</v>
      </c>
      <c r="E1364" s="66">
        <f t="shared" ref="E1364" si="2791">plan_id</f>
        <v>1952</v>
      </c>
      <c r="F1364" s="66">
        <f t="shared" ca="1" si="2722"/>
        <v>2010</v>
      </c>
      <c r="G1364" s="66">
        <f t="shared" ref="G1364" ca="1" si="2792">VLOOKUP(INDIRECT(CHAR(39)&amp;$A1364&amp;CHAR(39)&amp;"!r2c"&amp;$C1364,0),variables,2,0)</f>
        <v>10942</v>
      </c>
      <c r="H1364" s="71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66" t="s">
        <v>1045</v>
      </c>
      <c r="B1365" s="66">
        <f t="shared" si="2748"/>
        <v>13</v>
      </c>
      <c r="C1365" s="66">
        <f t="shared" si="2698"/>
        <v>25</v>
      </c>
      <c r="E1365" s="66">
        <f t="shared" ref="E1365" si="2793">plan_id</f>
        <v>1952</v>
      </c>
      <c r="F1365" s="66">
        <f t="shared" ca="1" si="2722"/>
        <v>2010</v>
      </c>
      <c r="G1365" s="66">
        <f t="shared" ref="G1365" ca="1" si="2794">VLOOKUP(INDIRECT(CHAR(39)&amp;$A1365&amp;CHAR(39)&amp;"!r2c"&amp;$C1365,0),variables,2,0)</f>
        <v>10701</v>
      </c>
      <c r="H1365" s="71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2">
      <c r="A1366" s="66" t="s">
        <v>1045</v>
      </c>
      <c r="B1366" s="66">
        <f t="shared" si="2748"/>
        <v>13</v>
      </c>
      <c r="C1366" s="66">
        <f t="shared" si="2698"/>
        <v>26</v>
      </c>
      <c r="E1366" s="66">
        <f t="shared" ref="E1366" si="2795">plan_id</f>
        <v>1952</v>
      </c>
      <c r="F1366" s="66">
        <f t="shared" ca="1" si="2722"/>
        <v>2010</v>
      </c>
      <c r="G1366" s="66">
        <f t="shared" ref="G1366" ca="1" si="2796">VLOOKUP(INDIRECT(CHAR(39)&amp;$A1366&amp;CHAR(39)&amp;"!r2c"&amp;$C1366,0),variables,2,0)</f>
        <v>10702</v>
      </c>
      <c r="H1366" s="71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66" t="s">
        <v>1045</v>
      </c>
      <c r="B1367" s="66">
        <f t="shared" si="2748"/>
        <v>13</v>
      </c>
      <c r="C1367" s="66">
        <f t="shared" si="2698"/>
        <v>27</v>
      </c>
      <c r="E1367" s="66">
        <f t="shared" ref="E1367" si="2797">plan_id</f>
        <v>1952</v>
      </c>
      <c r="F1367" s="66">
        <f t="shared" ca="1" si="2722"/>
        <v>2010</v>
      </c>
      <c r="G1367" s="66">
        <f t="shared" ref="G1367" ca="1" si="2798">VLOOKUP(INDIRECT(CHAR(39)&amp;$A1367&amp;CHAR(39)&amp;"!r2c"&amp;$C1367,0),variables,2,0)</f>
        <v>10943</v>
      </c>
      <c r="H1367" s="71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2.5000000000000001E-2</v>
      </c>
    </row>
    <row r="1368" spans="1:8" x14ac:dyDescent="0.2">
      <c r="A1368" s="66" t="s">
        <v>1045</v>
      </c>
      <c r="B1368" s="66">
        <f t="shared" si="2748"/>
        <v>13</v>
      </c>
      <c r="C1368" s="66">
        <f t="shared" si="2698"/>
        <v>28</v>
      </c>
      <c r="E1368" s="66">
        <f t="shared" ref="E1368" si="2799">plan_id</f>
        <v>1952</v>
      </c>
      <c r="F1368" s="66">
        <f t="shared" ca="1" si="2722"/>
        <v>2010</v>
      </c>
      <c r="G1368" s="66">
        <f t="shared" ref="G1368" ca="1" si="2800">VLOOKUP(INDIRECT(CHAR(39)&amp;$A1368&amp;CHAR(39)&amp;"!r2c"&amp;$C1368,0),variables,2,0)</f>
        <v>10944</v>
      </c>
      <c r="H1368" s="71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66" t="s">
        <v>1045</v>
      </c>
      <c r="B1369" s="66">
        <f t="shared" si="2748"/>
        <v>13</v>
      </c>
      <c r="C1369" s="66">
        <f t="shared" si="2698"/>
        <v>29</v>
      </c>
      <c r="E1369" s="66">
        <f t="shared" ref="E1369" si="2801">plan_id</f>
        <v>1952</v>
      </c>
      <c r="F1369" s="66">
        <f t="shared" ca="1" si="2722"/>
        <v>2010</v>
      </c>
      <c r="G1369" s="66">
        <f t="shared" ref="G1369" ca="1" si="2802">VLOOKUP(INDIRECT(CHAR(39)&amp;$A1369&amp;CHAR(39)&amp;"!r2c"&amp;$C1369,0),variables,2,0)</f>
        <v>10945</v>
      </c>
      <c r="H1369" s="71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66" t="s">
        <v>1045</v>
      </c>
      <c r="B1370" s="66">
        <f t="shared" si="2748"/>
        <v>13</v>
      </c>
      <c r="C1370" s="66">
        <f t="shared" si="2698"/>
        <v>30</v>
      </c>
      <c r="E1370" s="66">
        <f t="shared" ref="E1370" si="2803">plan_id</f>
        <v>1952</v>
      </c>
      <c r="F1370" s="66">
        <f t="shared" ca="1" si="2722"/>
        <v>2010</v>
      </c>
      <c r="G1370" s="66">
        <f t="shared" ref="G1370" ca="1" si="2804">VLOOKUP(INDIRECT(CHAR(39)&amp;$A1370&amp;CHAR(39)&amp;"!r2c"&amp;$C1370,0),variables,2,0)</f>
        <v>10947</v>
      </c>
      <c r="H1370" s="71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66" t="s">
        <v>1045</v>
      </c>
      <c r="B1371" s="66">
        <f t="shared" si="2748"/>
        <v>13</v>
      </c>
      <c r="C1371" s="66">
        <f t="shared" si="2698"/>
        <v>31</v>
      </c>
      <c r="E1371" s="66">
        <f t="shared" ref="E1371" si="2805">plan_id</f>
        <v>1952</v>
      </c>
      <c r="F1371" s="66">
        <f t="shared" ca="1" si="2722"/>
        <v>2010</v>
      </c>
      <c r="G1371" s="66">
        <f t="shared" ref="G1371" ca="1" si="2806">VLOOKUP(INDIRECT(CHAR(39)&amp;$A1371&amp;CHAR(39)&amp;"!r2c"&amp;$C1371,0),variables,2,0)</f>
        <v>10948</v>
      </c>
      <c r="H1371" s="71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2">
      <c r="A1372" s="66" t="s">
        <v>1045</v>
      </c>
      <c r="B1372" s="66">
        <f t="shared" si="2748"/>
        <v>13</v>
      </c>
      <c r="C1372" s="66">
        <f t="shared" si="2698"/>
        <v>32</v>
      </c>
      <c r="E1372" s="66">
        <f t="shared" ref="E1372" si="2807">plan_id</f>
        <v>1952</v>
      </c>
      <c r="F1372" s="66">
        <f t="shared" ca="1" si="2722"/>
        <v>2010</v>
      </c>
      <c r="G1372" s="66">
        <f t="shared" ref="G1372" ca="1" si="2808">VLOOKUP(INDIRECT(CHAR(39)&amp;$A1372&amp;CHAR(39)&amp;"!r2c"&amp;$C1372,0),variables,2,0)</f>
        <v>10949</v>
      </c>
      <c r="H1372" s="71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66" t="s">
        <v>1045</v>
      </c>
      <c r="B1373" s="66">
        <f t="shared" si="2748"/>
        <v>13</v>
      </c>
      <c r="C1373" s="66">
        <f t="shared" si="2698"/>
        <v>33</v>
      </c>
      <c r="E1373" s="66">
        <f t="shared" ref="E1373" si="2809">plan_id</f>
        <v>1952</v>
      </c>
      <c r="F1373" s="66">
        <f t="shared" ca="1" si="2722"/>
        <v>2010</v>
      </c>
      <c r="G1373" s="66">
        <f t="shared" ref="G1373" ca="1" si="2810">VLOOKUP(INDIRECT(CHAR(39)&amp;$A1373&amp;CHAR(39)&amp;"!r2c"&amp;$C1373,0),variables,2,0)</f>
        <v>10951</v>
      </c>
      <c r="H1373" s="71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2">
      <c r="A1374" s="66" t="s">
        <v>1045</v>
      </c>
      <c r="B1374" s="66">
        <f t="shared" si="2748"/>
        <v>13</v>
      </c>
      <c r="C1374" s="66">
        <f t="shared" si="2698"/>
        <v>34</v>
      </c>
      <c r="E1374" s="66">
        <f t="shared" ref="E1374" si="2811">plan_id</f>
        <v>1952</v>
      </c>
      <c r="F1374" s="66">
        <f t="shared" ca="1" si="2722"/>
        <v>2010</v>
      </c>
      <c r="G1374" s="66">
        <f t="shared" ref="G1374" ca="1" si="2812">VLOOKUP(INDIRECT(CHAR(39)&amp;$A1374&amp;CHAR(39)&amp;"!r2c"&amp;$C1374,0),variables,2,0)</f>
        <v>10950</v>
      </c>
      <c r="H1374" s="71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2">
      <c r="A1375" s="66" t="s">
        <v>1045</v>
      </c>
      <c r="B1375" s="66">
        <f t="shared" si="2748"/>
        <v>13</v>
      </c>
      <c r="C1375" s="66">
        <f t="shared" si="2698"/>
        <v>35</v>
      </c>
      <c r="E1375" s="66">
        <f t="shared" ref="E1375" si="2813">plan_id</f>
        <v>1952</v>
      </c>
      <c r="F1375" s="66">
        <f t="shared" ca="1" si="2722"/>
        <v>2010</v>
      </c>
      <c r="G1375" s="66">
        <f t="shared" ref="G1375" ca="1" si="2814">VLOOKUP(INDIRECT(CHAR(39)&amp;$A1375&amp;CHAR(39)&amp;"!r2c"&amp;$C1375,0),variables,2,0)</f>
        <v>10954</v>
      </c>
      <c r="H1375" s="71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2.5000000000000001E-2</v>
      </c>
    </row>
    <row r="1376" spans="1:8" x14ac:dyDescent="0.2">
      <c r="A1376" s="66" t="s">
        <v>1045</v>
      </c>
      <c r="B1376" s="66">
        <f t="shared" si="2748"/>
        <v>13</v>
      </c>
      <c r="C1376" s="66">
        <f t="shared" si="2698"/>
        <v>36</v>
      </c>
      <c r="E1376" s="66">
        <f t="shared" ref="E1376" si="2815">plan_id</f>
        <v>1952</v>
      </c>
      <c r="F1376" s="66">
        <f t="shared" ca="1" si="2722"/>
        <v>2010</v>
      </c>
      <c r="G1376" s="66">
        <f t="shared" ref="G1376" ca="1" si="2816">VLOOKUP(INDIRECT(CHAR(39)&amp;$A1376&amp;CHAR(39)&amp;"!r2c"&amp;$C1376,0),variables,2,0)</f>
        <v>10955</v>
      </c>
      <c r="H1376" s="71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2">
      <c r="A1377" s="66" t="s">
        <v>1045</v>
      </c>
      <c r="B1377" s="66">
        <f t="shared" si="2748"/>
        <v>13</v>
      </c>
      <c r="C1377" s="66">
        <f t="shared" si="2698"/>
        <v>37</v>
      </c>
      <c r="E1377" s="66">
        <f t="shared" ref="E1377" si="2817">plan_id</f>
        <v>1952</v>
      </c>
      <c r="F1377" s="66">
        <f t="shared" ca="1" si="2722"/>
        <v>2010</v>
      </c>
      <c r="G1377" s="66">
        <f t="shared" ref="G1377" ca="1" si="2818">VLOOKUP(INDIRECT(CHAR(39)&amp;$A1377&amp;CHAR(39)&amp;"!r2c"&amp;$C1377,0),variables,2,0)</f>
        <v>10956</v>
      </c>
      <c r="H1377" s="71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0.03</v>
      </c>
    </row>
    <row r="1378" spans="1:8" x14ac:dyDescent="0.2">
      <c r="A1378" s="66" t="s">
        <v>1045</v>
      </c>
      <c r="B1378" s="66">
        <f t="shared" si="2748"/>
        <v>13</v>
      </c>
      <c r="C1378" s="66">
        <f t="shared" si="2698"/>
        <v>38</v>
      </c>
      <c r="E1378" s="66">
        <f t="shared" ref="E1378" si="2819">plan_id</f>
        <v>1952</v>
      </c>
      <c r="F1378" s="66">
        <f t="shared" ca="1" si="2722"/>
        <v>2010</v>
      </c>
      <c r="G1378" s="66">
        <f t="shared" ref="G1378" ca="1" si="2820">VLOOKUP(INDIRECT(CHAR(39)&amp;$A1378&amp;CHAR(39)&amp;"!r2c"&amp;$C1378,0),variables,2,0)</f>
        <v>10959</v>
      </c>
      <c r="H1378" s="71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SE-3.75% to 5.6% &amp; Teach 3.75% to 6.20%</v>
      </c>
    </row>
    <row r="1379" spans="1:8" x14ac:dyDescent="0.2">
      <c r="A1379" s="66" t="s">
        <v>1045</v>
      </c>
      <c r="B1379" s="66">
        <f t="shared" si="2748"/>
        <v>13</v>
      </c>
      <c r="C1379" s="66">
        <f t="shared" si="2698"/>
        <v>39</v>
      </c>
      <c r="E1379" s="66">
        <f t="shared" ref="E1379" si="2821">plan_id</f>
        <v>1952</v>
      </c>
      <c r="F1379" s="66">
        <f t="shared" ca="1" si="2722"/>
        <v>2010</v>
      </c>
      <c r="G1379" s="66">
        <f t="shared" ref="G1379" ca="1" si="2822">VLOOKUP(INDIRECT(CHAR(39)&amp;$A1379&amp;CHAR(39)&amp;"!r2c"&amp;$C1379,0),variables,2,0)</f>
        <v>10962</v>
      </c>
      <c r="H1379" s="71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Pg.51 &amp; 56</v>
      </c>
    </row>
    <row r="1380" spans="1:8" x14ac:dyDescent="0.2">
      <c r="A1380" s="66" t="s">
        <v>1045</v>
      </c>
      <c r="B1380" s="66">
        <f t="shared" si="2748"/>
        <v>13</v>
      </c>
      <c r="C1380" s="66">
        <f t="shared" si="2698"/>
        <v>40</v>
      </c>
      <c r="E1380" s="66">
        <f t="shared" ref="E1380" si="2823">plan_id</f>
        <v>1952</v>
      </c>
      <c r="F1380" s="66">
        <f t="shared" ca="1" si="2722"/>
        <v>2010</v>
      </c>
      <c r="G1380" s="66">
        <f t="shared" ref="G1380" ca="1" si="2824">VLOOKUP(INDIRECT(CHAR(39)&amp;$A1380&amp;CHAR(39)&amp;"!r2c"&amp;$C1380,0),variables,2,0)</f>
        <v>10964</v>
      </c>
      <c r="H1380" s="71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Pg.49 &amp; 54</v>
      </c>
    </row>
    <row r="1381" spans="1:8" x14ac:dyDescent="0.2">
      <c r="A1381" s="66" t="s">
        <v>1045</v>
      </c>
      <c r="B1381" s="66">
        <f t="shared" si="2748"/>
        <v>13</v>
      </c>
      <c r="C1381" s="66">
        <f t="shared" si="2698"/>
        <v>41</v>
      </c>
      <c r="E1381" s="66">
        <f t="shared" ref="E1381" si="2825">plan_id</f>
        <v>1952</v>
      </c>
      <c r="F1381" s="66">
        <f t="shared" ca="1" si="2722"/>
        <v>2010</v>
      </c>
      <c r="G1381" s="66">
        <f t="shared" ref="G1381" ca="1" si="2826">VLOOKUP(INDIRECT(CHAR(39)&amp;$A1381&amp;CHAR(39)&amp;"!r2c"&amp;$C1381,0),variables,2,0)</f>
        <v>10967</v>
      </c>
      <c r="H1381" s="71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1994 Group Annuity Mortality Table</v>
      </c>
    </row>
    <row r="1382" spans="1:8" x14ac:dyDescent="0.2">
      <c r="A1382" s="66" t="s">
        <v>1045</v>
      </c>
      <c r="B1382" s="66">
        <f t="shared" si="2748"/>
        <v>13</v>
      </c>
      <c r="C1382" s="66">
        <f t="shared" si="2698"/>
        <v>42</v>
      </c>
      <c r="E1382" s="66">
        <f t="shared" ref="E1382" si="2827">plan_id</f>
        <v>1952</v>
      </c>
      <c r="F1382" s="66">
        <f t="shared" ca="1" si="2722"/>
        <v>2010</v>
      </c>
      <c r="G1382" s="66">
        <f t="shared" ref="G1382" ca="1" si="2828">VLOOKUP(INDIRECT(CHAR(39)&amp;$A1382&amp;CHAR(39)&amp;"!r2c"&amp;$C1382,0),variables,2,0)</f>
        <v>10968</v>
      </c>
      <c r="H1382" s="71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2">
      <c r="A1383" s="66" t="s">
        <v>1045</v>
      </c>
      <c r="B1383" s="66">
        <f t="shared" si="2748"/>
        <v>13</v>
      </c>
      <c r="C1383" s="66">
        <f t="shared" ref="C1383:C1446" si="2829">C1292</f>
        <v>43</v>
      </c>
      <c r="E1383" s="66">
        <f t="shared" ref="E1383" si="2830">plan_id</f>
        <v>1952</v>
      </c>
      <c r="F1383" s="66">
        <f t="shared" ca="1" si="2722"/>
        <v>2010</v>
      </c>
      <c r="G1383" s="66">
        <f t="shared" ref="G1383" ca="1" si="2831">VLOOKUP(INDIRECT(CHAR(39)&amp;$A1383&amp;CHAR(39)&amp;"!r2c"&amp;$C1383,0),variables,2,0)</f>
        <v>10969</v>
      </c>
      <c r="H1383" s="71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66" t="s">
        <v>1045</v>
      </c>
      <c r="B1384" s="66">
        <f t="shared" si="2748"/>
        <v>13</v>
      </c>
      <c r="C1384" s="66">
        <f t="shared" si="2829"/>
        <v>44</v>
      </c>
      <c r="E1384" s="66">
        <f t="shared" ref="E1384" si="2832">plan_id</f>
        <v>1952</v>
      </c>
      <c r="F1384" s="66">
        <f t="shared" ca="1" si="2722"/>
        <v>2010</v>
      </c>
      <c r="G1384" s="66">
        <f t="shared" ref="G1384" ca="1" si="2833">VLOOKUP(INDIRECT(CHAR(39)&amp;$A1384&amp;CHAR(39)&amp;"!r2c"&amp;$C1384,0),variables,2,0)</f>
        <v>10970</v>
      </c>
      <c r="H1384" s="71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State: Males &amp; Females: 1 Year; Teachers: Pre- 1 Year; Post- 3 Years</v>
      </c>
    </row>
    <row r="1385" spans="1:8" x14ac:dyDescent="0.2">
      <c r="A1385" s="66" t="s">
        <v>1045</v>
      </c>
      <c r="B1385" s="66">
        <f t="shared" si="2748"/>
        <v>13</v>
      </c>
      <c r="C1385" s="66">
        <f t="shared" si="2829"/>
        <v>45</v>
      </c>
      <c r="E1385" s="66">
        <f t="shared" ref="E1385" si="2834">plan_id</f>
        <v>1952</v>
      </c>
      <c r="F1385" s="66">
        <f t="shared" ca="1" si="2722"/>
        <v>2010</v>
      </c>
      <c r="G1385" s="66">
        <f t="shared" ref="G1385" ca="1" si="2835">VLOOKUP(INDIRECT(CHAR(39)&amp;$A1385&amp;CHAR(39)&amp;"!r2c"&amp;$C1385,0),variables,2,0)</f>
        <v>10971</v>
      </c>
      <c r="H1385" s="71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66" t="s">
        <v>1045</v>
      </c>
      <c r="B1386" s="66">
        <f t="shared" si="2748"/>
        <v>13</v>
      </c>
      <c r="C1386" s="66">
        <f t="shared" si="2829"/>
        <v>46</v>
      </c>
      <c r="E1386" s="66">
        <f t="shared" ref="E1386" si="2836">plan_id</f>
        <v>1952</v>
      </c>
      <c r="F1386" s="66">
        <f t="shared" ca="1" si="2722"/>
        <v>2010</v>
      </c>
      <c r="G1386" s="66">
        <f t="shared" ref="G1386" ca="1" si="2837">VLOOKUP(INDIRECT(CHAR(39)&amp;$A1386&amp;CHAR(39)&amp;"!r2c"&amp;$C1386,0),variables,2,0)</f>
        <v>10972</v>
      </c>
      <c r="H1386" s="71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 open</v>
      </c>
    </row>
    <row r="1387" spans="1:8" x14ac:dyDescent="0.2">
      <c r="A1387" s="66" t="s">
        <v>1045</v>
      </c>
      <c r="B1387" s="66">
        <f t="shared" si="2748"/>
        <v>13</v>
      </c>
      <c r="C1387" s="66">
        <f t="shared" si="2829"/>
        <v>47</v>
      </c>
      <c r="E1387" s="66">
        <f t="shared" ref="E1387" si="2838">plan_id</f>
        <v>1952</v>
      </c>
      <c r="F1387" s="66">
        <f t="shared" ca="1" si="2722"/>
        <v>2010</v>
      </c>
      <c r="G1387" s="66">
        <f t="shared" ref="G1387" ca="1" si="2839">VLOOKUP(INDIRECT(CHAR(39)&amp;$A1387&amp;CHAR(39)&amp;"!r2c"&amp;$C1387,0),variables,2,0)</f>
        <v>10973</v>
      </c>
      <c r="H1387" s="71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20 years</v>
      </c>
    </row>
    <row r="1388" spans="1:8" x14ac:dyDescent="0.2">
      <c r="A1388" s="66" t="s">
        <v>1045</v>
      </c>
      <c r="B1388" s="66">
        <f t="shared" si="2748"/>
        <v>13</v>
      </c>
      <c r="C1388" s="66">
        <f t="shared" si="2829"/>
        <v>48</v>
      </c>
      <c r="E1388" s="66">
        <f t="shared" ref="E1388" si="2840">plan_id</f>
        <v>1952</v>
      </c>
      <c r="F1388" s="66">
        <f t="shared" ca="1" si="2722"/>
        <v>2010</v>
      </c>
      <c r="G1388" s="66">
        <f t="shared" ref="G1388" ca="1" si="2841">VLOOKUP(INDIRECT(CHAR(39)&amp;$A1388&amp;CHAR(39)&amp;"!r2c"&amp;$C1388,0),variables,2,0)</f>
        <v>10975</v>
      </c>
      <c r="H1388" s="71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2">
      <c r="A1389" s="66" t="s">
        <v>1045</v>
      </c>
      <c r="B1389" s="66">
        <f t="shared" si="2748"/>
        <v>13</v>
      </c>
      <c r="C1389" s="66">
        <f t="shared" si="2829"/>
        <v>49</v>
      </c>
      <c r="E1389" s="66">
        <f t="shared" ref="E1389" si="2842">plan_id</f>
        <v>1952</v>
      </c>
      <c r="F1389" s="66">
        <f t="shared" ca="1" si="2722"/>
        <v>2010</v>
      </c>
      <c r="G1389" s="66">
        <f t="shared" ref="G1389" ca="1" si="2843">VLOOKUP(INDIRECT(CHAR(39)&amp;$A1389&amp;CHAR(39)&amp;"!r2c"&amp;$C1389,0),variables,2,0)</f>
        <v>10976</v>
      </c>
      <c r="H1389" s="71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2">
      <c r="A1390" s="66" t="s">
        <v>1045</v>
      </c>
      <c r="B1390" s="66">
        <f t="shared" si="2748"/>
        <v>13</v>
      </c>
      <c r="C1390" s="66">
        <f t="shared" si="2829"/>
        <v>50</v>
      </c>
      <c r="E1390" s="66">
        <f t="shared" ref="E1390" si="2844">plan_id</f>
        <v>1952</v>
      </c>
      <c r="F1390" s="66">
        <f t="shared" ca="1" si="2722"/>
        <v>2010</v>
      </c>
      <c r="G1390" s="66">
        <f t="shared" ref="G1390" ca="1" si="2845">VLOOKUP(INDIRECT(CHAR(39)&amp;$A1390&amp;CHAR(39)&amp;"!r2c"&amp;$C1390,0),variables,2,0)</f>
        <v>10977</v>
      </c>
      <c r="H1390" s="71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66" t="s">
        <v>1045</v>
      </c>
      <c r="B1391" s="66">
        <f t="shared" si="2748"/>
        <v>13</v>
      </c>
      <c r="C1391" s="66">
        <f t="shared" si="2829"/>
        <v>51</v>
      </c>
      <c r="E1391" s="66">
        <f t="shared" ref="E1391" si="2846">plan_id</f>
        <v>1952</v>
      </c>
      <c r="F1391" s="66">
        <f t="shared" ca="1" si="2722"/>
        <v>2010</v>
      </c>
      <c r="G1391" s="66">
        <f t="shared" ref="G1391" ca="1" si="2847">VLOOKUP(INDIRECT(CHAR(39)&amp;$A1391&amp;CHAR(39)&amp;"!r2c"&amp;$C1391,0),variables,2,0)</f>
        <v>10978</v>
      </c>
      <c r="H1391" s="71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2">
      <c r="A1392" s="66" t="s">
        <v>1045</v>
      </c>
      <c r="B1392" s="66">
        <f t="shared" si="2748"/>
        <v>13</v>
      </c>
      <c r="C1392" s="66">
        <f t="shared" si="2829"/>
        <v>52</v>
      </c>
      <c r="E1392" s="66">
        <f t="shared" ref="E1392" si="2848">plan_id</f>
        <v>1952</v>
      </c>
      <c r="F1392" s="66">
        <f t="shared" ca="1" si="2722"/>
        <v>2010</v>
      </c>
      <c r="G1392" s="66">
        <f t="shared" ref="G1392" ca="1" si="2849">VLOOKUP(INDIRECT(CHAR(39)&amp;$A1392&amp;CHAR(39)&amp;"!r2c"&amp;$C1392,0),variables,2,0)</f>
        <v>10979</v>
      </c>
      <c r="H1392" s="71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2">
      <c r="A1393" s="66" t="s">
        <v>1045</v>
      </c>
      <c r="B1393" s="66">
        <f t="shared" si="2748"/>
        <v>13</v>
      </c>
      <c r="C1393" s="66">
        <f t="shared" si="2829"/>
        <v>53</v>
      </c>
      <c r="E1393" s="66">
        <f t="shared" ref="E1393" si="2850">plan_id</f>
        <v>1952</v>
      </c>
      <c r="F1393" s="66">
        <f t="shared" ca="1" si="2722"/>
        <v>2010</v>
      </c>
      <c r="G1393" s="66">
        <f t="shared" ref="G1393" ca="1" si="2851">VLOOKUP(INDIRECT(CHAR(39)&amp;$A1393&amp;CHAR(39)&amp;"!r2c"&amp;$C1393,0),variables,2,0)</f>
        <v>10980</v>
      </c>
      <c r="H1393" s="71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2">
      <c r="A1394" s="66" t="s">
        <v>1045</v>
      </c>
      <c r="B1394" s="66">
        <f t="shared" si="2748"/>
        <v>13</v>
      </c>
      <c r="C1394" s="66">
        <f t="shared" si="2829"/>
        <v>54</v>
      </c>
      <c r="E1394" s="66">
        <f t="shared" ref="E1394" si="2852">plan_id</f>
        <v>1952</v>
      </c>
      <c r="F1394" s="66">
        <f t="shared" ca="1" si="2722"/>
        <v>2010</v>
      </c>
      <c r="G1394" s="66">
        <f t="shared" ref="G1394" ca="1" si="2853">VLOOKUP(INDIRECT(CHAR(39)&amp;$A1394&amp;CHAR(39)&amp;"!r2c"&amp;$C1394,0),variables,2,0)</f>
        <v>10981</v>
      </c>
      <c r="H1394" s="71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2">
      <c r="A1395" s="66" t="s">
        <v>1045</v>
      </c>
      <c r="B1395" s="66">
        <f t="shared" si="2748"/>
        <v>13</v>
      </c>
      <c r="C1395" s="66">
        <f t="shared" si="2829"/>
        <v>55</v>
      </c>
      <c r="E1395" s="66">
        <f t="shared" ref="E1395" si="2854">plan_id</f>
        <v>1952</v>
      </c>
      <c r="F1395" s="66">
        <f t="shared" ca="1" si="2722"/>
        <v>2010</v>
      </c>
      <c r="G1395" s="66">
        <f t="shared" ref="G1395" ca="1" si="2855">VLOOKUP(INDIRECT(CHAR(39)&amp;$A1395&amp;CHAR(39)&amp;"!r2c"&amp;$C1395,0),variables,2,0)</f>
        <v>10706</v>
      </c>
      <c r="H1395" s="71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8.0877673337617076E-4</v>
      </c>
    </row>
    <row r="1396" spans="1:8" x14ac:dyDescent="0.2">
      <c r="A1396" s="66" t="s">
        <v>1045</v>
      </c>
      <c r="B1396" s="66">
        <f t="shared" si="2748"/>
        <v>13</v>
      </c>
      <c r="C1396" s="66">
        <f t="shared" si="2829"/>
        <v>56</v>
      </c>
      <c r="E1396" s="66">
        <f t="shared" ref="E1396" si="2856">plan_id</f>
        <v>1952</v>
      </c>
      <c r="F1396" s="66">
        <f t="shared" ca="1" si="2722"/>
        <v>2010</v>
      </c>
      <c r="G1396" s="66">
        <f t="shared" ref="G1396" ca="1" si="2857">VLOOKUP(INDIRECT(CHAR(39)&amp;$A1396&amp;CHAR(39)&amp;"!r2c"&amp;$C1396,0),variables,2,0)</f>
        <v>10983</v>
      </c>
      <c r="H1396" s="71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66" t="s">
        <v>1045</v>
      </c>
      <c r="B1397" s="66">
        <f t="shared" si="2748"/>
        <v>13</v>
      </c>
      <c r="C1397" s="66">
        <f t="shared" si="2829"/>
        <v>57</v>
      </c>
      <c r="E1397" s="66">
        <f t="shared" ref="E1397" si="2858">plan_id</f>
        <v>1952</v>
      </c>
      <c r="F1397" s="66">
        <f t="shared" ca="1" si="2722"/>
        <v>2010</v>
      </c>
      <c r="G1397" s="66">
        <f t="shared" ref="G1397" ca="1" si="2859">VLOOKUP(INDIRECT(CHAR(39)&amp;$A1397&amp;CHAR(39)&amp;"!r2c"&amp;$C1397,0),variables,2,0)</f>
        <v>10989</v>
      </c>
      <c r="H1397" s="7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40148531000</v>
      </c>
    </row>
    <row r="1398" spans="1:8" x14ac:dyDescent="0.2">
      <c r="A1398" s="66" t="s">
        <v>1045</v>
      </c>
      <c r="B1398" s="66">
        <f t="shared" si="2748"/>
        <v>13</v>
      </c>
      <c r="C1398" s="66">
        <f t="shared" si="2829"/>
        <v>58</v>
      </c>
      <c r="E1398" s="66">
        <f t="shared" ref="E1398" si="2860">plan_id</f>
        <v>1952</v>
      </c>
      <c r="F1398" s="66">
        <f t="shared" ca="1" si="2722"/>
        <v>2010</v>
      </c>
      <c r="G1398" s="66">
        <f t="shared" ref="G1398" ca="1" si="2861">VLOOKUP(INDIRECT(CHAR(39)&amp;$A1398&amp;CHAR(39)&amp;"!r2c"&amp;$C1398,0),variables,2,0)</f>
        <v>10990</v>
      </c>
      <c r="H1398" s="7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56628029000</v>
      </c>
    </row>
    <row r="1399" spans="1:8" x14ac:dyDescent="0.2">
      <c r="A1399" s="66" t="s">
        <v>1045</v>
      </c>
      <c r="B1399" s="66">
        <f t="shared" si="2748"/>
        <v>13</v>
      </c>
      <c r="C1399" s="66">
        <f t="shared" si="2829"/>
        <v>59</v>
      </c>
      <c r="E1399" s="66">
        <f t="shared" ref="E1399" si="2862">plan_id</f>
        <v>1952</v>
      </c>
      <c r="F1399" s="66">
        <f t="shared" ca="1" si="2722"/>
        <v>2010</v>
      </c>
      <c r="G1399" s="66">
        <f t="shared" ref="G1399" ca="1" si="2863">VLOOKUP(INDIRECT(CHAR(39)&amp;$A1399&amp;CHAR(39)&amp;"!r2c"&amp;$C1399,0),variables,2,0)</f>
        <v>10991</v>
      </c>
      <c r="H1399" s="7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16479498000</v>
      </c>
    </row>
    <row r="1400" spans="1:8" x14ac:dyDescent="0.2">
      <c r="A1400" s="66" t="s">
        <v>1045</v>
      </c>
      <c r="B1400" s="66">
        <f t="shared" si="2748"/>
        <v>13</v>
      </c>
      <c r="C1400" s="66">
        <f t="shared" si="2829"/>
        <v>60</v>
      </c>
      <c r="E1400" s="66">
        <f t="shared" ref="E1400" si="2864">plan_id</f>
        <v>1952</v>
      </c>
      <c r="F1400" s="66">
        <f t="shared" ca="1" si="2722"/>
        <v>2010</v>
      </c>
      <c r="G1400" s="66">
        <f t="shared" ref="G1400" ca="1" si="2865">VLOOKUP(INDIRECT(CHAR(39)&amp;$A1400&amp;CHAR(39)&amp;"!r2c"&amp;$C1400,0),variables,2,0)</f>
        <v>10992</v>
      </c>
      <c r="H1400" s="71" t="str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State Employees: 75.2%; Teachers: 68.6%</v>
      </c>
    </row>
    <row r="1401" spans="1:8" x14ac:dyDescent="0.2">
      <c r="A1401" s="66" t="s">
        <v>1045</v>
      </c>
      <c r="B1401" s="66">
        <f t="shared" si="2748"/>
        <v>13</v>
      </c>
      <c r="C1401" s="66">
        <f t="shared" si="2829"/>
        <v>61</v>
      </c>
      <c r="E1401" s="66">
        <f t="shared" ref="E1401" si="2866">plan_id</f>
        <v>1952</v>
      </c>
      <c r="F1401" s="66">
        <f t="shared" ca="1" si="2722"/>
        <v>2010</v>
      </c>
      <c r="G1401" s="66">
        <f t="shared" ref="G1401" ca="1" si="2867">VLOOKUP(INDIRECT(CHAR(39)&amp;$A1401&amp;CHAR(39)&amp;"!r2c"&amp;$C1401,0),variables,2,0)</f>
        <v>10993</v>
      </c>
      <c r="H1401" s="71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10634285000</v>
      </c>
    </row>
    <row r="1402" spans="1:8" x14ac:dyDescent="0.2">
      <c r="A1402" s="66" t="s">
        <v>1045</v>
      </c>
      <c r="B1402" s="66">
        <f t="shared" si="2748"/>
        <v>13</v>
      </c>
      <c r="C1402" s="66">
        <f t="shared" si="2829"/>
        <v>62</v>
      </c>
      <c r="E1402" s="66">
        <f t="shared" ref="E1402" si="2868">plan_id</f>
        <v>1952</v>
      </c>
      <c r="F1402" s="66">
        <f t="shared" ca="1" si="2722"/>
        <v>2010</v>
      </c>
      <c r="G1402" s="66">
        <f t="shared" ref="G1402" ca="1" si="2869">VLOOKUP(INDIRECT(CHAR(39)&amp;$A1402&amp;CHAR(39)&amp;"!r2c"&amp;$C1402,0),variables,2,0)</f>
        <v>10801</v>
      </c>
      <c r="H1402" s="71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2442400000</v>
      </c>
    </row>
    <row r="1403" spans="1:8" x14ac:dyDescent="0.2">
      <c r="A1403" s="66" t="s">
        <v>1045</v>
      </c>
      <c r="B1403" s="66">
        <f t="shared" si="2748"/>
        <v>13</v>
      </c>
      <c r="C1403" s="66">
        <f t="shared" si="2829"/>
        <v>63</v>
      </c>
      <c r="E1403" s="66">
        <f t="shared" ref="E1403" si="2870">plan_id</f>
        <v>1952</v>
      </c>
      <c r="F1403" s="66">
        <f t="shared" ca="1" si="2722"/>
        <v>2010</v>
      </c>
      <c r="G1403" s="66">
        <f t="shared" ref="G1403" ca="1" si="2871">VLOOKUP(INDIRECT(CHAR(39)&amp;$A1403&amp;CHAR(39)&amp;"!r2c"&amp;$C1403,0),variables,2,0)</f>
        <v>10802</v>
      </c>
      <c r="H1403" s="7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15200000.000000004</v>
      </c>
    </row>
    <row r="1404" spans="1:8" x14ac:dyDescent="0.2">
      <c r="A1404" s="66" t="s">
        <v>1045</v>
      </c>
      <c r="B1404" s="66">
        <f t="shared" si="2748"/>
        <v>13</v>
      </c>
      <c r="C1404" s="66">
        <f t="shared" si="2829"/>
        <v>64</v>
      </c>
      <c r="E1404" s="66">
        <f t="shared" ref="E1404" si="2872">plan_id</f>
        <v>1952</v>
      </c>
      <c r="F1404" s="66">
        <f t="shared" ca="1" si="2722"/>
        <v>2010</v>
      </c>
      <c r="G1404" s="66">
        <f t="shared" ref="G1404" ca="1" si="2873">VLOOKUP(INDIRECT(CHAR(39)&amp;$A1404&amp;CHAR(39)&amp;"!r2c"&amp;$C1404,0),variables,2,0)</f>
        <v>10803</v>
      </c>
      <c r="H1404" s="71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66" t="s">
        <v>1045</v>
      </c>
      <c r="B1405" s="66">
        <f t="shared" si="2748"/>
        <v>13</v>
      </c>
      <c r="C1405" s="66">
        <f t="shared" si="2829"/>
        <v>65</v>
      </c>
      <c r="E1405" s="66">
        <f t="shared" ref="E1405" si="2874">plan_id</f>
        <v>1952</v>
      </c>
      <c r="F1405" s="66">
        <f t="shared" ca="1" si="2722"/>
        <v>2010</v>
      </c>
      <c r="G1405" s="66">
        <f t="shared" ref="G1405" ca="1" si="2875">VLOOKUP(INDIRECT(CHAR(39)&amp;$A1405&amp;CHAR(39)&amp;"!r2c"&amp;$C1405,0),variables,2,0)</f>
        <v>10804</v>
      </c>
      <c r="H1405" s="7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66" t="s">
        <v>1045</v>
      </c>
      <c r="B1406" s="66">
        <f t="shared" si="2748"/>
        <v>13</v>
      </c>
      <c r="C1406" s="66">
        <f t="shared" si="2829"/>
        <v>66</v>
      </c>
      <c r="E1406" s="66">
        <f t="shared" ref="E1406" si="2876">plan_id</f>
        <v>1952</v>
      </c>
      <c r="F1406" s="66">
        <f t="shared" ca="1" si="2722"/>
        <v>2010</v>
      </c>
      <c r="G1406" s="66">
        <f t="shared" ref="G1406" ca="1" si="2877">VLOOKUP(INDIRECT(CHAR(39)&amp;$A1406&amp;CHAR(39)&amp;"!r2c"&amp;$C1406,0),variables,2,0)</f>
        <v>10805</v>
      </c>
      <c r="H1406" s="7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66" t="s">
        <v>1045</v>
      </c>
      <c r="B1407" s="66">
        <f t="shared" ref="B1407" si="2878">B1342+1</f>
        <v>13</v>
      </c>
      <c r="C1407" s="66">
        <f t="shared" si="2829"/>
        <v>67</v>
      </c>
      <c r="E1407" s="66">
        <f t="shared" ref="E1407" si="2879">plan_id</f>
        <v>1952</v>
      </c>
      <c r="F1407" s="66">
        <f t="shared" ca="1" si="2722"/>
        <v>2010</v>
      </c>
      <c r="G1407" s="66">
        <f t="shared" ref="G1407" ca="1" si="2880">VLOOKUP(INDIRECT(CHAR(39)&amp;$A1407&amp;CHAR(39)&amp;"!r2c"&amp;$C1407,0),variables,2,0)</f>
        <v>10806</v>
      </c>
      <c r="H1407" s="7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699999.9999999993</v>
      </c>
    </row>
    <row r="1408" spans="1:8" x14ac:dyDescent="0.2">
      <c r="A1408" s="66" t="s">
        <v>1045</v>
      </c>
      <c r="B1408" s="66">
        <f>B1407</f>
        <v>13</v>
      </c>
      <c r="C1408" s="66">
        <f t="shared" si="2829"/>
        <v>68</v>
      </c>
      <c r="E1408" s="66">
        <f t="shared" ref="E1408" si="2881">plan_id</f>
        <v>1952</v>
      </c>
      <c r="F1408" s="66">
        <f t="shared" ca="1" si="2722"/>
        <v>2010</v>
      </c>
      <c r="G1408" s="66">
        <f t="shared" ref="G1408" ca="1" si="2882">VLOOKUP(INDIRECT(CHAR(39)&amp;$A1408&amp;CHAR(39)&amp;"!r2c"&amp;$C1408,0),variables,2,0)</f>
        <v>10807</v>
      </c>
      <c r="H1408" s="7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66" t="s">
        <v>1045</v>
      </c>
      <c r="B1409" s="66">
        <f t="shared" ref="B1409:B1433" si="2883">B1408</f>
        <v>13</v>
      </c>
      <c r="C1409" s="66">
        <f t="shared" si="2829"/>
        <v>69</v>
      </c>
      <c r="E1409" s="66">
        <f t="shared" ref="E1409" si="2884">plan_id</f>
        <v>1952</v>
      </c>
      <c r="F1409" s="66">
        <f t="shared" ca="1" si="2722"/>
        <v>2010</v>
      </c>
      <c r="G1409" s="66">
        <f t="shared" ref="G1409" ca="1" si="2885">VLOOKUP(INDIRECT(CHAR(39)&amp;$A1409&amp;CHAR(39)&amp;"!r2c"&amp;$C1409,0),variables,2,0)</f>
        <v>10808</v>
      </c>
      <c r="H1409" s="7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66" t="s">
        <v>1045</v>
      </c>
      <c r="B1410" s="66">
        <f t="shared" si="2883"/>
        <v>13</v>
      </c>
      <c r="C1410" s="66">
        <f t="shared" si="2829"/>
        <v>70</v>
      </c>
      <c r="E1410" s="66">
        <f t="shared" ref="E1410" si="2886">plan_id</f>
        <v>1952</v>
      </c>
      <c r="F1410" s="66">
        <f t="shared" ca="1" si="2722"/>
        <v>2010</v>
      </c>
      <c r="G1410" s="66">
        <f t="shared" ref="G1410" ca="1" si="2887">VLOOKUP(INDIRECT(CHAR(39)&amp;$A1410&amp;CHAR(39)&amp;"!r2c"&amp;$C1410,0),variables,2,0)</f>
        <v>10809</v>
      </c>
      <c r="H1410" s="7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66" t="s">
        <v>1045</v>
      </c>
      <c r="B1411" s="66">
        <f t="shared" si="2883"/>
        <v>13</v>
      </c>
      <c r="C1411" s="66">
        <f t="shared" si="2829"/>
        <v>71</v>
      </c>
      <c r="E1411" s="66">
        <f t="shared" ref="E1411" si="2888">plan_id</f>
        <v>1952</v>
      </c>
      <c r="F1411" s="66">
        <f t="shared" ca="1" si="2722"/>
        <v>2010</v>
      </c>
      <c r="G1411" s="66">
        <f t="shared" ref="G1411" ca="1" si="2889">VLOOKUP(INDIRECT(CHAR(39)&amp;$A1411&amp;CHAR(39)&amp;"!r2c"&amp;$C1411,0),variables,2,0)</f>
        <v>10810</v>
      </c>
      <c r="H1411" s="71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42400000.000000007</v>
      </c>
    </row>
    <row r="1412" spans="1:8" x14ac:dyDescent="0.2">
      <c r="A1412" s="66" t="s">
        <v>1045</v>
      </c>
      <c r="B1412" s="66">
        <f t="shared" si="2883"/>
        <v>13</v>
      </c>
      <c r="C1412" s="66">
        <f t="shared" si="2829"/>
        <v>72</v>
      </c>
      <c r="E1412" s="66">
        <f t="shared" ref="E1412" si="2890">plan_id</f>
        <v>1952</v>
      </c>
      <c r="F1412" s="66">
        <f t="shared" ca="1" si="2722"/>
        <v>2010</v>
      </c>
      <c r="G1412" s="66">
        <f t="shared" ref="G1412" ca="1" si="2891">VLOOKUP(INDIRECT(CHAR(39)&amp;$A1412&amp;CHAR(39)&amp;"!r2c"&amp;$C1412,0),variables,2,0)</f>
        <v>10811</v>
      </c>
      <c r="H1412" s="7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66" t="s">
        <v>1045</v>
      </c>
      <c r="B1413" s="66">
        <f t="shared" si="2883"/>
        <v>13</v>
      </c>
      <c r="C1413" s="66">
        <f t="shared" si="2829"/>
        <v>73</v>
      </c>
      <c r="E1413" s="66">
        <f t="shared" ref="E1413" si="2892">plan_id</f>
        <v>1952</v>
      </c>
      <c r="F1413" s="66">
        <f t="shared" ca="1" si="2722"/>
        <v>2010</v>
      </c>
      <c r="G1413" s="66">
        <f t="shared" ref="G1413" ca="1" si="2893">VLOOKUP(INDIRECT(CHAR(39)&amp;$A1413&amp;CHAR(39)&amp;"!r2c"&amp;$C1413,0),variables,2,0)</f>
        <v>10812</v>
      </c>
      <c r="H1413" s="7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66" t="s">
        <v>1045</v>
      </c>
      <c r="B1414" s="66">
        <f t="shared" si="2883"/>
        <v>13</v>
      </c>
      <c r="C1414" s="66">
        <f t="shared" si="2829"/>
        <v>74</v>
      </c>
      <c r="E1414" s="66">
        <f t="shared" ref="E1414" si="2894">plan_id</f>
        <v>1952</v>
      </c>
      <c r="F1414" s="66">
        <f t="shared" ca="1" si="2722"/>
        <v>2010</v>
      </c>
      <c r="G1414" s="66">
        <f t="shared" ref="G1414" ca="1" si="2895">VLOOKUP(INDIRECT(CHAR(39)&amp;$A1414&amp;CHAR(39)&amp;"!r2c"&amp;$C1414,0),variables,2,0)</f>
        <v>10813</v>
      </c>
      <c r="H1414" s="71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66" t="s">
        <v>1045</v>
      </c>
      <c r="B1415" s="66">
        <f t="shared" si="2883"/>
        <v>13</v>
      </c>
      <c r="C1415" s="66">
        <f t="shared" si="2829"/>
        <v>75</v>
      </c>
      <c r="E1415" s="66">
        <f t="shared" ref="E1415" si="2896">plan_id</f>
        <v>1952</v>
      </c>
      <c r="F1415" s="66">
        <f t="shared" ca="1" si="2722"/>
        <v>2010</v>
      </c>
      <c r="G1415" s="66">
        <f t="shared" ref="G1415" ca="1" si="2897">VLOOKUP(INDIRECT(CHAR(39)&amp;$A1415&amp;CHAR(39)&amp;"!r2c"&amp;$C1415,0),variables,2,0)</f>
        <v>10814</v>
      </c>
      <c r="H1415" s="71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7500000</v>
      </c>
    </row>
    <row r="1416" spans="1:8" x14ac:dyDescent="0.2">
      <c r="A1416" s="66" t="s">
        <v>1045</v>
      </c>
      <c r="B1416" s="66">
        <f t="shared" si="2883"/>
        <v>13</v>
      </c>
      <c r="C1416" s="66">
        <f t="shared" si="2829"/>
        <v>76</v>
      </c>
      <c r="E1416" s="66">
        <f t="shared" ref="E1416" si="2898">plan_id</f>
        <v>1952</v>
      </c>
      <c r="F1416" s="66">
        <f t="shared" ca="1" si="2722"/>
        <v>2010</v>
      </c>
      <c r="G1416" s="66">
        <f t="shared" ref="G1416" ca="1" si="2899">VLOOKUP(INDIRECT(CHAR(39)&amp;$A1416&amp;CHAR(39)&amp;"!r2c"&amp;$C1416,0),variables,2,0)</f>
        <v>10815</v>
      </c>
      <c r="H1416" s="71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232800000</v>
      </c>
    </row>
    <row r="1417" spans="1:8" x14ac:dyDescent="0.2">
      <c r="A1417" s="66" t="s">
        <v>1045</v>
      </c>
      <c r="B1417" s="66">
        <f t="shared" si="2883"/>
        <v>13</v>
      </c>
      <c r="C1417" s="66">
        <f t="shared" si="2829"/>
        <v>77</v>
      </c>
      <c r="E1417" s="66">
        <f t="shared" ref="E1417" si="2900">plan_id</f>
        <v>1952</v>
      </c>
      <c r="F1417" s="66">
        <f t="shared" ca="1" si="2722"/>
        <v>2010</v>
      </c>
      <c r="G1417" s="66">
        <f t="shared" ref="G1417" ca="1" si="2901">VLOOKUP(INDIRECT(CHAR(39)&amp;$A1417&amp;CHAR(39)&amp;"!r2c"&amp;$C1417,0),variables,2,0)</f>
        <v>10816</v>
      </c>
      <c r="H1417" s="7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-800300000</v>
      </c>
    </row>
    <row r="1418" spans="1:8" x14ac:dyDescent="0.2">
      <c r="A1418" s="66" t="s">
        <v>1045</v>
      </c>
      <c r="B1418" s="66">
        <f t="shared" si="2883"/>
        <v>13</v>
      </c>
      <c r="C1418" s="66">
        <f t="shared" si="2829"/>
        <v>78</v>
      </c>
      <c r="E1418" s="66">
        <f t="shared" ref="E1418" si="2902">plan_id</f>
        <v>1952</v>
      </c>
      <c r="F1418" s="66">
        <f t="shared" ca="1" si="2722"/>
        <v>2010</v>
      </c>
      <c r="G1418" s="66">
        <f t="shared" ref="G1418" ca="1" si="2903">VLOOKUP(INDIRECT(CHAR(39)&amp;$A1418&amp;CHAR(39)&amp;"!r2c"&amp;$C1418,0),variables,2,0)</f>
        <v>10817</v>
      </c>
      <c r="H1418" s="7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66" t="s">
        <v>1045</v>
      </c>
      <c r="B1419" s="66">
        <f t="shared" si="2883"/>
        <v>13</v>
      </c>
      <c r="C1419" s="66">
        <f t="shared" si="2829"/>
        <v>79</v>
      </c>
      <c r="E1419" s="66">
        <f t="shared" ref="E1419" si="2904">plan_id</f>
        <v>1952</v>
      </c>
      <c r="F1419" s="66">
        <f t="shared" ca="1" si="2722"/>
        <v>2010</v>
      </c>
      <c r="G1419" s="66">
        <f t="shared" ref="G1419" ca="1" si="2905">VLOOKUP(INDIRECT(CHAR(39)&amp;$A1419&amp;CHAR(39)&amp;"!r2c"&amp;$C1419,0),variables,2,0)</f>
        <v>10818</v>
      </c>
      <c r="H1419" s="71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38400000</v>
      </c>
    </row>
    <row r="1420" spans="1:8" x14ac:dyDescent="0.2">
      <c r="A1420" s="66" t="s">
        <v>1045</v>
      </c>
      <c r="B1420" s="66">
        <f t="shared" si="2883"/>
        <v>13</v>
      </c>
      <c r="C1420" s="66">
        <f t="shared" si="2829"/>
        <v>80</v>
      </c>
      <c r="E1420" s="66">
        <f t="shared" ref="E1420" si="2906">plan_id</f>
        <v>1952</v>
      </c>
      <c r="F1420" s="66">
        <f t="shared" ca="1" si="2722"/>
        <v>2010</v>
      </c>
      <c r="G1420" s="66">
        <f t="shared" ref="G1420" ca="1" si="2907">VLOOKUP(INDIRECT(CHAR(39)&amp;$A1420&amp;CHAR(39)&amp;"!r2c"&amp;$C1420,0),variables,2,0)</f>
        <v>10819</v>
      </c>
      <c r="H1420" s="71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66" t="s">
        <v>1045</v>
      </c>
      <c r="B1421" s="66">
        <f t="shared" si="2883"/>
        <v>13</v>
      </c>
      <c r="C1421" s="66">
        <f t="shared" si="2829"/>
        <v>81</v>
      </c>
      <c r="E1421" s="66">
        <f t="shared" ref="E1421" si="2908">plan_id</f>
        <v>1952</v>
      </c>
      <c r="F1421" s="66">
        <f t="shared" ca="1" si="2722"/>
        <v>2010</v>
      </c>
      <c r="G1421" s="66">
        <f t="shared" ref="G1421" ca="1" si="2909">VLOOKUP(INDIRECT(CHAR(39)&amp;$A1421&amp;CHAR(39)&amp;"!r2c"&amp;$C1421,0),variables,2,0)</f>
        <v>10820</v>
      </c>
      <c r="H1421" s="71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-470500000</v>
      </c>
    </row>
    <row r="1422" spans="1:8" x14ac:dyDescent="0.2">
      <c r="A1422" s="66" t="s">
        <v>1045</v>
      </c>
      <c r="B1422" s="66">
        <f t="shared" si="2883"/>
        <v>13</v>
      </c>
      <c r="C1422" s="66">
        <f t="shared" si="2829"/>
        <v>82</v>
      </c>
      <c r="E1422" s="66">
        <f t="shared" ref="E1422" si="2910">plan_id</f>
        <v>1952</v>
      </c>
      <c r="F1422" s="66">
        <f t="shared" ca="1" si="2722"/>
        <v>2010</v>
      </c>
      <c r="G1422" s="66">
        <f t="shared" ref="G1422" ca="1" si="2911">VLOOKUP(INDIRECT(CHAR(39)&amp;$A1422&amp;CHAR(39)&amp;"!r2c"&amp;$C1422,0),variables,2,0)</f>
        <v>10821</v>
      </c>
      <c r="H1422" s="71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66" t="s">
        <v>1045</v>
      </c>
      <c r="B1423" s="66">
        <f t="shared" si="2883"/>
        <v>13</v>
      </c>
      <c r="C1423" s="66">
        <f t="shared" si="2829"/>
        <v>83</v>
      </c>
      <c r="E1423" s="66">
        <f t="shared" ref="E1423" si="2912">plan_id</f>
        <v>1952</v>
      </c>
      <c r="F1423" s="66">
        <f t="shared" ca="1" si="2722"/>
        <v>2010</v>
      </c>
      <c r="G1423" s="66">
        <f t="shared" ref="G1423" ca="1" si="2913">VLOOKUP(INDIRECT(CHAR(39)&amp;$A1423&amp;CHAR(39)&amp;"!r2c"&amp;$C1423,0),variables,2,0)</f>
        <v>10822</v>
      </c>
      <c r="H1423" s="71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66" t="s">
        <v>1045</v>
      </c>
      <c r="B1424" s="66">
        <f t="shared" si="2883"/>
        <v>13</v>
      </c>
      <c r="C1424" s="66">
        <f t="shared" si="2829"/>
        <v>84</v>
      </c>
      <c r="E1424" s="66">
        <f t="shared" ref="E1424" si="2914">plan_id</f>
        <v>1952</v>
      </c>
      <c r="F1424" s="66">
        <f t="shared" ca="1" si="2722"/>
        <v>2010</v>
      </c>
      <c r="G1424" s="66">
        <f t="shared" ref="G1424" ca="1" si="2915">VLOOKUP(INDIRECT(CHAR(39)&amp;$A1424&amp;CHAR(39)&amp;"!r2c"&amp;$C1424,0),variables,2,0)</f>
        <v>10829</v>
      </c>
      <c r="H1424" s="71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970930000</v>
      </c>
    </row>
    <row r="1425" spans="1:8" x14ac:dyDescent="0.2">
      <c r="A1425" s="66" t="s">
        <v>1045</v>
      </c>
      <c r="B1425" s="66">
        <f t="shared" si="2883"/>
        <v>13</v>
      </c>
      <c r="C1425" s="66">
        <f t="shared" si="2829"/>
        <v>85</v>
      </c>
      <c r="E1425" s="66">
        <f t="shared" ref="E1425" si="2916">plan_id</f>
        <v>1952</v>
      </c>
      <c r="F1425" s="66">
        <f t="shared" ca="1" si="2722"/>
        <v>2010</v>
      </c>
      <c r="G1425" s="66">
        <f t="shared" ref="G1425" ca="1" si="2917">VLOOKUP(INDIRECT(CHAR(39)&amp;$A1425&amp;CHAR(39)&amp;"!r2c"&amp;$C1425,0),variables,2,0)</f>
        <v>10823</v>
      </c>
      <c r="H1425" s="71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5507671000</v>
      </c>
    </row>
    <row r="1426" spans="1:8" x14ac:dyDescent="0.2">
      <c r="A1426" s="66" t="s">
        <v>1045</v>
      </c>
      <c r="B1426" s="66">
        <f t="shared" si="2883"/>
        <v>13</v>
      </c>
      <c r="C1426" s="66">
        <f t="shared" si="2829"/>
        <v>86</v>
      </c>
      <c r="E1426" s="66">
        <f t="shared" ref="E1426" si="2918">plan_id</f>
        <v>1952</v>
      </c>
      <c r="F1426" s="66">
        <f t="shared" ca="1" si="2722"/>
        <v>2010</v>
      </c>
      <c r="G1426" s="66">
        <f t="shared" ref="G1426" ca="1" si="2919">VLOOKUP(INDIRECT(CHAR(39)&amp;$A1426&amp;CHAR(39)&amp;"!r2c"&amp;$C1426,0),variables,2,0)</f>
        <v>10798</v>
      </c>
      <c r="H1426" s="71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66" t="s">
        <v>1045</v>
      </c>
      <c r="B1427" s="66">
        <f t="shared" si="2883"/>
        <v>13</v>
      </c>
      <c r="C1427" s="66">
        <f t="shared" si="2829"/>
        <v>87</v>
      </c>
      <c r="E1427" s="66">
        <f t="shared" ref="E1427" si="2920">plan_id</f>
        <v>1952</v>
      </c>
      <c r="F1427" s="66">
        <f t="shared" ca="1" si="2722"/>
        <v>2010</v>
      </c>
      <c r="G1427" s="66">
        <f t="shared" ref="G1427" ca="1" si="2921">VLOOKUP(INDIRECT(CHAR(39)&amp;$A1427&amp;CHAR(39)&amp;"!r2c"&amp;$C1427,0),variables,2,0)</f>
        <v>10799</v>
      </c>
      <c r="H1427" s="7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66" t="s">
        <v>1045</v>
      </c>
      <c r="B1428" s="66">
        <f t="shared" si="2883"/>
        <v>13</v>
      </c>
      <c r="C1428" s="66">
        <f t="shared" si="2829"/>
        <v>88</v>
      </c>
      <c r="E1428" s="66">
        <f t="shared" ref="E1428" si="2922">plan_id</f>
        <v>1952</v>
      </c>
      <c r="F1428" s="66">
        <f t="shared" ca="1" si="2722"/>
        <v>2010</v>
      </c>
      <c r="G1428" s="66">
        <f t="shared" ref="G1428" ca="1" si="2923">VLOOKUP(INDIRECT(CHAR(39)&amp;$A1428&amp;CHAR(39)&amp;"!r2c"&amp;$C1428,0),variables,2,0)</f>
        <v>10800</v>
      </c>
      <c r="H1428" s="7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66" t="s">
        <v>1045</v>
      </c>
      <c r="B1429" s="66">
        <f t="shared" si="2883"/>
        <v>13</v>
      </c>
      <c r="C1429" s="66">
        <f t="shared" si="2829"/>
        <v>89</v>
      </c>
      <c r="E1429" s="66">
        <f t="shared" ref="E1429" si="2924">plan_id</f>
        <v>1952</v>
      </c>
      <c r="F1429" s="66">
        <f t="shared" ca="1" si="2722"/>
        <v>2010</v>
      </c>
      <c r="G1429" s="66">
        <f t="shared" ref="G1429" ca="1" si="2925">VLOOKUP(INDIRECT(CHAR(39)&amp;$A1429&amp;CHAR(39)&amp;"!r2c"&amp;$C1429,0),variables,2,0)</f>
        <v>10824</v>
      </c>
      <c r="H1429" s="7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66" t="s">
        <v>1045</v>
      </c>
      <c r="B1430" s="66">
        <f t="shared" si="2883"/>
        <v>13</v>
      </c>
      <c r="C1430" s="66">
        <f t="shared" si="2829"/>
        <v>90</v>
      </c>
      <c r="E1430" s="66">
        <f t="shared" ref="E1430" si="2926">plan_id</f>
        <v>1952</v>
      </c>
      <c r="F1430" s="66">
        <f t="shared" ca="1" si="2722"/>
        <v>2010</v>
      </c>
      <c r="G1430" s="66">
        <f t="shared" ref="G1430" ca="1" si="2927">VLOOKUP(INDIRECT(CHAR(39)&amp;$A1430&amp;CHAR(39)&amp;"!r2c"&amp;$C1430,0),variables,2,0)</f>
        <v>10825</v>
      </c>
      <c r="H1430" s="7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3356700000</v>
      </c>
    </row>
    <row r="1431" spans="1:8" x14ac:dyDescent="0.2">
      <c r="A1431" s="66" t="s">
        <v>1045</v>
      </c>
      <c r="B1431" s="66">
        <f t="shared" si="2883"/>
        <v>13</v>
      </c>
      <c r="C1431" s="66">
        <f t="shared" si="2829"/>
        <v>91</v>
      </c>
      <c r="E1431" s="66">
        <f t="shared" ref="E1431" si="2928">plan_id</f>
        <v>1952</v>
      </c>
      <c r="F1431" s="66">
        <f t="shared" ca="1" si="2722"/>
        <v>2010</v>
      </c>
      <c r="G1431" s="66">
        <f t="shared" ref="G1431" ca="1" si="2929">VLOOKUP(INDIRECT(CHAR(39)&amp;$A1431&amp;CHAR(39)&amp;"!r2c"&amp;$C1431,0),variables,2,0)</f>
        <v>10826</v>
      </c>
      <c r="H1431" s="71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851456000</v>
      </c>
    </row>
    <row r="1432" spans="1:8" x14ac:dyDescent="0.2">
      <c r="A1432" s="66" t="s">
        <v>1045</v>
      </c>
      <c r="B1432" s="66">
        <f t="shared" si="2883"/>
        <v>13</v>
      </c>
      <c r="C1432" s="66">
        <f t="shared" si="2829"/>
        <v>92</v>
      </c>
      <c r="E1432" s="66">
        <f t="shared" ref="E1432" si="2930">plan_id</f>
        <v>1952</v>
      </c>
      <c r="F1432" s="66">
        <f t="shared" ca="1" si="2722"/>
        <v>2010</v>
      </c>
      <c r="G1432" s="66">
        <f t="shared" ref="G1432" ca="1" si="2931">VLOOKUP(INDIRECT(CHAR(39)&amp;$A1432&amp;CHAR(39)&amp;"!r2c"&amp;$C1432,0),variables,2,0)</f>
        <v>10828</v>
      </c>
      <c r="H1432" s="71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66" t="s">
        <v>1045</v>
      </c>
      <c r="B1433" s="66">
        <f t="shared" si="2883"/>
        <v>13</v>
      </c>
      <c r="C1433" s="66">
        <f t="shared" si="2829"/>
        <v>93</v>
      </c>
      <c r="E1433" s="66">
        <f t="shared" ref="E1433" si="2932">plan_id</f>
        <v>1952</v>
      </c>
      <c r="F1433" s="66">
        <f t="shared" ca="1" si="2722"/>
        <v>2010</v>
      </c>
      <c r="G1433" s="66">
        <f t="shared" ref="G1433" ca="1" si="2933">VLOOKUP(INDIRECT(CHAR(39)&amp;$A1433&amp;CHAR(39)&amp;"!r2c"&amp;$C1433,0),variables,2,0)</f>
        <v>10827</v>
      </c>
      <c r="H1433" s="71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66" t="s">
        <v>1045</v>
      </c>
      <c r="B1434" s="66">
        <f t="shared" ref="B1434:B1497" si="2934">B1369+1</f>
        <v>14</v>
      </c>
      <c r="C1434" s="66">
        <f t="shared" si="2829"/>
        <v>3</v>
      </c>
      <c r="E1434" s="66">
        <f t="shared" ref="E1434" si="2935">plan_id</f>
        <v>1952</v>
      </c>
      <c r="F1434" s="66">
        <f t="shared" ca="1" si="2722"/>
        <v>2011</v>
      </c>
      <c r="G1434" s="66">
        <f t="shared" ref="G1434" ca="1" si="2936">VLOOKUP(INDIRECT(CHAR(39)&amp;$A1434&amp;CHAR(39)&amp;"!r2c"&amp;$C1434,0),variables,2,0)</f>
        <v>10703</v>
      </c>
      <c r="H1434" s="71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 &amp; 2014</v>
      </c>
    </row>
    <row r="1435" spans="1:8" x14ac:dyDescent="0.2">
      <c r="A1435" s="66" t="s">
        <v>1045</v>
      </c>
      <c r="B1435" s="66">
        <f t="shared" si="2934"/>
        <v>14</v>
      </c>
      <c r="C1435" s="66">
        <f t="shared" si="2829"/>
        <v>4</v>
      </c>
      <c r="E1435" s="66">
        <f t="shared" ref="E1435" si="2937">plan_id</f>
        <v>1952</v>
      </c>
      <c r="F1435" s="66">
        <f t="shared" ca="1" si="2722"/>
        <v>2011</v>
      </c>
      <c r="G1435" s="66">
        <f t="shared" ref="G1435" ca="1" si="2938">VLOOKUP(INDIRECT(CHAR(39)&amp;$A1435&amp;CHAR(39)&amp;"!r2c"&amp;$C1435,0),variables,2,0)</f>
        <v>10845</v>
      </c>
      <c r="H1435" s="71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,LLC</v>
      </c>
    </row>
    <row r="1436" spans="1:8" x14ac:dyDescent="0.2">
      <c r="A1436" s="66" t="s">
        <v>1045</v>
      </c>
      <c r="B1436" s="66">
        <f t="shared" si="2934"/>
        <v>14</v>
      </c>
      <c r="C1436" s="66">
        <f t="shared" si="2829"/>
        <v>5</v>
      </c>
      <c r="E1436" s="66">
        <f t="shared" ref="E1436" si="2939">plan_id</f>
        <v>1952</v>
      </c>
      <c r="F1436" s="66">
        <f t="shared" ca="1" si="2722"/>
        <v>2011</v>
      </c>
      <c r="G1436" s="66">
        <f t="shared" ref="G1436" ca="1" si="2940">VLOOKUP(INDIRECT(CHAR(39)&amp;$A1436&amp;CHAR(39)&amp;"!r2c"&amp;$C1436,0),variables,2,0)</f>
        <v>10924</v>
      </c>
      <c r="H1436" s="71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(i)8.55%; (ii)10.93%</v>
      </c>
    </row>
    <row r="1437" spans="1:8" x14ac:dyDescent="0.2">
      <c r="A1437" s="66" t="s">
        <v>1045</v>
      </c>
      <c r="B1437" s="66">
        <f t="shared" si="2934"/>
        <v>14</v>
      </c>
      <c r="C1437" s="66">
        <f t="shared" si="2829"/>
        <v>6</v>
      </c>
      <c r="E1437" s="66">
        <f t="shared" ref="E1437" si="2941">plan_id</f>
        <v>1952</v>
      </c>
      <c r="F1437" s="66">
        <f t="shared" ca="1" si="2722"/>
        <v>2011</v>
      </c>
      <c r="G1437" s="66">
        <f t="shared" ref="G1437" ca="1" si="2942">VLOOKUP(INDIRECT(CHAR(39)&amp;$A1437&amp;CHAR(39)&amp;"!r2c"&amp;$C1437,0),variables,2,0)</f>
        <v>10925</v>
      </c>
      <c r="H1437" s="71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(i)3.55%; (ii)5.93%</v>
      </c>
    </row>
    <row r="1438" spans="1:8" x14ac:dyDescent="0.2">
      <c r="A1438" s="66" t="s">
        <v>1045</v>
      </c>
      <c r="B1438" s="66">
        <f t="shared" si="2934"/>
        <v>14</v>
      </c>
      <c r="C1438" s="66">
        <f t="shared" si="2829"/>
        <v>7</v>
      </c>
      <c r="E1438" s="66">
        <f t="shared" ref="E1438" si="2943">plan_id</f>
        <v>1952</v>
      </c>
      <c r="F1438" s="66">
        <f t="shared" ca="1" si="2722"/>
        <v>2011</v>
      </c>
      <c r="G1438" s="66">
        <f t="shared" ref="G1438" ca="1" si="2944">VLOOKUP(INDIRECT(CHAR(39)&amp;$A1438&amp;CHAR(39)&amp;"!r2c"&amp;$C1438,0),variables,2,0)</f>
        <v>10926</v>
      </c>
      <c r="H1438" s="71" t="str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(i)5%; (ii)5%</v>
      </c>
    </row>
    <row r="1439" spans="1:8" x14ac:dyDescent="0.2">
      <c r="A1439" s="66" t="s">
        <v>1045</v>
      </c>
      <c r="B1439" s="66">
        <f t="shared" si="2934"/>
        <v>14</v>
      </c>
      <c r="C1439" s="66">
        <f t="shared" si="2829"/>
        <v>8</v>
      </c>
      <c r="E1439" s="66">
        <f t="shared" ref="E1439" si="2945">plan_id</f>
        <v>1952</v>
      </c>
      <c r="F1439" s="66">
        <f t="shared" ca="1" si="2722"/>
        <v>2011</v>
      </c>
      <c r="G1439" s="66">
        <f t="shared" ref="G1439" ca="1" si="2946">VLOOKUP(INDIRECT(CHAR(39)&amp;$A1439&amp;CHAR(39)&amp;"!r2c"&amp;$C1439,0),variables,2,0)</f>
        <v>10704</v>
      </c>
      <c r="H1439" s="71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2">
      <c r="A1440" s="66" t="s">
        <v>1045</v>
      </c>
      <c r="B1440" s="66">
        <f t="shared" si="2934"/>
        <v>14</v>
      </c>
      <c r="C1440" s="66">
        <f t="shared" si="2829"/>
        <v>9</v>
      </c>
      <c r="E1440" s="66">
        <f t="shared" ref="E1440" si="2947">plan_id</f>
        <v>1952</v>
      </c>
      <c r="F1440" s="66">
        <f t="shared" ca="1" si="2722"/>
        <v>2011</v>
      </c>
      <c r="G1440" s="66">
        <f t="shared" ref="G1440" ca="1" si="2948">VLOOKUP(INDIRECT(CHAR(39)&amp;$A1440&amp;CHAR(39)&amp;"!r2c"&amp;$C1440,0),variables,2,0)</f>
        <v>10928</v>
      </c>
      <c r="H1440" s="71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(i)9.52%; (ii)10.84%</v>
      </c>
    </row>
    <row r="1441" spans="1:8" x14ac:dyDescent="0.2">
      <c r="A1441" s="66" t="s">
        <v>1045</v>
      </c>
      <c r="B1441" s="66">
        <f t="shared" si="2934"/>
        <v>14</v>
      </c>
      <c r="C1441" s="66">
        <f t="shared" si="2829"/>
        <v>10</v>
      </c>
      <c r="E1441" s="66">
        <f t="shared" ref="E1441" si="2949">plan_id</f>
        <v>1952</v>
      </c>
      <c r="F1441" s="66">
        <f t="shared" ca="1" si="2722"/>
        <v>2011</v>
      </c>
      <c r="G1441" s="66">
        <f t="shared" ref="G1441" ca="1" si="2950">VLOOKUP(INDIRECT(CHAR(39)&amp;$A1441&amp;CHAR(39)&amp;"!r2c"&amp;$C1441,0),variables,2,0)</f>
        <v>10929</v>
      </c>
      <c r="H1441" s="71" t="str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(i)9.52%; (ii)10.84%</v>
      </c>
    </row>
    <row r="1442" spans="1:8" x14ac:dyDescent="0.2">
      <c r="A1442" s="66" t="s">
        <v>1045</v>
      </c>
      <c r="B1442" s="66">
        <f t="shared" si="2934"/>
        <v>14</v>
      </c>
      <c r="C1442" s="66">
        <f t="shared" si="2829"/>
        <v>11</v>
      </c>
      <c r="E1442" s="66">
        <f t="shared" ref="E1442" si="2951">plan_id</f>
        <v>1952</v>
      </c>
      <c r="F1442" s="66">
        <f t="shared" ca="1" si="2722"/>
        <v>2011</v>
      </c>
      <c r="G1442" s="66">
        <f t="shared" ref="G1442" ca="1" si="2952">VLOOKUP(INDIRECT(CHAR(39)&amp;$A1442&amp;CHAR(39)&amp;"!r2c"&amp;$C1442,0),variables,2,0)</f>
        <v>10930</v>
      </c>
      <c r="H1442" s="71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66" t="s">
        <v>1045</v>
      </c>
      <c r="B1443" s="66">
        <f t="shared" si="2934"/>
        <v>14</v>
      </c>
      <c r="C1443" s="66">
        <f t="shared" si="2829"/>
        <v>12</v>
      </c>
      <c r="E1443" s="66">
        <f t="shared" ref="E1443" si="2953">plan_id</f>
        <v>1952</v>
      </c>
      <c r="F1443" s="66">
        <f t="shared" ca="1" si="2722"/>
        <v>2011</v>
      </c>
      <c r="G1443" s="66">
        <f t="shared" ref="G1443" ca="1" si="2954">VLOOKUP(INDIRECT(CHAR(39)&amp;$A1443&amp;CHAR(39)&amp;"!r2c"&amp;$C1443,0),variables,2,0)</f>
        <v>10705</v>
      </c>
      <c r="H1443" s="7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739089000</v>
      </c>
    </row>
    <row r="1444" spans="1:8" x14ac:dyDescent="0.2">
      <c r="A1444" s="66" t="s">
        <v>1045</v>
      </c>
      <c r="B1444" s="66">
        <f t="shared" si="2934"/>
        <v>14</v>
      </c>
      <c r="C1444" s="66">
        <f t="shared" si="2829"/>
        <v>13</v>
      </c>
      <c r="E1444" s="66">
        <f t="shared" ref="E1444" si="2955">plan_id</f>
        <v>1952</v>
      </c>
      <c r="F1444" s="66">
        <f t="shared" ca="1" si="2722"/>
        <v>2011</v>
      </c>
      <c r="G1444" s="66">
        <f t="shared" ref="G1444" ca="1" si="2956">VLOOKUP(INDIRECT(CHAR(39)&amp;$A1444&amp;CHAR(39)&amp;"!r2c"&amp;$C1444,0),variables,2,0)</f>
        <v>10842</v>
      </c>
      <c r="H1444" s="71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66" t="s">
        <v>1045</v>
      </c>
      <c r="B1445" s="66">
        <f t="shared" si="2934"/>
        <v>14</v>
      </c>
      <c r="C1445" s="66">
        <f t="shared" si="2829"/>
        <v>14</v>
      </c>
      <c r="E1445" s="66">
        <f t="shared" ref="E1445" si="2957">plan_id</f>
        <v>1952</v>
      </c>
      <c r="F1445" s="66">
        <f t="shared" ca="1" si="2722"/>
        <v>2011</v>
      </c>
      <c r="G1445" s="66">
        <f t="shared" ref="G1445" ca="1" si="2958">VLOOKUP(INDIRECT(CHAR(39)&amp;$A1445&amp;CHAR(39)&amp;"!r2c"&amp;$C1445,0),variables,2,0)</f>
        <v>10843</v>
      </c>
      <c r="H1445" s="71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66" t="s">
        <v>1045</v>
      </c>
      <c r="B1446" s="66">
        <f t="shared" si="2934"/>
        <v>14</v>
      </c>
      <c r="C1446" s="66">
        <f t="shared" si="2829"/>
        <v>15</v>
      </c>
      <c r="E1446" s="66">
        <f t="shared" ref="E1446" si="2959">plan_id</f>
        <v>1952</v>
      </c>
      <c r="F1446" s="66">
        <f t="shared" ca="1" si="2722"/>
        <v>2011</v>
      </c>
      <c r="G1446" s="66">
        <f t="shared" ref="G1446" ca="1" si="2960">VLOOKUP(INDIRECT(CHAR(39)&amp;$A1446&amp;CHAR(39)&amp;"!r2c"&amp;$C1446,0),variables,2,0)</f>
        <v>10931</v>
      </c>
      <c r="H1446" s="7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66" t="s">
        <v>1045</v>
      </c>
      <c r="B1447" s="66">
        <f t="shared" si="2934"/>
        <v>14</v>
      </c>
      <c r="C1447" s="66">
        <f t="shared" ref="C1447:C1510" si="2961">C1356</f>
        <v>16</v>
      </c>
      <c r="E1447" s="66">
        <f t="shared" ref="E1447" si="2962">plan_id</f>
        <v>1952</v>
      </c>
      <c r="F1447" s="66">
        <f t="shared" ca="1" si="2722"/>
        <v>2011</v>
      </c>
      <c r="G1447" s="66">
        <f t="shared" ref="G1447" ca="1" si="2963">VLOOKUP(INDIRECT(CHAR(39)&amp;$A1447&amp;CHAR(39)&amp;"!r2c"&amp;$C1447,0),variables,2,0)</f>
        <v>10932</v>
      </c>
      <c r="H1447" s="7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66" t="s">
        <v>1045</v>
      </c>
      <c r="B1448" s="66">
        <f t="shared" si="2934"/>
        <v>14</v>
      </c>
      <c r="C1448" s="66">
        <f t="shared" si="2961"/>
        <v>17</v>
      </c>
      <c r="E1448" s="66">
        <f t="shared" ref="E1448" si="2964">plan_id</f>
        <v>1952</v>
      </c>
      <c r="F1448" s="66">
        <f t="shared" ca="1" si="2722"/>
        <v>2011</v>
      </c>
      <c r="G1448" s="66">
        <f t="shared" ref="G1448" ca="1" si="2965">VLOOKUP(INDIRECT(CHAR(39)&amp;$A1448&amp;CHAR(39)&amp;"!r2c"&amp;$C1448,0),variables,2,0)</f>
        <v>10933</v>
      </c>
      <c r="H1448" s="71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(i)13.07%; (ii)16.77%</v>
      </c>
    </row>
    <row r="1449" spans="1:8" x14ac:dyDescent="0.2">
      <c r="A1449" s="66" t="s">
        <v>1045</v>
      </c>
      <c r="B1449" s="66">
        <f t="shared" si="2934"/>
        <v>14</v>
      </c>
      <c r="C1449" s="66">
        <f t="shared" si="2961"/>
        <v>18</v>
      </c>
      <c r="E1449" s="66">
        <f t="shared" ref="E1449" si="2966">plan_id</f>
        <v>1952</v>
      </c>
      <c r="F1449" s="66">
        <f t="shared" ca="1" si="2722"/>
        <v>2011</v>
      </c>
      <c r="G1449" s="66">
        <f t="shared" ref="G1449" ca="1" si="2967">VLOOKUP(INDIRECT(CHAR(39)&amp;$A1449&amp;CHAR(39)&amp;"!r2c"&amp;$C1449,0),variables,2,0)</f>
        <v>10934</v>
      </c>
      <c r="H1449" s="71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(i)5%; (ii)5%</v>
      </c>
    </row>
    <row r="1450" spans="1:8" x14ac:dyDescent="0.2">
      <c r="A1450" s="66" t="s">
        <v>1045</v>
      </c>
      <c r="B1450" s="66">
        <f t="shared" si="2934"/>
        <v>14</v>
      </c>
      <c r="C1450" s="66">
        <f t="shared" si="2961"/>
        <v>19</v>
      </c>
      <c r="E1450" s="66">
        <f t="shared" ref="E1450" si="2968">plan_id</f>
        <v>1952</v>
      </c>
      <c r="F1450" s="66">
        <f t="shared" ca="1" si="2722"/>
        <v>2011</v>
      </c>
      <c r="G1450" s="66">
        <f t="shared" ref="G1450" ca="1" si="2969">VLOOKUP(INDIRECT(CHAR(39)&amp;$A1450&amp;CHAR(39)&amp;"!r2c"&amp;$C1450,0),variables,2,0)</f>
        <v>10935</v>
      </c>
      <c r="H1450" s="71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</row>
    <row r="1451" spans="1:8" x14ac:dyDescent="0.2">
      <c r="A1451" s="66" t="s">
        <v>1045</v>
      </c>
      <c r="B1451" s="66">
        <f t="shared" si="2934"/>
        <v>14</v>
      </c>
      <c r="C1451" s="66">
        <f t="shared" si="2961"/>
        <v>20</v>
      </c>
      <c r="E1451" s="66">
        <f t="shared" ref="E1451" si="2970">plan_id</f>
        <v>1952</v>
      </c>
      <c r="F1451" s="66">
        <f t="shared" ca="1" si="2722"/>
        <v>2011</v>
      </c>
      <c r="G1451" s="66">
        <f t="shared" ref="G1451" ca="1" si="2971">VLOOKUP(INDIRECT(CHAR(39)&amp;$A1451&amp;CHAR(39)&amp;"!r2c"&amp;$C1451,0),variables,2,0)</f>
        <v>10937</v>
      </c>
      <c r="H1451" s="71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66" t="s">
        <v>1045</v>
      </c>
      <c r="B1452" s="66">
        <f t="shared" si="2934"/>
        <v>14</v>
      </c>
      <c r="C1452" s="66">
        <f t="shared" si="2961"/>
        <v>21</v>
      </c>
      <c r="E1452" s="66">
        <f t="shared" ref="E1452" si="2972">plan_id</f>
        <v>1952</v>
      </c>
      <c r="F1452" s="66">
        <f t="shared" ref="F1452:F1544" ca="1" si="2973">INDIRECT(CHAR(39)&amp;$A1452&amp;CHAR(39)&amp;"!r"&amp;$B1452&amp;"c2",0)</f>
        <v>2011</v>
      </c>
      <c r="G1452" s="66">
        <f t="shared" ref="G1452" ca="1" si="2974">VLOOKUP(INDIRECT(CHAR(39)&amp;$A1452&amp;CHAR(39)&amp;"!r2c"&amp;$C1452,0),variables,2,0)</f>
        <v>10938</v>
      </c>
      <c r="H1452" s="7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66" t="s">
        <v>1045</v>
      </c>
      <c r="B1453" s="66">
        <f t="shared" si="2934"/>
        <v>14</v>
      </c>
      <c r="C1453" s="66">
        <f t="shared" si="2961"/>
        <v>22</v>
      </c>
      <c r="E1453" s="66">
        <f t="shared" ref="E1453" si="2975">plan_id</f>
        <v>1952</v>
      </c>
      <c r="F1453" s="66">
        <f t="shared" ca="1" si="2973"/>
        <v>2011</v>
      </c>
      <c r="G1453" s="66">
        <f t="shared" ref="G1453" ca="1" si="2976">VLOOKUP(INDIRECT(CHAR(39)&amp;$A1453&amp;CHAR(39)&amp;"!r2c"&amp;$C1453,0),variables,2,0)</f>
        <v>11007</v>
      </c>
      <c r="H1453" s="71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1.7% of AFC times years of service</v>
      </c>
    </row>
    <row r="1454" spans="1:8" x14ac:dyDescent="0.2">
      <c r="A1454" s="66" t="s">
        <v>1045</v>
      </c>
      <c r="B1454" s="66">
        <f t="shared" si="2934"/>
        <v>14</v>
      </c>
      <c r="C1454" s="66">
        <f t="shared" si="2961"/>
        <v>23</v>
      </c>
      <c r="E1454" s="66">
        <f t="shared" ref="E1454" si="2977">plan_id</f>
        <v>1952</v>
      </c>
      <c r="F1454" s="66">
        <f t="shared" ca="1" si="2973"/>
        <v>2011</v>
      </c>
      <c r="G1454" s="66">
        <f t="shared" ref="G1454" ca="1" si="2978">VLOOKUP(INDIRECT(CHAR(39)&amp;$A1454&amp;CHAR(39)&amp;"!r2c"&amp;$C1454,0),variables,2,0)</f>
        <v>10941</v>
      </c>
      <c r="H1454" s="71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PBI</v>
      </c>
    </row>
    <row r="1455" spans="1:8" x14ac:dyDescent="0.2">
      <c r="A1455" s="66" t="s">
        <v>1045</v>
      </c>
      <c r="B1455" s="66">
        <f t="shared" si="2934"/>
        <v>14</v>
      </c>
      <c r="C1455" s="66">
        <f t="shared" si="2961"/>
        <v>24</v>
      </c>
      <c r="E1455" s="66">
        <f t="shared" ref="E1455" si="2979">plan_id</f>
        <v>1952</v>
      </c>
      <c r="F1455" s="66">
        <f t="shared" ca="1" si="2973"/>
        <v>2011</v>
      </c>
      <c r="G1455" s="66">
        <f t="shared" ref="G1455" ca="1" si="2980">VLOOKUP(INDIRECT(CHAR(39)&amp;$A1455&amp;CHAR(39)&amp;"!r2c"&amp;$C1455,0),variables,2,0)</f>
        <v>10942</v>
      </c>
      <c r="H1455" s="71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2">
      <c r="A1456" s="66" t="s">
        <v>1045</v>
      </c>
      <c r="B1456" s="66">
        <f t="shared" si="2934"/>
        <v>14</v>
      </c>
      <c r="C1456" s="66">
        <f t="shared" si="2961"/>
        <v>25</v>
      </c>
      <c r="E1456" s="66">
        <f t="shared" ref="E1456" si="2981">plan_id</f>
        <v>1952</v>
      </c>
      <c r="F1456" s="66">
        <f t="shared" ca="1" si="2973"/>
        <v>2011</v>
      </c>
      <c r="G1456" s="66">
        <f t="shared" ref="G1456" ca="1" si="2982">VLOOKUP(INDIRECT(CHAR(39)&amp;$A1456&amp;CHAR(39)&amp;"!r2c"&amp;$C1456,0),variables,2,0)</f>
        <v>10701</v>
      </c>
      <c r="H1456" s="71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2">
      <c r="A1457" s="66" t="s">
        <v>1045</v>
      </c>
      <c r="B1457" s="66">
        <f t="shared" si="2934"/>
        <v>14</v>
      </c>
      <c r="C1457" s="66">
        <f t="shared" si="2961"/>
        <v>26</v>
      </c>
      <c r="E1457" s="66">
        <f t="shared" ref="E1457" si="2983">plan_id</f>
        <v>1952</v>
      </c>
      <c r="F1457" s="66">
        <f t="shared" ca="1" si="2973"/>
        <v>2011</v>
      </c>
      <c r="G1457" s="66">
        <f t="shared" ref="G1457" ca="1" si="2984">VLOOKUP(INDIRECT(CHAR(39)&amp;$A1457&amp;CHAR(39)&amp;"!r2c"&amp;$C1457,0),variables,2,0)</f>
        <v>10702</v>
      </c>
      <c r="H1457" s="71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66" t="s">
        <v>1045</v>
      </c>
      <c r="B1458" s="66">
        <f t="shared" si="2934"/>
        <v>14</v>
      </c>
      <c r="C1458" s="66">
        <f t="shared" si="2961"/>
        <v>27</v>
      </c>
      <c r="E1458" s="66">
        <f t="shared" ref="E1458" si="2985">plan_id</f>
        <v>1952</v>
      </c>
      <c r="F1458" s="66">
        <f t="shared" ca="1" si="2973"/>
        <v>2011</v>
      </c>
      <c r="G1458" s="66">
        <f t="shared" ref="G1458" ca="1" si="2986">VLOOKUP(INDIRECT(CHAR(39)&amp;$A1458&amp;CHAR(39)&amp;"!r2c"&amp;$C1458,0),variables,2,0)</f>
        <v>10943</v>
      </c>
      <c r="H1458" s="71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Plan 1: 2.50%; Plan 2: 2.25%</v>
      </c>
    </row>
    <row r="1459" spans="1:8" x14ac:dyDescent="0.2">
      <c r="A1459" s="66" t="s">
        <v>1045</v>
      </c>
      <c r="B1459" s="66">
        <f t="shared" si="2934"/>
        <v>14</v>
      </c>
      <c r="C1459" s="66">
        <f t="shared" si="2961"/>
        <v>28</v>
      </c>
      <c r="E1459" s="66">
        <f t="shared" ref="E1459" si="2987">plan_id</f>
        <v>1952</v>
      </c>
      <c r="F1459" s="66">
        <f t="shared" ca="1" si="2973"/>
        <v>2011</v>
      </c>
      <c r="G1459" s="66">
        <f t="shared" ref="G1459" ca="1" si="2988">VLOOKUP(INDIRECT(CHAR(39)&amp;$A1459&amp;CHAR(39)&amp;"!r2c"&amp;$C1459,0),variables,2,0)</f>
        <v>10944</v>
      </c>
      <c r="H1459" s="71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66" t="s">
        <v>1045</v>
      </c>
      <c r="B1460" s="66">
        <f t="shared" si="2934"/>
        <v>14</v>
      </c>
      <c r="C1460" s="66">
        <f t="shared" si="2961"/>
        <v>29</v>
      </c>
      <c r="E1460" s="66">
        <f t="shared" ref="E1460" si="2989">plan_id</f>
        <v>1952</v>
      </c>
      <c r="F1460" s="66">
        <f t="shared" ca="1" si="2973"/>
        <v>2011</v>
      </c>
      <c r="G1460" s="66">
        <f t="shared" ref="G1460" ca="1" si="2990">VLOOKUP(INDIRECT(CHAR(39)&amp;$A1460&amp;CHAR(39)&amp;"!r2c"&amp;$C1460,0),variables,2,0)</f>
        <v>10945</v>
      </c>
      <c r="H1460" s="71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66" t="s">
        <v>1045</v>
      </c>
      <c r="B1461" s="66">
        <f t="shared" si="2934"/>
        <v>14</v>
      </c>
      <c r="C1461" s="66">
        <f t="shared" si="2961"/>
        <v>30</v>
      </c>
      <c r="E1461" s="66">
        <f t="shared" ref="E1461" si="2991">plan_id</f>
        <v>1952</v>
      </c>
      <c r="F1461" s="66">
        <f t="shared" ca="1" si="2973"/>
        <v>2011</v>
      </c>
      <c r="G1461" s="66">
        <f t="shared" ref="G1461" ca="1" si="2992">VLOOKUP(INDIRECT(CHAR(39)&amp;$A1461&amp;CHAR(39)&amp;"!r2c"&amp;$C1461,0),variables,2,0)</f>
        <v>10947</v>
      </c>
      <c r="H1461" s="71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66" t="s">
        <v>1045</v>
      </c>
      <c r="B1462" s="66">
        <f t="shared" si="2934"/>
        <v>14</v>
      </c>
      <c r="C1462" s="66">
        <f t="shared" si="2961"/>
        <v>31</v>
      </c>
      <c r="E1462" s="66">
        <f t="shared" ref="E1462" si="2993">plan_id</f>
        <v>1952</v>
      </c>
      <c r="F1462" s="66">
        <f t="shared" ca="1" si="2973"/>
        <v>2011</v>
      </c>
      <c r="G1462" s="66">
        <f t="shared" ref="G1462" ca="1" si="2994">VLOOKUP(INDIRECT(CHAR(39)&amp;$A1462&amp;CHAR(39)&amp;"!r2c"&amp;$C1462,0),variables,2,0)</f>
        <v>10948</v>
      </c>
      <c r="H1462" s="71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2">
      <c r="A1463" s="66" t="s">
        <v>1045</v>
      </c>
      <c r="B1463" s="66">
        <f t="shared" si="2934"/>
        <v>14</v>
      </c>
      <c r="C1463" s="66">
        <f t="shared" si="2961"/>
        <v>32</v>
      </c>
      <c r="E1463" s="66">
        <f t="shared" ref="E1463" si="2995">plan_id</f>
        <v>1952</v>
      </c>
      <c r="F1463" s="66">
        <f t="shared" ca="1" si="2973"/>
        <v>2011</v>
      </c>
      <c r="G1463" s="66">
        <f t="shared" ref="G1463" ca="1" si="2996">VLOOKUP(INDIRECT(CHAR(39)&amp;$A1463&amp;CHAR(39)&amp;"!r2c"&amp;$C1463,0),variables,2,0)</f>
        <v>10949</v>
      </c>
      <c r="H1463" s="71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66" t="s">
        <v>1045</v>
      </c>
      <c r="B1464" s="66">
        <f t="shared" si="2934"/>
        <v>14</v>
      </c>
      <c r="C1464" s="66">
        <f t="shared" si="2961"/>
        <v>33</v>
      </c>
      <c r="E1464" s="66">
        <f t="shared" ref="E1464" si="2997">plan_id</f>
        <v>1952</v>
      </c>
      <c r="F1464" s="66">
        <f t="shared" ca="1" si="2973"/>
        <v>2011</v>
      </c>
      <c r="G1464" s="66">
        <f t="shared" ref="G1464" ca="1" si="2998">VLOOKUP(INDIRECT(CHAR(39)&amp;$A1464&amp;CHAR(39)&amp;"!r2c"&amp;$C1464,0),variables,2,0)</f>
        <v>10951</v>
      </c>
      <c r="H1464" s="71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2">
      <c r="A1465" s="66" t="s">
        <v>1045</v>
      </c>
      <c r="B1465" s="66">
        <f t="shared" si="2934"/>
        <v>14</v>
      </c>
      <c r="C1465" s="66">
        <f t="shared" si="2961"/>
        <v>34</v>
      </c>
      <c r="E1465" s="66">
        <f t="shared" ref="E1465" si="2999">plan_id</f>
        <v>1952</v>
      </c>
      <c r="F1465" s="66">
        <f t="shared" ca="1" si="2973"/>
        <v>2011</v>
      </c>
      <c r="G1465" s="66">
        <f t="shared" ref="G1465" ca="1" si="3000">VLOOKUP(INDIRECT(CHAR(39)&amp;$A1465&amp;CHAR(39)&amp;"!r2c"&amp;$C1465,0),variables,2,0)</f>
        <v>10950</v>
      </c>
      <c r="H1465" s="71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2">
      <c r="A1466" s="66" t="s">
        <v>1045</v>
      </c>
      <c r="B1466" s="66">
        <f t="shared" si="2934"/>
        <v>14</v>
      </c>
      <c r="C1466" s="66">
        <f t="shared" si="2961"/>
        <v>35</v>
      </c>
      <c r="E1466" s="66">
        <f t="shared" ref="E1466" si="3001">plan_id</f>
        <v>1952</v>
      </c>
      <c r="F1466" s="66">
        <f t="shared" ca="1" si="2973"/>
        <v>2011</v>
      </c>
      <c r="G1466" s="66">
        <f t="shared" ref="G1466" ca="1" si="3002">VLOOKUP(INDIRECT(CHAR(39)&amp;$A1466&amp;CHAR(39)&amp;"!r2c"&amp;$C1466,0),variables,2,0)</f>
        <v>10954</v>
      </c>
      <c r="H1466" s="71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2.5000000000000001E-2</v>
      </c>
    </row>
    <row r="1467" spans="1:8" x14ac:dyDescent="0.2">
      <c r="A1467" s="66" t="s">
        <v>1045</v>
      </c>
      <c r="B1467" s="66">
        <f t="shared" si="2934"/>
        <v>14</v>
      </c>
      <c r="C1467" s="66">
        <f t="shared" si="2961"/>
        <v>36</v>
      </c>
      <c r="E1467" s="66">
        <f t="shared" ref="E1467" si="3003">plan_id</f>
        <v>1952</v>
      </c>
      <c r="F1467" s="66">
        <f t="shared" ca="1" si="2973"/>
        <v>2011</v>
      </c>
      <c r="G1467" s="66">
        <f t="shared" ref="G1467" ca="1" si="3004">VLOOKUP(INDIRECT(CHAR(39)&amp;$A1467&amp;CHAR(39)&amp;"!r2c"&amp;$C1467,0),variables,2,0)</f>
        <v>10955</v>
      </c>
      <c r="H1467" s="71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2">
      <c r="A1468" s="66" t="s">
        <v>1045</v>
      </c>
      <c r="B1468" s="66">
        <f t="shared" si="2934"/>
        <v>14</v>
      </c>
      <c r="C1468" s="66">
        <f t="shared" si="2961"/>
        <v>37</v>
      </c>
      <c r="E1468" s="66">
        <f t="shared" ref="E1468" si="3005">plan_id</f>
        <v>1952</v>
      </c>
      <c r="F1468" s="66">
        <f t="shared" ca="1" si="2973"/>
        <v>2011</v>
      </c>
      <c r="G1468" s="66">
        <f t="shared" ref="G1468" ca="1" si="3006">VLOOKUP(INDIRECT(CHAR(39)&amp;$A1468&amp;CHAR(39)&amp;"!r2c"&amp;$C1468,0),variables,2,0)</f>
        <v>10956</v>
      </c>
      <c r="H1468" s="71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0.03</v>
      </c>
    </row>
    <row r="1469" spans="1:8" x14ac:dyDescent="0.2">
      <c r="A1469" s="66" t="s">
        <v>1045</v>
      </c>
      <c r="B1469" s="66">
        <f t="shared" si="2934"/>
        <v>14</v>
      </c>
      <c r="C1469" s="66">
        <f t="shared" si="2961"/>
        <v>38</v>
      </c>
      <c r="E1469" s="66">
        <f t="shared" ref="E1469" si="3007">plan_id</f>
        <v>1952</v>
      </c>
      <c r="F1469" s="66">
        <f t="shared" ca="1" si="2973"/>
        <v>2011</v>
      </c>
      <c r="G1469" s="66">
        <f t="shared" ref="G1469" ca="1" si="3008">VLOOKUP(INDIRECT(CHAR(39)&amp;$A1469&amp;CHAR(39)&amp;"!r2c"&amp;$C1469,0),variables,2,0)</f>
        <v>10959</v>
      </c>
      <c r="H1469" s="71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SE-3.75% to 5.6% &amp; Teach 3.75% to 6.20% &amp; 3.5% - 4.75%</v>
      </c>
    </row>
    <row r="1470" spans="1:8" x14ac:dyDescent="0.2">
      <c r="A1470" s="66" t="s">
        <v>1045</v>
      </c>
      <c r="B1470" s="66">
        <f t="shared" si="2934"/>
        <v>14</v>
      </c>
      <c r="C1470" s="66">
        <f t="shared" si="2961"/>
        <v>39</v>
      </c>
      <c r="E1470" s="66">
        <f t="shared" ref="E1470" si="3009">plan_id</f>
        <v>1952</v>
      </c>
      <c r="F1470" s="66">
        <f t="shared" ca="1" si="2973"/>
        <v>2011</v>
      </c>
      <c r="G1470" s="66">
        <f t="shared" ref="G1470" ca="1" si="3010">VLOOKUP(INDIRECT(CHAR(39)&amp;$A1470&amp;CHAR(39)&amp;"!r2c"&amp;$C1470,0),variables,2,0)</f>
        <v>10962</v>
      </c>
      <c r="H1470" s="71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Pg.57,58 &amp; 64</v>
      </c>
    </row>
    <row r="1471" spans="1:8" x14ac:dyDescent="0.2">
      <c r="A1471" s="66" t="s">
        <v>1045</v>
      </c>
      <c r="B1471" s="66">
        <f t="shared" si="2934"/>
        <v>14</v>
      </c>
      <c r="C1471" s="66">
        <f t="shared" si="2961"/>
        <v>40</v>
      </c>
      <c r="E1471" s="66">
        <f t="shared" ref="E1471" si="3011">plan_id</f>
        <v>1952</v>
      </c>
      <c r="F1471" s="66">
        <f t="shared" ca="1" si="2973"/>
        <v>2011</v>
      </c>
      <c r="G1471" s="66">
        <f t="shared" ref="G1471" ca="1" si="3012">VLOOKUP(INDIRECT(CHAR(39)&amp;$A1471&amp;CHAR(39)&amp;"!r2c"&amp;$C1471,0),variables,2,0)</f>
        <v>10964</v>
      </c>
      <c r="H1471" s="71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Pg.54,55 &amp; 61,62</v>
      </c>
    </row>
    <row r="1472" spans="1:8" x14ac:dyDescent="0.2">
      <c r="A1472" s="66" t="s">
        <v>1045</v>
      </c>
      <c r="B1472" s="66">
        <f t="shared" si="2934"/>
        <v>14</v>
      </c>
      <c r="C1472" s="66">
        <f t="shared" si="2961"/>
        <v>41</v>
      </c>
      <c r="E1472" s="66">
        <f t="shared" ref="E1472" si="3013">plan_id</f>
        <v>1952</v>
      </c>
      <c r="F1472" s="66">
        <f t="shared" ca="1" si="2973"/>
        <v>2011</v>
      </c>
      <c r="G1472" s="66">
        <f t="shared" ref="G1472" ca="1" si="3014">VLOOKUP(INDIRECT(CHAR(39)&amp;$A1472&amp;CHAR(39)&amp;"!r2c"&amp;$C1472,0),variables,2,0)</f>
        <v>10967</v>
      </c>
      <c r="H1472" s="71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1994 Group Annuity Mortality Table</v>
      </c>
    </row>
    <row r="1473" spans="1:8" x14ac:dyDescent="0.2">
      <c r="A1473" s="66" t="s">
        <v>1045</v>
      </c>
      <c r="B1473" s="66">
        <f t="shared" si="2934"/>
        <v>14</v>
      </c>
      <c r="C1473" s="66">
        <f t="shared" si="2961"/>
        <v>42</v>
      </c>
      <c r="E1473" s="66">
        <f t="shared" ref="E1473" si="3015">plan_id</f>
        <v>1952</v>
      </c>
      <c r="F1473" s="66">
        <f t="shared" ca="1" si="2973"/>
        <v>2011</v>
      </c>
      <c r="G1473" s="66">
        <f t="shared" ref="G1473" ca="1" si="3016">VLOOKUP(INDIRECT(CHAR(39)&amp;$A1473&amp;CHAR(39)&amp;"!r2c"&amp;$C1473,0),variables,2,0)</f>
        <v>10968</v>
      </c>
      <c r="H1473" s="71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2">
      <c r="A1474" s="66" t="s">
        <v>1045</v>
      </c>
      <c r="B1474" s="66">
        <f t="shared" si="2934"/>
        <v>14</v>
      </c>
      <c r="C1474" s="66">
        <f t="shared" si="2961"/>
        <v>43</v>
      </c>
      <c r="E1474" s="66">
        <f t="shared" ref="E1474" si="3017">plan_id</f>
        <v>1952</v>
      </c>
      <c r="F1474" s="66">
        <f t="shared" ca="1" si="2973"/>
        <v>2011</v>
      </c>
      <c r="G1474" s="66">
        <f t="shared" ref="G1474" ca="1" si="3018">VLOOKUP(INDIRECT(CHAR(39)&amp;$A1474&amp;CHAR(39)&amp;"!r2c"&amp;$C1474,0),variables,2,0)</f>
        <v>10969</v>
      </c>
      <c r="H1474" s="71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66" t="s">
        <v>1045</v>
      </c>
      <c r="B1475" s="66">
        <f t="shared" si="2934"/>
        <v>14</v>
      </c>
      <c r="C1475" s="66">
        <f t="shared" si="2961"/>
        <v>44</v>
      </c>
      <c r="E1475" s="66">
        <f t="shared" ref="E1475" si="3019">plan_id</f>
        <v>1952</v>
      </c>
      <c r="F1475" s="66">
        <f t="shared" ca="1" si="2973"/>
        <v>2011</v>
      </c>
      <c r="G1475" s="66">
        <f t="shared" ref="G1475" ca="1" si="3020">VLOOKUP(INDIRECT(CHAR(39)&amp;$A1475&amp;CHAR(39)&amp;"!r2c"&amp;$C1475,0),variables,2,0)</f>
        <v>10970</v>
      </c>
      <c r="H1475" s="71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State: Males &amp; Females: 1 Year; Teachers: Pre- 1 Year; Post- 3 Years</v>
      </c>
    </row>
    <row r="1476" spans="1:8" x14ac:dyDescent="0.2">
      <c r="A1476" s="66" t="s">
        <v>1045</v>
      </c>
      <c r="B1476" s="66">
        <f t="shared" si="2934"/>
        <v>14</v>
      </c>
      <c r="C1476" s="66">
        <f t="shared" si="2961"/>
        <v>45</v>
      </c>
      <c r="E1476" s="66">
        <f t="shared" ref="E1476" si="3021">plan_id</f>
        <v>1952</v>
      </c>
      <c r="F1476" s="66">
        <f t="shared" ca="1" si="2973"/>
        <v>2011</v>
      </c>
      <c r="G1476" s="66">
        <f t="shared" ref="G1476" ca="1" si="3022">VLOOKUP(INDIRECT(CHAR(39)&amp;$A1476&amp;CHAR(39)&amp;"!r2c"&amp;$C1476,0),variables,2,0)</f>
        <v>10971</v>
      </c>
      <c r="H1476" s="71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66" t="s">
        <v>1045</v>
      </c>
      <c r="B1477" s="66">
        <f t="shared" si="2934"/>
        <v>14</v>
      </c>
      <c r="C1477" s="66">
        <f t="shared" si="2961"/>
        <v>46</v>
      </c>
      <c r="E1477" s="66">
        <f t="shared" ref="E1477" si="3023">plan_id</f>
        <v>1952</v>
      </c>
      <c r="F1477" s="66">
        <f t="shared" ca="1" si="2973"/>
        <v>2011</v>
      </c>
      <c r="G1477" s="66">
        <f t="shared" ref="G1477" ca="1" si="3024">VLOOKUP(INDIRECT(CHAR(39)&amp;$A1477&amp;CHAR(39)&amp;"!r2c"&amp;$C1477,0),variables,2,0)</f>
        <v>10972</v>
      </c>
      <c r="H1477" s="71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 open</v>
      </c>
    </row>
    <row r="1478" spans="1:8" x14ac:dyDescent="0.2">
      <c r="A1478" s="66" t="s">
        <v>1045</v>
      </c>
      <c r="B1478" s="66">
        <f t="shared" si="2934"/>
        <v>14</v>
      </c>
      <c r="C1478" s="66">
        <f t="shared" si="2961"/>
        <v>47</v>
      </c>
      <c r="E1478" s="66">
        <f t="shared" ref="E1478" si="3025">plan_id</f>
        <v>1952</v>
      </c>
      <c r="F1478" s="66">
        <f t="shared" ca="1" si="2973"/>
        <v>2011</v>
      </c>
      <c r="G1478" s="66">
        <f t="shared" ref="G1478" ca="1" si="3026">VLOOKUP(INDIRECT(CHAR(39)&amp;$A1478&amp;CHAR(39)&amp;"!r2c"&amp;$C1478,0),variables,2,0)</f>
        <v>10973</v>
      </c>
      <c r="H1478" s="71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10 &amp; 30 Years</v>
      </c>
    </row>
    <row r="1479" spans="1:8" x14ac:dyDescent="0.2">
      <c r="A1479" s="66" t="s">
        <v>1045</v>
      </c>
      <c r="B1479" s="66">
        <f t="shared" si="2934"/>
        <v>14</v>
      </c>
      <c r="C1479" s="66">
        <f t="shared" si="2961"/>
        <v>48</v>
      </c>
      <c r="E1479" s="66">
        <f t="shared" ref="E1479" si="3027">plan_id</f>
        <v>1952</v>
      </c>
      <c r="F1479" s="66">
        <f t="shared" ca="1" si="2973"/>
        <v>2011</v>
      </c>
      <c r="G1479" s="66">
        <f t="shared" ref="G1479" ca="1" si="3028">VLOOKUP(INDIRECT(CHAR(39)&amp;$A1479&amp;CHAR(39)&amp;"!r2c"&amp;$C1479,0),variables,2,0)</f>
        <v>10975</v>
      </c>
      <c r="H1479" s="71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2">
      <c r="A1480" s="66" t="s">
        <v>1045</v>
      </c>
      <c r="B1480" s="66">
        <f t="shared" si="2934"/>
        <v>14</v>
      </c>
      <c r="C1480" s="66">
        <f t="shared" si="2961"/>
        <v>49</v>
      </c>
      <c r="E1480" s="66">
        <f t="shared" ref="E1480" si="3029">plan_id</f>
        <v>1952</v>
      </c>
      <c r="F1480" s="66">
        <f t="shared" ca="1" si="2973"/>
        <v>2011</v>
      </c>
      <c r="G1480" s="66">
        <f t="shared" ref="G1480" ca="1" si="3030">VLOOKUP(INDIRECT(CHAR(39)&amp;$A1480&amp;CHAR(39)&amp;"!r2c"&amp;$C1480,0),variables,2,0)</f>
        <v>10976</v>
      </c>
      <c r="H1480" s="71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2">
      <c r="A1481" s="66" t="s">
        <v>1045</v>
      </c>
      <c r="B1481" s="66">
        <f t="shared" si="2934"/>
        <v>14</v>
      </c>
      <c r="C1481" s="66">
        <f t="shared" si="2961"/>
        <v>50</v>
      </c>
      <c r="E1481" s="66">
        <f t="shared" ref="E1481" si="3031">plan_id</f>
        <v>1952</v>
      </c>
      <c r="F1481" s="66">
        <f t="shared" ca="1" si="2973"/>
        <v>2011</v>
      </c>
      <c r="G1481" s="66">
        <f t="shared" ref="G1481" ca="1" si="3032">VLOOKUP(INDIRECT(CHAR(39)&amp;$A1481&amp;CHAR(39)&amp;"!r2c"&amp;$C1481,0),variables,2,0)</f>
        <v>10977</v>
      </c>
      <c r="H1481" s="71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66" t="s">
        <v>1045</v>
      </c>
      <c r="B1482" s="66">
        <f t="shared" si="2934"/>
        <v>14</v>
      </c>
      <c r="C1482" s="66">
        <f t="shared" si="2961"/>
        <v>51</v>
      </c>
      <c r="E1482" s="66">
        <f t="shared" ref="E1482" si="3033">plan_id</f>
        <v>1952</v>
      </c>
      <c r="F1482" s="66">
        <f t="shared" ca="1" si="2973"/>
        <v>2011</v>
      </c>
      <c r="G1482" s="66">
        <f t="shared" ref="G1482" ca="1" si="3034">VLOOKUP(INDIRECT(CHAR(39)&amp;$A1482&amp;CHAR(39)&amp;"!r2c"&amp;$C1482,0),variables,2,0)</f>
        <v>10978</v>
      </c>
      <c r="H1482" s="71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2">
      <c r="A1483" s="66" t="s">
        <v>1045</v>
      </c>
      <c r="B1483" s="66">
        <f t="shared" si="2934"/>
        <v>14</v>
      </c>
      <c r="C1483" s="66">
        <f t="shared" si="2961"/>
        <v>52</v>
      </c>
      <c r="E1483" s="66">
        <f t="shared" ref="E1483" si="3035">plan_id</f>
        <v>1952</v>
      </c>
      <c r="F1483" s="66">
        <f t="shared" ca="1" si="2973"/>
        <v>2011</v>
      </c>
      <c r="G1483" s="66">
        <f t="shared" ref="G1483" ca="1" si="3036">VLOOKUP(INDIRECT(CHAR(39)&amp;$A1483&amp;CHAR(39)&amp;"!r2c"&amp;$C1483,0),variables,2,0)</f>
        <v>10979</v>
      </c>
      <c r="H1483" s="71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2">
      <c r="A1484" s="66" t="s">
        <v>1045</v>
      </c>
      <c r="B1484" s="66">
        <f t="shared" si="2934"/>
        <v>14</v>
      </c>
      <c r="C1484" s="66">
        <f t="shared" si="2961"/>
        <v>53</v>
      </c>
      <c r="E1484" s="66">
        <f t="shared" ref="E1484" si="3037">plan_id</f>
        <v>1952</v>
      </c>
      <c r="F1484" s="66">
        <f t="shared" ca="1" si="2973"/>
        <v>2011</v>
      </c>
      <c r="G1484" s="66">
        <f t="shared" ref="G1484" ca="1" si="3038">VLOOKUP(INDIRECT(CHAR(39)&amp;$A1484&amp;CHAR(39)&amp;"!r2c"&amp;$C1484,0),variables,2,0)</f>
        <v>10980</v>
      </c>
      <c r="H1484" s="71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2">
      <c r="A1485" s="66" t="s">
        <v>1045</v>
      </c>
      <c r="B1485" s="66">
        <f t="shared" si="2934"/>
        <v>14</v>
      </c>
      <c r="C1485" s="66">
        <f t="shared" si="2961"/>
        <v>54</v>
      </c>
      <c r="E1485" s="66">
        <f t="shared" ref="E1485" si="3039">plan_id</f>
        <v>1952</v>
      </c>
      <c r="F1485" s="66">
        <f t="shared" ca="1" si="2973"/>
        <v>2011</v>
      </c>
      <c r="G1485" s="66">
        <f t="shared" ref="G1485" ca="1" si="3040">VLOOKUP(INDIRECT(CHAR(39)&amp;$A1485&amp;CHAR(39)&amp;"!r2c"&amp;$C1485,0),variables,2,0)</f>
        <v>10981</v>
      </c>
      <c r="H1485" s="71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2">
      <c r="A1486" s="66" t="s">
        <v>1045</v>
      </c>
      <c r="B1486" s="66">
        <f t="shared" si="2934"/>
        <v>14</v>
      </c>
      <c r="C1486" s="66">
        <f t="shared" si="2961"/>
        <v>55</v>
      </c>
      <c r="E1486" s="66">
        <f t="shared" ref="E1486" si="3041">plan_id</f>
        <v>1952</v>
      </c>
      <c r="F1486" s="66">
        <f t="shared" ca="1" si="2973"/>
        <v>2011</v>
      </c>
      <c r="G1486" s="66">
        <f t="shared" ref="G1486" ca="1" si="3042">VLOOKUP(INDIRECT(CHAR(39)&amp;$A1486&amp;CHAR(39)&amp;"!r2c"&amp;$C1486,0),variables,2,0)</f>
        <v>10706</v>
      </c>
      <c r="H1486" s="71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7.9135598470641817E-4</v>
      </c>
    </row>
    <row r="1487" spans="1:8" x14ac:dyDescent="0.2">
      <c r="A1487" s="66" t="s">
        <v>1045</v>
      </c>
      <c r="B1487" s="66">
        <f t="shared" si="2934"/>
        <v>14</v>
      </c>
      <c r="C1487" s="66">
        <f t="shared" si="2961"/>
        <v>56</v>
      </c>
      <c r="E1487" s="66">
        <f t="shared" ref="E1487" si="3043">plan_id</f>
        <v>1952</v>
      </c>
      <c r="F1487" s="66">
        <f t="shared" ca="1" si="2973"/>
        <v>2011</v>
      </c>
      <c r="G1487" s="66">
        <f t="shared" ref="G1487" ca="1" si="3044">VLOOKUP(INDIRECT(CHAR(39)&amp;$A1487&amp;CHAR(39)&amp;"!r2c"&amp;$C1487,0),variables,2,0)</f>
        <v>10983</v>
      </c>
      <c r="H1487" s="71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66" t="s">
        <v>1045</v>
      </c>
      <c r="B1488" s="66">
        <f t="shared" si="2934"/>
        <v>14</v>
      </c>
      <c r="C1488" s="66">
        <f t="shared" si="2961"/>
        <v>57</v>
      </c>
      <c r="E1488" s="66">
        <f t="shared" ref="E1488" si="3045">plan_id</f>
        <v>1952</v>
      </c>
      <c r="F1488" s="66">
        <f t="shared" ca="1" si="2973"/>
        <v>2011</v>
      </c>
      <c r="G1488" s="66">
        <f t="shared" ref="G1488" ca="1" si="3046">VLOOKUP(INDIRECT(CHAR(39)&amp;$A1488&amp;CHAR(39)&amp;"!r2c"&amp;$C1488,0),variables,2,0)</f>
        <v>10989</v>
      </c>
      <c r="H1488" s="7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39572399000</v>
      </c>
    </row>
    <row r="1489" spans="1:8" x14ac:dyDescent="0.2">
      <c r="A1489" s="66" t="s">
        <v>1045</v>
      </c>
      <c r="B1489" s="66">
        <f t="shared" si="2934"/>
        <v>14</v>
      </c>
      <c r="C1489" s="66">
        <f t="shared" si="2961"/>
        <v>58</v>
      </c>
      <c r="E1489" s="66">
        <f t="shared" ref="E1489" si="3047">plan_id</f>
        <v>1952</v>
      </c>
      <c r="F1489" s="66">
        <f t="shared" ca="1" si="2973"/>
        <v>2011</v>
      </c>
      <c r="G1489" s="66">
        <f t="shared" ref="G1489" ca="1" si="3048">VLOOKUP(INDIRECT(CHAR(39)&amp;$A1489&amp;CHAR(39)&amp;"!r2c"&amp;$C1489,0),variables,2,0)</f>
        <v>10990</v>
      </c>
      <c r="H1489" s="7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58179690000</v>
      </c>
    </row>
    <row r="1490" spans="1:8" x14ac:dyDescent="0.2">
      <c r="A1490" s="66" t="s">
        <v>1045</v>
      </c>
      <c r="B1490" s="66">
        <f t="shared" si="2934"/>
        <v>14</v>
      </c>
      <c r="C1490" s="66">
        <f t="shared" si="2961"/>
        <v>59</v>
      </c>
      <c r="E1490" s="66">
        <f t="shared" ref="E1490" si="3049">plan_id</f>
        <v>1952</v>
      </c>
      <c r="F1490" s="66">
        <f t="shared" ca="1" si="2973"/>
        <v>2011</v>
      </c>
      <c r="G1490" s="66">
        <f t="shared" ref="G1490" ca="1" si="3050">VLOOKUP(INDIRECT(CHAR(39)&amp;$A1490&amp;CHAR(39)&amp;"!r2c"&amp;$C1490,0),variables,2,0)</f>
        <v>10991</v>
      </c>
      <c r="H1490" s="7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18607291000</v>
      </c>
    </row>
    <row r="1491" spans="1:8" x14ac:dyDescent="0.2">
      <c r="A1491" s="66" t="s">
        <v>1045</v>
      </c>
      <c r="B1491" s="66">
        <f t="shared" si="2934"/>
        <v>14</v>
      </c>
      <c r="C1491" s="66">
        <f t="shared" si="2961"/>
        <v>60</v>
      </c>
      <c r="E1491" s="66">
        <f t="shared" ref="E1491" si="3051">plan_id</f>
        <v>1952</v>
      </c>
      <c r="F1491" s="66">
        <f t="shared" ca="1" si="2973"/>
        <v>2011</v>
      </c>
      <c r="G1491" s="66">
        <f t="shared" ref="G1491" ca="1" si="3052">VLOOKUP(INDIRECT(CHAR(39)&amp;$A1491&amp;CHAR(39)&amp;"!r2c"&amp;$C1491,0),variables,2,0)</f>
        <v>10992</v>
      </c>
      <c r="H1491" s="71" t="str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State Employees: 70.6%; Teachers: 66.6%</v>
      </c>
    </row>
    <row r="1492" spans="1:8" x14ac:dyDescent="0.2">
      <c r="A1492" s="66" t="s">
        <v>1045</v>
      </c>
      <c r="B1492" s="66">
        <f t="shared" si="2934"/>
        <v>14</v>
      </c>
      <c r="C1492" s="66">
        <f t="shared" si="2961"/>
        <v>61</v>
      </c>
      <c r="E1492" s="66">
        <f t="shared" ref="E1492" si="3053">plan_id</f>
        <v>1952</v>
      </c>
      <c r="F1492" s="66">
        <f t="shared" ca="1" si="2973"/>
        <v>2011</v>
      </c>
      <c r="G1492" s="66">
        <f t="shared" ref="G1492" ca="1" si="3054">VLOOKUP(INDIRECT(CHAR(39)&amp;$A1492&amp;CHAR(39)&amp;"!r2c"&amp;$C1492,0),variables,2,0)</f>
        <v>10993</v>
      </c>
      <c r="H1492" s="71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10608389000</v>
      </c>
    </row>
    <row r="1493" spans="1:8" x14ac:dyDescent="0.2">
      <c r="A1493" s="66" t="s">
        <v>1045</v>
      </c>
      <c r="B1493" s="66">
        <f t="shared" si="2934"/>
        <v>14</v>
      </c>
      <c r="C1493" s="66">
        <f t="shared" si="2961"/>
        <v>62</v>
      </c>
      <c r="E1493" s="66">
        <f t="shared" ref="E1493" si="3055">plan_id</f>
        <v>1952</v>
      </c>
      <c r="F1493" s="66">
        <f t="shared" ca="1" si="2973"/>
        <v>2011</v>
      </c>
      <c r="G1493" s="66">
        <f t="shared" ref="G1493" ca="1" si="3056">VLOOKUP(INDIRECT(CHAR(39)&amp;$A1493&amp;CHAR(39)&amp;"!r2c"&amp;$C1493,0),variables,2,0)</f>
        <v>10801</v>
      </c>
      <c r="H1493" s="71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2058500000</v>
      </c>
    </row>
    <row r="1494" spans="1:8" x14ac:dyDescent="0.2">
      <c r="A1494" s="66" t="s">
        <v>1045</v>
      </c>
      <c r="B1494" s="66">
        <f t="shared" si="2934"/>
        <v>14</v>
      </c>
      <c r="C1494" s="66">
        <f t="shared" si="2961"/>
        <v>63</v>
      </c>
      <c r="E1494" s="66">
        <f t="shared" ref="E1494" si="3057">plan_id</f>
        <v>1952</v>
      </c>
      <c r="F1494" s="66">
        <f t="shared" ca="1" si="2973"/>
        <v>2011</v>
      </c>
      <c r="G1494" s="66">
        <f t="shared" ref="G1494" ca="1" si="3058">VLOOKUP(INDIRECT(CHAR(39)&amp;$A1494&amp;CHAR(39)&amp;"!r2c"&amp;$C1494,0),variables,2,0)</f>
        <v>10802</v>
      </c>
      <c r="H1494" s="7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-175799999.99999997</v>
      </c>
    </row>
    <row r="1495" spans="1:8" x14ac:dyDescent="0.2">
      <c r="A1495" s="66" t="s">
        <v>1045</v>
      </c>
      <c r="B1495" s="66">
        <f t="shared" si="2934"/>
        <v>14</v>
      </c>
      <c r="C1495" s="66">
        <f t="shared" si="2961"/>
        <v>64</v>
      </c>
      <c r="E1495" s="66">
        <f t="shared" ref="E1495" si="3059">plan_id</f>
        <v>1952</v>
      </c>
      <c r="F1495" s="66">
        <f t="shared" ca="1" si="2973"/>
        <v>2011</v>
      </c>
      <c r="G1495" s="66">
        <f t="shared" ref="G1495" ca="1" si="3060">VLOOKUP(INDIRECT(CHAR(39)&amp;$A1495&amp;CHAR(39)&amp;"!r2c"&amp;$C1495,0),variables,2,0)</f>
        <v>10803</v>
      </c>
      <c r="H1495" s="71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66" t="s">
        <v>1045</v>
      </c>
      <c r="B1496" s="66">
        <f t="shared" si="2934"/>
        <v>14</v>
      </c>
      <c r="C1496" s="66">
        <f t="shared" si="2961"/>
        <v>65</v>
      </c>
      <c r="E1496" s="66">
        <f t="shared" ref="E1496" si="3061">plan_id</f>
        <v>1952</v>
      </c>
      <c r="F1496" s="66">
        <f t="shared" ca="1" si="2973"/>
        <v>2011</v>
      </c>
      <c r="G1496" s="66">
        <f t="shared" ref="G1496" ca="1" si="3062">VLOOKUP(INDIRECT(CHAR(39)&amp;$A1496&amp;CHAR(39)&amp;"!r2c"&amp;$C1496,0),variables,2,0)</f>
        <v>10804</v>
      </c>
      <c r="H1496" s="7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66" t="s">
        <v>1045</v>
      </c>
      <c r="B1497" s="66">
        <f t="shared" si="2934"/>
        <v>14</v>
      </c>
      <c r="C1497" s="66">
        <f t="shared" si="2961"/>
        <v>66</v>
      </c>
      <c r="E1497" s="66">
        <f t="shared" ref="E1497" si="3063">plan_id</f>
        <v>1952</v>
      </c>
      <c r="F1497" s="66">
        <f t="shared" ca="1" si="2973"/>
        <v>2011</v>
      </c>
      <c r="G1497" s="66">
        <f t="shared" ref="G1497" ca="1" si="3064">VLOOKUP(INDIRECT(CHAR(39)&amp;$A1497&amp;CHAR(39)&amp;"!r2c"&amp;$C1497,0),variables,2,0)</f>
        <v>10805</v>
      </c>
      <c r="H1497" s="7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66" t="s">
        <v>1045</v>
      </c>
      <c r="B1498" s="66">
        <f t="shared" ref="B1498" si="3065">B1433+1</f>
        <v>14</v>
      </c>
      <c r="C1498" s="66">
        <f t="shared" si="2961"/>
        <v>67</v>
      </c>
      <c r="E1498" s="66">
        <f t="shared" ref="E1498" si="3066">plan_id</f>
        <v>1952</v>
      </c>
      <c r="F1498" s="66">
        <f t="shared" ca="1" si="2973"/>
        <v>2011</v>
      </c>
      <c r="G1498" s="66">
        <f t="shared" ref="G1498" ca="1" si="3067">VLOOKUP(INDIRECT(CHAR(39)&amp;$A1498&amp;CHAR(39)&amp;"!r2c"&amp;$C1498,0),variables,2,0)</f>
        <v>10806</v>
      </c>
      <c r="H1498" s="7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4099999.9999999995</v>
      </c>
    </row>
    <row r="1499" spans="1:8" x14ac:dyDescent="0.2">
      <c r="A1499" s="66" t="s">
        <v>1045</v>
      </c>
      <c r="B1499" s="66">
        <f>B1498</f>
        <v>14</v>
      </c>
      <c r="C1499" s="66">
        <f t="shared" si="2961"/>
        <v>68</v>
      </c>
      <c r="E1499" s="66">
        <f t="shared" ref="E1499" si="3068">plan_id</f>
        <v>1952</v>
      </c>
      <c r="F1499" s="66">
        <f t="shared" ca="1" si="2973"/>
        <v>2011</v>
      </c>
      <c r="G1499" s="66">
        <f t="shared" ref="G1499" ca="1" si="3069">VLOOKUP(INDIRECT(CHAR(39)&amp;$A1499&amp;CHAR(39)&amp;"!r2c"&amp;$C1499,0),variables,2,0)</f>
        <v>10807</v>
      </c>
      <c r="H1499" s="7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66" t="s">
        <v>1045</v>
      </c>
      <c r="B1500" s="66">
        <f t="shared" ref="B1500:B1524" si="3070">B1499</f>
        <v>14</v>
      </c>
      <c r="C1500" s="66">
        <f t="shared" si="2961"/>
        <v>69</v>
      </c>
      <c r="E1500" s="66">
        <f t="shared" ref="E1500" si="3071">plan_id</f>
        <v>1952</v>
      </c>
      <c r="F1500" s="66">
        <f t="shared" ca="1" si="2973"/>
        <v>2011</v>
      </c>
      <c r="G1500" s="66">
        <f t="shared" ref="G1500" ca="1" si="3072">VLOOKUP(INDIRECT(CHAR(39)&amp;$A1500&amp;CHAR(39)&amp;"!r2c"&amp;$C1500,0),variables,2,0)</f>
        <v>10808</v>
      </c>
      <c r="H1500" s="7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66" t="s">
        <v>1045</v>
      </c>
      <c r="B1501" s="66">
        <f t="shared" si="3070"/>
        <v>14</v>
      </c>
      <c r="C1501" s="66">
        <f t="shared" si="2961"/>
        <v>70</v>
      </c>
      <c r="E1501" s="66">
        <f t="shared" ref="E1501" si="3073">plan_id</f>
        <v>1952</v>
      </c>
      <c r="F1501" s="66">
        <f t="shared" ca="1" si="2973"/>
        <v>2011</v>
      </c>
      <c r="G1501" s="66">
        <f t="shared" ref="G1501" ca="1" si="3074">VLOOKUP(INDIRECT(CHAR(39)&amp;$A1501&amp;CHAR(39)&amp;"!r2c"&amp;$C1501,0),variables,2,0)</f>
        <v>10809</v>
      </c>
      <c r="H1501" s="7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66" t="s">
        <v>1045</v>
      </c>
      <c r="B1502" s="66">
        <f t="shared" si="3070"/>
        <v>14</v>
      </c>
      <c r="C1502" s="66">
        <f t="shared" si="2961"/>
        <v>71</v>
      </c>
      <c r="E1502" s="66">
        <f t="shared" ref="E1502" si="3075">plan_id</f>
        <v>1952</v>
      </c>
      <c r="F1502" s="66">
        <f t="shared" ca="1" si="2973"/>
        <v>2011</v>
      </c>
      <c r="G1502" s="66">
        <f t="shared" ref="G1502" ca="1" si="3076">VLOOKUP(INDIRECT(CHAR(39)&amp;$A1502&amp;CHAR(39)&amp;"!r2c"&amp;$C1502,0),variables,2,0)</f>
        <v>10810</v>
      </c>
      <c r="H1502" s="71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-1900000.0000000021</v>
      </c>
    </row>
    <row r="1503" spans="1:8" x14ac:dyDescent="0.2">
      <c r="A1503" s="66" t="s">
        <v>1045</v>
      </c>
      <c r="B1503" s="66">
        <f t="shared" si="3070"/>
        <v>14</v>
      </c>
      <c r="C1503" s="66">
        <f t="shared" si="2961"/>
        <v>72</v>
      </c>
      <c r="E1503" s="66">
        <f t="shared" ref="E1503" si="3077">plan_id</f>
        <v>1952</v>
      </c>
      <c r="F1503" s="66">
        <f t="shared" ca="1" si="2973"/>
        <v>2011</v>
      </c>
      <c r="G1503" s="66">
        <f t="shared" ref="G1503" ca="1" si="3078">VLOOKUP(INDIRECT(CHAR(39)&amp;$A1503&amp;CHAR(39)&amp;"!r2c"&amp;$C1503,0),variables,2,0)</f>
        <v>10811</v>
      </c>
      <c r="H1503" s="7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66" t="s">
        <v>1045</v>
      </c>
      <c r="B1504" s="66">
        <f t="shared" si="3070"/>
        <v>14</v>
      </c>
      <c r="C1504" s="66">
        <f t="shared" si="2961"/>
        <v>73</v>
      </c>
      <c r="E1504" s="66">
        <f t="shared" ref="E1504" si="3079">plan_id</f>
        <v>1952</v>
      </c>
      <c r="F1504" s="66">
        <f t="shared" ca="1" si="2973"/>
        <v>2011</v>
      </c>
      <c r="G1504" s="66">
        <f t="shared" ref="G1504" ca="1" si="3080">VLOOKUP(INDIRECT(CHAR(39)&amp;$A1504&amp;CHAR(39)&amp;"!r2c"&amp;$C1504,0),variables,2,0)</f>
        <v>10812</v>
      </c>
      <c r="H1504" s="7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66" t="s">
        <v>1045</v>
      </c>
      <c r="B1505" s="66">
        <f t="shared" si="3070"/>
        <v>14</v>
      </c>
      <c r="C1505" s="66">
        <f t="shared" si="2961"/>
        <v>74</v>
      </c>
      <c r="E1505" s="66">
        <f t="shared" ref="E1505" si="3081">plan_id</f>
        <v>1952</v>
      </c>
      <c r="F1505" s="66">
        <f t="shared" ca="1" si="2973"/>
        <v>2011</v>
      </c>
      <c r="G1505" s="66">
        <f t="shared" ref="G1505" ca="1" si="3082">VLOOKUP(INDIRECT(CHAR(39)&amp;$A1505&amp;CHAR(39)&amp;"!r2c"&amp;$C1505,0),variables,2,0)</f>
        <v>10813</v>
      </c>
      <c r="H1505" s="71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66" t="s">
        <v>1045</v>
      </c>
      <c r="B1506" s="66">
        <f t="shared" si="3070"/>
        <v>14</v>
      </c>
      <c r="C1506" s="66">
        <f t="shared" si="2961"/>
        <v>75</v>
      </c>
      <c r="E1506" s="66">
        <f t="shared" ref="E1506" si="3083">plan_id</f>
        <v>1952</v>
      </c>
      <c r="F1506" s="66">
        <f t="shared" ca="1" si="2973"/>
        <v>2011</v>
      </c>
      <c r="G1506" s="66">
        <f t="shared" ref="G1506" ca="1" si="3084">VLOOKUP(INDIRECT(CHAR(39)&amp;$A1506&amp;CHAR(39)&amp;"!r2c"&amp;$C1506,0),variables,2,0)</f>
        <v>10814</v>
      </c>
      <c r="H1506" s="71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2899999.9999999995</v>
      </c>
    </row>
    <row r="1507" spans="1:8" x14ac:dyDescent="0.2">
      <c r="A1507" s="66" t="s">
        <v>1045</v>
      </c>
      <c r="B1507" s="66">
        <f t="shared" si="3070"/>
        <v>14</v>
      </c>
      <c r="C1507" s="66">
        <f t="shared" si="2961"/>
        <v>76</v>
      </c>
      <c r="E1507" s="66">
        <f t="shared" ref="E1507" si="3085">plan_id</f>
        <v>1952</v>
      </c>
      <c r="F1507" s="66">
        <f t="shared" ca="1" si="2973"/>
        <v>2011</v>
      </c>
      <c r="G1507" s="66">
        <f t="shared" ref="G1507" ca="1" si="3086">VLOOKUP(INDIRECT(CHAR(39)&amp;$A1507&amp;CHAR(39)&amp;"!r2c"&amp;$C1507,0),variables,2,0)</f>
        <v>10815</v>
      </c>
      <c r="H1507" s="71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227300000</v>
      </c>
    </row>
    <row r="1508" spans="1:8" x14ac:dyDescent="0.2">
      <c r="A1508" s="66" t="s">
        <v>1045</v>
      </c>
      <c r="B1508" s="66">
        <f t="shared" si="3070"/>
        <v>14</v>
      </c>
      <c r="C1508" s="66">
        <f t="shared" si="2961"/>
        <v>77</v>
      </c>
      <c r="E1508" s="66">
        <f t="shared" ref="E1508" si="3087">plan_id</f>
        <v>1952</v>
      </c>
      <c r="F1508" s="66">
        <f t="shared" ca="1" si="2973"/>
        <v>2011</v>
      </c>
      <c r="G1508" s="66">
        <f t="shared" ref="G1508" ca="1" si="3088">VLOOKUP(INDIRECT(CHAR(39)&amp;$A1508&amp;CHAR(39)&amp;"!r2c"&amp;$C1508,0),variables,2,0)</f>
        <v>10816</v>
      </c>
      <c r="H1508" s="7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-806199999.99999988</v>
      </c>
    </row>
    <row r="1509" spans="1:8" x14ac:dyDescent="0.2">
      <c r="A1509" s="66" t="s">
        <v>1045</v>
      </c>
      <c r="B1509" s="66">
        <f t="shared" si="3070"/>
        <v>14</v>
      </c>
      <c r="C1509" s="66">
        <f t="shared" si="2961"/>
        <v>78</v>
      </c>
      <c r="E1509" s="66">
        <f t="shared" ref="E1509" si="3089">plan_id</f>
        <v>1952</v>
      </c>
      <c r="F1509" s="66">
        <f t="shared" ca="1" si="2973"/>
        <v>2011</v>
      </c>
      <c r="G1509" s="66">
        <f t="shared" ref="G1509" ca="1" si="3090">VLOOKUP(INDIRECT(CHAR(39)&amp;$A1509&amp;CHAR(39)&amp;"!r2c"&amp;$C1509,0),variables,2,0)</f>
        <v>10817</v>
      </c>
      <c r="H1509" s="7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66" t="s">
        <v>1045</v>
      </c>
      <c r="B1510" s="66">
        <f t="shared" si="3070"/>
        <v>14</v>
      </c>
      <c r="C1510" s="66">
        <f t="shared" si="2961"/>
        <v>79</v>
      </c>
      <c r="E1510" s="66">
        <f t="shared" ref="E1510" si="3091">plan_id</f>
        <v>1952</v>
      </c>
      <c r="F1510" s="66">
        <f t="shared" ca="1" si="2973"/>
        <v>2011</v>
      </c>
      <c r="G1510" s="66">
        <f t="shared" ref="G1510" ca="1" si="3092">VLOOKUP(INDIRECT(CHAR(39)&amp;$A1510&amp;CHAR(39)&amp;"!r2c"&amp;$C1510,0),variables,2,0)</f>
        <v>10818</v>
      </c>
      <c r="H1510" s="71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46400000.000000007</v>
      </c>
    </row>
    <row r="1511" spans="1:8" x14ac:dyDescent="0.2">
      <c r="A1511" s="66" t="s">
        <v>1045</v>
      </c>
      <c r="B1511" s="66">
        <f t="shared" si="3070"/>
        <v>14</v>
      </c>
      <c r="C1511" s="66">
        <f t="shared" ref="C1511:C1574" si="3093">C1420</f>
        <v>80</v>
      </c>
      <c r="E1511" s="66">
        <f t="shared" ref="E1511" si="3094">plan_id</f>
        <v>1952</v>
      </c>
      <c r="F1511" s="66">
        <f t="shared" ca="1" si="2973"/>
        <v>2011</v>
      </c>
      <c r="G1511" s="66">
        <f t="shared" ref="G1511" ca="1" si="3095">VLOOKUP(INDIRECT(CHAR(39)&amp;$A1511&amp;CHAR(39)&amp;"!r2c"&amp;$C1511,0),variables,2,0)</f>
        <v>10819</v>
      </c>
      <c r="H1511" s="71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66" t="s">
        <v>1045</v>
      </c>
      <c r="B1512" s="66">
        <f t="shared" si="3070"/>
        <v>14</v>
      </c>
      <c r="C1512" s="66">
        <f t="shared" si="3093"/>
        <v>81</v>
      </c>
      <c r="E1512" s="66">
        <f t="shared" ref="E1512" si="3096">plan_id</f>
        <v>1952</v>
      </c>
      <c r="F1512" s="66">
        <f t="shared" ca="1" si="2973"/>
        <v>2011</v>
      </c>
      <c r="G1512" s="66">
        <f t="shared" ref="G1512" ca="1" si="3097">VLOOKUP(INDIRECT(CHAR(39)&amp;$A1512&amp;CHAR(39)&amp;"!r2c"&amp;$C1512,0),variables,2,0)</f>
        <v>10820</v>
      </c>
      <c r="H1512" s="71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-71000000.000000015</v>
      </c>
    </row>
    <row r="1513" spans="1:8" x14ac:dyDescent="0.2">
      <c r="A1513" s="66" t="s">
        <v>1045</v>
      </c>
      <c r="B1513" s="66">
        <f t="shared" si="3070"/>
        <v>14</v>
      </c>
      <c r="C1513" s="66">
        <f t="shared" si="3093"/>
        <v>82</v>
      </c>
      <c r="E1513" s="66">
        <f t="shared" ref="E1513" si="3098">plan_id</f>
        <v>1952</v>
      </c>
      <c r="F1513" s="66">
        <f t="shared" ca="1" si="2973"/>
        <v>2011</v>
      </c>
      <c r="G1513" s="66">
        <f t="shared" ref="G1513" ca="1" si="3099">VLOOKUP(INDIRECT(CHAR(39)&amp;$A1513&amp;CHAR(39)&amp;"!r2c"&amp;$C1513,0),variables,2,0)</f>
        <v>10821</v>
      </c>
      <c r="H1513" s="71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66" t="s">
        <v>1045</v>
      </c>
      <c r="B1514" s="66">
        <f t="shared" si="3070"/>
        <v>14</v>
      </c>
      <c r="C1514" s="66">
        <f t="shared" si="3093"/>
        <v>83</v>
      </c>
      <c r="E1514" s="66">
        <f t="shared" ref="E1514" si="3100">plan_id</f>
        <v>1952</v>
      </c>
      <c r="F1514" s="66">
        <f t="shared" ca="1" si="2973"/>
        <v>2011</v>
      </c>
      <c r="G1514" s="66">
        <f t="shared" ref="G1514" ca="1" si="3101">VLOOKUP(INDIRECT(CHAR(39)&amp;$A1514&amp;CHAR(39)&amp;"!r2c"&amp;$C1514,0),variables,2,0)</f>
        <v>10822</v>
      </c>
      <c r="H1514" s="71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66" t="s">
        <v>1045</v>
      </c>
      <c r="B1515" s="66">
        <f t="shared" si="3070"/>
        <v>14</v>
      </c>
      <c r="C1515" s="66">
        <f t="shared" si="3093"/>
        <v>84</v>
      </c>
      <c r="E1515" s="66">
        <f t="shared" ref="E1515" si="3102">plan_id</f>
        <v>1952</v>
      </c>
      <c r="F1515" s="66">
        <f t="shared" ca="1" si="2973"/>
        <v>2011</v>
      </c>
      <c r="G1515" s="66">
        <f t="shared" ref="G1515" ca="1" si="3103">VLOOKUP(INDIRECT(CHAR(39)&amp;$A1515&amp;CHAR(39)&amp;"!r2c"&amp;$C1515,0),variables,2,0)</f>
        <v>10829</v>
      </c>
      <c r="H1515" s="71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1083251000</v>
      </c>
    </row>
    <row r="1516" spans="1:8" x14ac:dyDescent="0.2">
      <c r="A1516" s="66" t="s">
        <v>1045</v>
      </c>
      <c r="B1516" s="66">
        <f t="shared" si="3070"/>
        <v>14</v>
      </c>
      <c r="C1516" s="66">
        <f t="shared" si="3093"/>
        <v>85</v>
      </c>
      <c r="E1516" s="66">
        <f t="shared" ref="E1516" si="3104">plan_id</f>
        <v>1952</v>
      </c>
      <c r="F1516" s="66">
        <f t="shared" ca="1" si="2973"/>
        <v>2011</v>
      </c>
      <c r="G1516" s="66">
        <f t="shared" ref="G1516" ca="1" si="3105">VLOOKUP(INDIRECT(CHAR(39)&amp;$A1516&amp;CHAR(39)&amp;"!r2c"&amp;$C1516,0),variables,2,0)</f>
        <v>10823</v>
      </c>
      <c r="H1516" s="71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2127793000</v>
      </c>
    </row>
    <row r="1517" spans="1:8" x14ac:dyDescent="0.2">
      <c r="A1517" s="66" t="s">
        <v>1045</v>
      </c>
      <c r="B1517" s="66">
        <f t="shared" si="3070"/>
        <v>14</v>
      </c>
      <c r="C1517" s="66">
        <f t="shared" si="3093"/>
        <v>86</v>
      </c>
      <c r="E1517" s="66">
        <f t="shared" ref="E1517" si="3106">plan_id</f>
        <v>1952</v>
      </c>
      <c r="F1517" s="66">
        <f t="shared" ca="1" si="2973"/>
        <v>2011</v>
      </c>
      <c r="G1517" s="66">
        <f t="shared" ref="G1517" ca="1" si="3107">VLOOKUP(INDIRECT(CHAR(39)&amp;$A1517&amp;CHAR(39)&amp;"!r2c"&amp;$C1517,0),variables,2,0)</f>
        <v>10798</v>
      </c>
      <c r="H1517" s="71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155300000</v>
      </c>
    </row>
    <row r="1518" spans="1:8" x14ac:dyDescent="0.2">
      <c r="A1518" s="66" t="s">
        <v>1045</v>
      </c>
      <c r="B1518" s="66">
        <f t="shared" si="3070"/>
        <v>14</v>
      </c>
      <c r="C1518" s="66">
        <f t="shared" si="3093"/>
        <v>87</v>
      </c>
      <c r="E1518" s="66">
        <f t="shared" ref="E1518" si="3108">plan_id</f>
        <v>1952</v>
      </c>
      <c r="F1518" s="66">
        <f t="shared" ca="1" si="2973"/>
        <v>2011</v>
      </c>
      <c r="G1518" s="66">
        <f t="shared" ref="G1518" ca="1" si="3109">VLOOKUP(INDIRECT(CHAR(39)&amp;$A1518&amp;CHAR(39)&amp;"!r2c"&amp;$C1518,0),variables,2,0)</f>
        <v>10799</v>
      </c>
      <c r="H1518" s="7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-451500000</v>
      </c>
    </row>
    <row r="1519" spans="1:8" x14ac:dyDescent="0.2">
      <c r="A1519" s="66" t="s">
        <v>1045</v>
      </c>
      <c r="B1519" s="66">
        <f t="shared" si="3070"/>
        <v>14</v>
      </c>
      <c r="C1519" s="66">
        <f t="shared" si="3093"/>
        <v>88</v>
      </c>
      <c r="E1519" s="66">
        <f t="shared" ref="E1519" si="3110">plan_id</f>
        <v>1952</v>
      </c>
      <c r="F1519" s="66">
        <f t="shared" ca="1" si="2973"/>
        <v>2011</v>
      </c>
      <c r="G1519" s="66">
        <f t="shared" ref="G1519" ca="1" si="3111">VLOOKUP(INDIRECT(CHAR(39)&amp;$A1519&amp;CHAR(39)&amp;"!r2c"&amp;$C1519,0),variables,2,0)</f>
        <v>10800</v>
      </c>
      <c r="H1519" s="7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66" t="s">
        <v>1045</v>
      </c>
      <c r="B1520" s="66">
        <f t="shared" si="3070"/>
        <v>14</v>
      </c>
      <c r="C1520" s="66">
        <f t="shared" si="3093"/>
        <v>89</v>
      </c>
      <c r="E1520" s="66">
        <f t="shared" ref="E1520" si="3112">plan_id</f>
        <v>1952</v>
      </c>
      <c r="F1520" s="66">
        <f t="shared" ca="1" si="2973"/>
        <v>2011</v>
      </c>
      <c r="G1520" s="66">
        <f t="shared" ref="G1520" ca="1" si="3113">VLOOKUP(INDIRECT(CHAR(39)&amp;$A1520&amp;CHAR(39)&amp;"!r2c"&amp;$C1520,0),variables,2,0)</f>
        <v>10824</v>
      </c>
      <c r="H1520" s="7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66" t="s">
        <v>1045</v>
      </c>
      <c r="B1521" s="66">
        <f t="shared" si="3070"/>
        <v>14</v>
      </c>
      <c r="C1521" s="66">
        <f t="shared" si="3093"/>
        <v>90</v>
      </c>
      <c r="E1521" s="66">
        <f t="shared" ref="E1521" si="3114">plan_id</f>
        <v>1952</v>
      </c>
      <c r="F1521" s="66">
        <f t="shared" ca="1" si="2973"/>
        <v>2011</v>
      </c>
      <c r="G1521" s="66">
        <f t="shared" ref="G1521" ca="1" si="3115">VLOOKUP(INDIRECT(CHAR(39)&amp;$A1521&amp;CHAR(39)&amp;"!r2c"&amp;$C1521,0),variables,2,0)</f>
        <v>10825</v>
      </c>
      <c r="H1521" s="7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66" t="s">
        <v>1045</v>
      </c>
      <c r="B1522" s="66">
        <f t="shared" si="3070"/>
        <v>14</v>
      </c>
      <c r="C1522" s="66">
        <f t="shared" si="3093"/>
        <v>91</v>
      </c>
      <c r="E1522" s="66">
        <f t="shared" ref="E1522" si="3116">plan_id</f>
        <v>1952</v>
      </c>
      <c r="F1522" s="66">
        <f t="shared" ca="1" si="2973"/>
        <v>2011</v>
      </c>
      <c r="G1522" s="66">
        <f t="shared" ref="G1522" ca="1" si="3117">VLOOKUP(INDIRECT(CHAR(39)&amp;$A1522&amp;CHAR(39)&amp;"!r2c"&amp;$C1522,0),variables,2,0)</f>
        <v>10826</v>
      </c>
      <c r="H1522" s="71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1198767000</v>
      </c>
    </row>
    <row r="1523" spans="1:8" x14ac:dyDescent="0.2">
      <c r="A1523" s="66" t="s">
        <v>1045</v>
      </c>
      <c r="B1523" s="66">
        <f t="shared" si="3070"/>
        <v>14</v>
      </c>
      <c r="C1523" s="66">
        <f t="shared" si="3093"/>
        <v>92</v>
      </c>
      <c r="E1523" s="66">
        <f t="shared" ref="E1523" si="3118">plan_id</f>
        <v>1952</v>
      </c>
      <c r="F1523" s="66">
        <f t="shared" ca="1" si="2973"/>
        <v>2011</v>
      </c>
      <c r="G1523" s="66">
        <f t="shared" ref="G1523" ca="1" si="3119">VLOOKUP(INDIRECT(CHAR(39)&amp;$A1523&amp;CHAR(39)&amp;"!r2c"&amp;$C1523,0),variables,2,0)</f>
        <v>10828</v>
      </c>
      <c r="H1523" s="71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66" t="s">
        <v>1045</v>
      </c>
      <c r="B1524" s="66">
        <f t="shared" si="3070"/>
        <v>14</v>
      </c>
      <c r="C1524" s="66">
        <f t="shared" si="3093"/>
        <v>93</v>
      </c>
      <c r="E1524" s="66">
        <f t="shared" ref="E1524" si="3120">plan_id</f>
        <v>1952</v>
      </c>
      <c r="F1524" s="66">
        <f t="shared" ca="1" si="2973"/>
        <v>2011</v>
      </c>
      <c r="G1524" s="66">
        <f t="shared" ref="G1524" ca="1" si="3121">VLOOKUP(INDIRECT(CHAR(39)&amp;$A1524&amp;CHAR(39)&amp;"!r2c"&amp;$C1524,0),variables,2,0)</f>
        <v>10827</v>
      </c>
      <c r="H1524" s="71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1640600000</v>
      </c>
    </row>
    <row r="1525" spans="1:8" x14ac:dyDescent="0.2">
      <c r="A1525" s="66" t="s">
        <v>1045</v>
      </c>
      <c r="B1525" s="66">
        <f t="shared" ref="B1525:B1588" si="3122">B1460+1</f>
        <v>15</v>
      </c>
      <c r="C1525" s="66">
        <f t="shared" si="3093"/>
        <v>3</v>
      </c>
      <c r="E1525" s="66">
        <f t="shared" ref="E1525" si="3123">plan_id</f>
        <v>1952</v>
      </c>
      <c r="F1525" s="66">
        <f t="shared" ca="1" si="2973"/>
        <v>2012</v>
      </c>
      <c r="G1525" s="66">
        <f t="shared" ref="G1525" ca="1" si="3124">VLOOKUP(INDIRECT(CHAR(39)&amp;$A1525&amp;CHAR(39)&amp;"!r2c"&amp;$C1525,0),variables,2,0)</f>
        <v>10703</v>
      </c>
      <c r="H1525" s="71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N/A</v>
      </c>
    </row>
    <row r="1526" spans="1:8" x14ac:dyDescent="0.2">
      <c r="A1526" s="66" t="s">
        <v>1045</v>
      </c>
      <c r="B1526" s="66">
        <f t="shared" si="3122"/>
        <v>15</v>
      </c>
      <c r="C1526" s="66">
        <f t="shared" si="3093"/>
        <v>4</v>
      </c>
      <c r="E1526" s="66">
        <f t="shared" ref="E1526" si="3125">plan_id</f>
        <v>1952</v>
      </c>
      <c r="F1526" s="66">
        <f t="shared" ca="1" si="2973"/>
        <v>2012</v>
      </c>
      <c r="G1526" s="66">
        <f t="shared" ref="G1526" ca="1" si="3126">VLOOKUP(INDIRECT(CHAR(39)&amp;$A1526&amp;CHAR(39)&amp;"!r2c"&amp;$C1526,0),variables,2,0)</f>
        <v>10845</v>
      </c>
      <c r="H1526" s="71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,LLC</v>
      </c>
    </row>
    <row r="1527" spans="1:8" x14ac:dyDescent="0.2">
      <c r="A1527" s="66" t="s">
        <v>1045</v>
      </c>
      <c r="B1527" s="66">
        <f t="shared" si="3122"/>
        <v>15</v>
      </c>
      <c r="C1527" s="66">
        <f t="shared" si="3093"/>
        <v>5</v>
      </c>
      <c r="E1527" s="66">
        <f t="shared" ref="E1527" si="3127">plan_id</f>
        <v>1952</v>
      </c>
      <c r="F1527" s="66">
        <f t="shared" ca="1" si="2973"/>
        <v>2012</v>
      </c>
      <c r="G1527" s="66">
        <f t="shared" ref="G1527" ca="1" si="3128">VLOOKUP(INDIRECT(CHAR(39)&amp;$A1527&amp;CHAR(39)&amp;"!r2c"&amp;$C1527,0),variables,2,0)</f>
        <v>10924</v>
      </c>
      <c r="H1527" s="71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(i)8.41%; (ii)10.6%</v>
      </c>
    </row>
    <row r="1528" spans="1:8" x14ac:dyDescent="0.2">
      <c r="A1528" s="66" t="s">
        <v>1045</v>
      </c>
      <c r="B1528" s="66">
        <f t="shared" si="3122"/>
        <v>15</v>
      </c>
      <c r="C1528" s="66">
        <f t="shared" si="3093"/>
        <v>6</v>
      </c>
      <c r="E1528" s="66">
        <f t="shared" ref="E1528" si="3129">plan_id</f>
        <v>1952</v>
      </c>
      <c r="F1528" s="66">
        <f t="shared" ca="1" si="2973"/>
        <v>2012</v>
      </c>
      <c r="G1528" s="66">
        <f t="shared" ref="G1528" ca="1" si="3130">VLOOKUP(INDIRECT(CHAR(39)&amp;$A1528&amp;CHAR(39)&amp;"!r2c"&amp;$C1528,0),variables,2,0)</f>
        <v>10925</v>
      </c>
      <c r="H1528" s="71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(i)3.41%; (ii)5.6%</v>
      </c>
    </row>
    <row r="1529" spans="1:8" x14ac:dyDescent="0.2">
      <c r="A1529" s="66" t="s">
        <v>1045</v>
      </c>
      <c r="B1529" s="66">
        <f t="shared" si="3122"/>
        <v>15</v>
      </c>
      <c r="C1529" s="66">
        <f t="shared" si="3093"/>
        <v>7</v>
      </c>
      <c r="E1529" s="66">
        <f t="shared" ref="E1529" si="3131">plan_id</f>
        <v>1952</v>
      </c>
      <c r="F1529" s="66">
        <f t="shared" ca="1" si="2973"/>
        <v>2012</v>
      </c>
      <c r="G1529" s="66">
        <f t="shared" ref="G1529" ca="1" si="3132">VLOOKUP(INDIRECT(CHAR(39)&amp;$A1529&amp;CHAR(39)&amp;"!r2c"&amp;$C1529,0),variables,2,0)</f>
        <v>10926</v>
      </c>
      <c r="H1529" s="71" t="str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(i)5%; (ii)5%</v>
      </c>
    </row>
    <row r="1530" spans="1:8" x14ac:dyDescent="0.2">
      <c r="A1530" s="66" t="s">
        <v>1045</v>
      </c>
      <c r="B1530" s="66">
        <f t="shared" si="3122"/>
        <v>15</v>
      </c>
      <c r="C1530" s="66">
        <f t="shared" si="3093"/>
        <v>8</v>
      </c>
      <c r="E1530" s="66">
        <f t="shared" ref="E1530" si="3133">plan_id</f>
        <v>1952</v>
      </c>
      <c r="F1530" s="66">
        <f t="shared" ca="1" si="2973"/>
        <v>2012</v>
      </c>
      <c r="G1530" s="66">
        <f t="shared" ref="G1530" ca="1" si="3134">VLOOKUP(INDIRECT(CHAR(39)&amp;$A1530&amp;CHAR(39)&amp;"!r2c"&amp;$C1530,0),variables,2,0)</f>
        <v>10704</v>
      </c>
      <c r="H1530" s="71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2">
      <c r="A1531" s="66" t="s">
        <v>1045</v>
      </c>
      <c r="B1531" s="66">
        <f t="shared" si="3122"/>
        <v>15</v>
      </c>
      <c r="C1531" s="66">
        <f t="shared" si="3093"/>
        <v>9</v>
      </c>
      <c r="E1531" s="66">
        <f t="shared" ref="E1531" si="3135">plan_id</f>
        <v>1952</v>
      </c>
      <c r="F1531" s="66">
        <f t="shared" ca="1" si="2973"/>
        <v>2012</v>
      </c>
      <c r="G1531" s="66">
        <f t="shared" ref="G1531" ca="1" si="3136">VLOOKUP(INDIRECT(CHAR(39)&amp;$A1531&amp;CHAR(39)&amp;"!r2c"&amp;$C1531,0),variables,2,0)</f>
        <v>10928</v>
      </c>
      <c r="H1531" s="71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(i)11.46%; (ii)12.6%</v>
      </c>
    </row>
    <row r="1532" spans="1:8" x14ac:dyDescent="0.2">
      <c r="A1532" s="66" t="s">
        <v>1045</v>
      </c>
      <c r="B1532" s="66">
        <f t="shared" si="3122"/>
        <v>15</v>
      </c>
      <c r="C1532" s="66">
        <f t="shared" si="3093"/>
        <v>10</v>
      </c>
      <c r="E1532" s="66">
        <f t="shared" ref="E1532" si="3137">plan_id</f>
        <v>1952</v>
      </c>
      <c r="F1532" s="66">
        <f t="shared" ca="1" si="2973"/>
        <v>2012</v>
      </c>
      <c r="G1532" s="66">
        <f t="shared" ref="G1532" ca="1" si="3138">VLOOKUP(INDIRECT(CHAR(39)&amp;$A1532&amp;CHAR(39)&amp;"!r2c"&amp;$C1532,0),variables,2,0)</f>
        <v>10929</v>
      </c>
      <c r="H1532" s="71" t="str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(i)11.46%; (ii)12.6%</v>
      </c>
    </row>
    <row r="1533" spans="1:8" x14ac:dyDescent="0.2">
      <c r="A1533" s="66" t="s">
        <v>1045</v>
      </c>
      <c r="B1533" s="66">
        <f t="shared" si="3122"/>
        <v>15</v>
      </c>
      <c r="C1533" s="66">
        <f t="shared" si="3093"/>
        <v>11</v>
      </c>
      <c r="E1533" s="66">
        <f t="shared" ref="E1533" si="3139">plan_id</f>
        <v>1952</v>
      </c>
      <c r="F1533" s="66">
        <f t="shared" ca="1" si="2973"/>
        <v>2012</v>
      </c>
      <c r="G1533" s="66">
        <f t="shared" ref="G1533" ca="1" si="3140">VLOOKUP(INDIRECT(CHAR(39)&amp;$A1533&amp;CHAR(39)&amp;"!r2c"&amp;$C1533,0),variables,2,0)</f>
        <v>10930</v>
      </c>
      <c r="H1533" s="71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66" t="s">
        <v>1045</v>
      </c>
      <c r="B1534" s="66">
        <f t="shared" si="3122"/>
        <v>15</v>
      </c>
      <c r="C1534" s="66">
        <f t="shared" si="3093"/>
        <v>12</v>
      </c>
      <c r="E1534" s="66">
        <f t="shared" ref="E1534" si="3141">plan_id</f>
        <v>1952</v>
      </c>
      <c r="F1534" s="66">
        <f t="shared" ca="1" si="2973"/>
        <v>2012</v>
      </c>
      <c r="G1534" s="66">
        <f t="shared" ref="G1534" ca="1" si="3142">VLOOKUP(INDIRECT(CHAR(39)&amp;$A1534&amp;CHAR(39)&amp;"!r2c"&amp;$C1534,0),variables,2,0)</f>
        <v>10705</v>
      </c>
      <c r="H1534" s="7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765765000</v>
      </c>
    </row>
    <row r="1535" spans="1:8" x14ac:dyDescent="0.2">
      <c r="A1535" s="66" t="s">
        <v>1045</v>
      </c>
      <c r="B1535" s="66">
        <f t="shared" si="3122"/>
        <v>15</v>
      </c>
      <c r="C1535" s="66">
        <f t="shared" si="3093"/>
        <v>13</v>
      </c>
      <c r="E1535" s="66">
        <f t="shared" ref="E1535" si="3143">plan_id</f>
        <v>1952</v>
      </c>
      <c r="F1535" s="66">
        <f t="shared" ca="1" si="2973"/>
        <v>2012</v>
      </c>
      <c r="G1535" s="66">
        <f t="shared" ref="G1535" ca="1" si="3144">VLOOKUP(INDIRECT(CHAR(39)&amp;$A1535&amp;CHAR(39)&amp;"!r2c"&amp;$C1535,0),variables,2,0)</f>
        <v>10842</v>
      </c>
      <c r="H1535" s="71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66" t="s">
        <v>1045</v>
      </c>
      <c r="B1536" s="66">
        <f t="shared" si="3122"/>
        <v>15</v>
      </c>
      <c r="C1536" s="66">
        <f t="shared" si="3093"/>
        <v>14</v>
      </c>
      <c r="E1536" s="66">
        <f t="shared" ref="E1536" si="3145">plan_id</f>
        <v>1952</v>
      </c>
      <c r="F1536" s="66">
        <f t="shared" ca="1" si="2973"/>
        <v>2012</v>
      </c>
      <c r="G1536" s="66">
        <f t="shared" ref="G1536" ca="1" si="3146">VLOOKUP(INDIRECT(CHAR(39)&amp;$A1536&amp;CHAR(39)&amp;"!r2c"&amp;$C1536,0),variables,2,0)</f>
        <v>10843</v>
      </c>
      <c r="H1536" s="71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66" t="s">
        <v>1045</v>
      </c>
      <c r="B1537" s="66">
        <f t="shared" si="3122"/>
        <v>15</v>
      </c>
      <c r="C1537" s="66">
        <f t="shared" si="3093"/>
        <v>15</v>
      </c>
      <c r="E1537" s="66">
        <f t="shared" ref="E1537" si="3147">plan_id</f>
        <v>1952</v>
      </c>
      <c r="F1537" s="66">
        <f t="shared" ca="1" si="2973"/>
        <v>2012</v>
      </c>
      <c r="G1537" s="66">
        <f t="shared" ref="G1537" ca="1" si="3148">VLOOKUP(INDIRECT(CHAR(39)&amp;$A1537&amp;CHAR(39)&amp;"!r2c"&amp;$C1537,0),variables,2,0)</f>
        <v>10931</v>
      </c>
      <c r="H1537" s="7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66" t="s">
        <v>1045</v>
      </c>
      <c r="B1538" s="66">
        <f t="shared" si="3122"/>
        <v>15</v>
      </c>
      <c r="C1538" s="66">
        <f t="shared" si="3093"/>
        <v>16</v>
      </c>
      <c r="E1538" s="66">
        <f t="shared" ref="E1538" si="3149">plan_id</f>
        <v>1952</v>
      </c>
      <c r="F1538" s="66">
        <f t="shared" ca="1" si="2973"/>
        <v>2012</v>
      </c>
      <c r="G1538" s="66">
        <f t="shared" ref="G1538" ca="1" si="3150">VLOOKUP(INDIRECT(CHAR(39)&amp;$A1538&amp;CHAR(39)&amp;"!r2c"&amp;$C1538,0),variables,2,0)</f>
        <v>10932</v>
      </c>
      <c r="H1538" s="7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66" t="s">
        <v>1045</v>
      </c>
      <c r="B1539" s="66">
        <f t="shared" si="3122"/>
        <v>15</v>
      </c>
      <c r="C1539" s="66">
        <f t="shared" si="3093"/>
        <v>17</v>
      </c>
      <c r="E1539" s="66">
        <f t="shared" ref="E1539" si="3151">plan_id</f>
        <v>1952</v>
      </c>
      <c r="F1539" s="66">
        <f t="shared" ca="1" si="2973"/>
        <v>2012</v>
      </c>
      <c r="G1539" s="66">
        <f t="shared" ref="G1539" ca="1" si="3152">VLOOKUP(INDIRECT(CHAR(39)&amp;$A1539&amp;CHAR(39)&amp;"!r2c"&amp;$C1539,0),variables,2,0)</f>
        <v>10933</v>
      </c>
      <c r="H1539" s="71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(i)14.87%; (ii)18.2%</v>
      </c>
    </row>
    <row r="1540" spans="1:8" x14ac:dyDescent="0.2">
      <c r="A1540" s="66" t="s">
        <v>1045</v>
      </c>
      <c r="B1540" s="66">
        <f t="shared" si="3122"/>
        <v>15</v>
      </c>
      <c r="C1540" s="66">
        <f t="shared" si="3093"/>
        <v>18</v>
      </c>
      <c r="E1540" s="66">
        <f t="shared" ref="E1540" si="3153">plan_id</f>
        <v>1952</v>
      </c>
      <c r="F1540" s="66">
        <f t="shared" ca="1" si="2973"/>
        <v>2012</v>
      </c>
      <c r="G1540" s="66">
        <f t="shared" ref="G1540" ca="1" si="3154">VLOOKUP(INDIRECT(CHAR(39)&amp;$A1540&amp;CHAR(39)&amp;"!r2c"&amp;$C1540,0),variables,2,0)</f>
        <v>10934</v>
      </c>
      <c r="H1540" s="71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(i)5%; (ii)5%</v>
      </c>
    </row>
    <row r="1541" spans="1:8" x14ac:dyDescent="0.2">
      <c r="A1541" s="66" t="s">
        <v>1045</v>
      </c>
      <c r="B1541" s="66">
        <f t="shared" si="3122"/>
        <v>15</v>
      </c>
      <c r="C1541" s="66">
        <f t="shared" si="3093"/>
        <v>19</v>
      </c>
      <c r="E1541" s="66">
        <f t="shared" ref="E1541" si="3155">plan_id</f>
        <v>1952</v>
      </c>
      <c r="F1541" s="66">
        <f t="shared" ca="1" si="2973"/>
        <v>2012</v>
      </c>
      <c r="G1541" s="66">
        <f t="shared" ref="G1541" ca="1" si="3156">VLOOKUP(INDIRECT(CHAR(39)&amp;$A1541&amp;CHAR(39)&amp;"!r2c"&amp;$C1541,0),variables,2,0)</f>
        <v>10935</v>
      </c>
      <c r="H1541" s="71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2">
      <c r="A1542" s="66" t="s">
        <v>1045</v>
      </c>
      <c r="B1542" s="66">
        <f t="shared" si="3122"/>
        <v>15</v>
      </c>
      <c r="C1542" s="66">
        <f t="shared" si="3093"/>
        <v>20</v>
      </c>
      <c r="E1542" s="66">
        <f t="shared" ref="E1542" si="3157">plan_id</f>
        <v>1952</v>
      </c>
      <c r="F1542" s="66">
        <f t="shared" ca="1" si="2973"/>
        <v>2012</v>
      </c>
      <c r="G1542" s="66">
        <f t="shared" ref="G1542" ca="1" si="3158">VLOOKUP(INDIRECT(CHAR(39)&amp;$A1542&amp;CHAR(39)&amp;"!r2c"&amp;$C1542,0),variables,2,0)</f>
        <v>10937</v>
      </c>
      <c r="H1542" s="71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66" t="s">
        <v>1045</v>
      </c>
      <c r="B1543" s="66">
        <f t="shared" si="3122"/>
        <v>15</v>
      </c>
      <c r="C1543" s="66">
        <f t="shared" si="3093"/>
        <v>21</v>
      </c>
      <c r="E1543" s="66">
        <f t="shared" ref="E1543" si="3159">plan_id</f>
        <v>1952</v>
      </c>
      <c r="F1543" s="66">
        <f t="shared" ca="1" si="2973"/>
        <v>2012</v>
      </c>
      <c r="G1543" s="66">
        <f t="shared" ref="G1543" ca="1" si="3160">VLOOKUP(INDIRECT(CHAR(39)&amp;$A1543&amp;CHAR(39)&amp;"!r2c"&amp;$C1543,0),variables,2,0)</f>
        <v>10938</v>
      </c>
      <c r="H1543" s="7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66" t="s">
        <v>1045</v>
      </c>
      <c r="B1544" s="66">
        <f t="shared" si="3122"/>
        <v>15</v>
      </c>
      <c r="C1544" s="66">
        <f t="shared" si="3093"/>
        <v>22</v>
      </c>
      <c r="E1544" s="66">
        <f t="shared" ref="E1544" si="3161">plan_id</f>
        <v>1952</v>
      </c>
      <c r="F1544" s="66">
        <f t="shared" ca="1" si="2973"/>
        <v>2012</v>
      </c>
      <c r="G1544" s="66">
        <f t="shared" ref="G1544" ca="1" si="3162">VLOOKUP(INDIRECT(CHAR(39)&amp;$A1544&amp;CHAR(39)&amp;"!r2c"&amp;$C1544,0),variables,2,0)</f>
        <v>11007</v>
      </c>
      <c r="H1544" s="71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Prior Plans: 1.7% of AFC times years of service; New Plans: 1.7% AFC times years of service up to 1/1/13 + 1.65% AFC times years of service from 1/1/13</v>
      </c>
    </row>
    <row r="1545" spans="1:8" x14ac:dyDescent="0.2">
      <c r="A1545" s="66" t="s">
        <v>1045</v>
      </c>
      <c r="B1545" s="66">
        <f t="shared" si="3122"/>
        <v>15</v>
      </c>
      <c r="C1545" s="66">
        <f t="shared" si="3093"/>
        <v>23</v>
      </c>
      <c r="E1545" s="66">
        <f t="shared" ref="E1545" si="3163">plan_id</f>
        <v>1952</v>
      </c>
      <c r="F1545" s="66">
        <f t="shared" ref="F1545:F1637" ca="1" si="3164">INDIRECT(CHAR(39)&amp;$A1545&amp;CHAR(39)&amp;"!r"&amp;$B1545&amp;"c2",0)</f>
        <v>2012</v>
      </c>
      <c r="G1545" s="66">
        <f t="shared" ref="G1545" ca="1" si="3165">VLOOKUP(INDIRECT(CHAR(39)&amp;$A1545&amp;CHAR(39)&amp;"!r2c"&amp;$C1545,0),variables,2,0)</f>
        <v>10941</v>
      </c>
      <c r="H1545" s="71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PBI</v>
      </c>
    </row>
    <row r="1546" spans="1:8" x14ac:dyDescent="0.2">
      <c r="A1546" s="66" t="s">
        <v>1045</v>
      </c>
      <c r="B1546" s="66">
        <f t="shared" si="3122"/>
        <v>15</v>
      </c>
      <c r="C1546" s="66">
        <f t="shared" si="3093"/>
        <v>24</v>
      </c>
      <c r="E1546" s="66">
        <f t="shared" ref="E1546" si="3166">plan_id</f>
        <v>1952</v>
      </c>
      <c r="F1546" s="66">
        <f t="shared" ca="1" si="3164"/>
        <v>2012</v>
      </c>
      <c r="G1546" s="66">
        <f t="shared" ref="G1546" ca="1" si="3167">VLOOKUP(INDIRECT(CHAR(39)&amp;$A1546&amp;CHAR(39)&amp;"!r2c"&amp;$C1546,0),variables,2,0)</f>
        <v>10942</v>
      </c>
      <c r="H1546" s="71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66" t="s">
        <v>1045</v>
      </c>
      <c r="B1547" s="66">
        <f t="shared" si="3122"/>
        <v>15</v>
      </c>
      <c r="C1547" s="66">
        <f t="shared" si="3093"/>
        <v>25</v>
      </c>
      <c r="E1547" s="66">
        <f t="shared" ref="E1547" si="3168">plan_id</f>
        <v>1952</v>
      </c>
      <c r="F1547" s="66">
        <f t="shared" ca="1" si="3164"/>
        <v>2012</v>
      </c>
      <c r="G1547" s="66">
        <f t="shared" ref="G1547" ca="1" si="3169">VLOOKUP(INDIRECT(CHAR(39)&amp;$A1547&amp;CHAR(39)&amp;"!r2c"&amp;$C1547,0),variables,2,0)</f>
        <v>10701</v>
      </c>
      <c r="H1547" s="71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2">
      <c r="A1548" s="66" t="s">
        <v>1045</v>
      </c>
      <c r="B1548" s="66">
        <f t="shared" si="3122"/>
        <v>15</v>
      </c>
      <c r="C1548" s="66">
        <f t="shared" si="3093"/>
        <v>26</v>
      </c>
      <c r="E1548" s="66">
        <f t="shared" ref="E1548" si="3170">plan_id</f>
        <v>1952</v>
      </c>
      <c r="F1548" s="66">
        <f t="shared" ca="1" si="3164"/>
        <v>2012</v>
      </c>
      <c r="G1548" s="66">
        <f t="shared" ref="G1548" ca="1" si="3171">VLOOKUP(INDIRECT(CHAR(39)&amp;$A1548&amp;CHAR(39)&amp;"!r2c"&amp;$C1548,0),variables,2,0)</f>
        <v>10702</v>
      </c>
      <c r="H1548" s="71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66" t="s">
        <v>1045</v>
      </c>
      <c r="B1549" s="66">
        <f t="shared" si="3122"/>
        <v>15</v>
      </c>
      <c r="C1549" s="66">
        <f t="shared" si="3093"/>
        <v>27</v>
      </c>
      <c r="E1549" s="66">
        <f t="shared" ref="E1549" si="3172">plan_id</f>
        <v>1952</v>
      </c>
      <c r="F1549" s="66">
        <f t="shared" ca="1" si="3164"/>
        <v>2012</v>
      </c>
      <c r="G1549" s="66">
        <f t="shared" ref="G1549" ca="1" si="3173">VLOOKUP(INDIRECT(CHAR(39)&amp;$A1549&amp;CHAR(39)&amp;"!r2c"&amp;$C1549,0),variables,2,0)</f>
        <v>10943</v>
      </c>
      <c r="H1549" s="71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Plan 1: 2.50%; Plan 2: 2.25%</v>
      </c>
    </row>
    <row r="1550" spans="1:8" x14ac:dyDescent="0.2">
      <c r="A1550" s="66" t="s">
        <v>1045</v>
      </c>
      <c r="B1550" s="66">
        <f t="shared" si="3122"/>
        <v>15</v>
      </c>
      <c r="C1550" s="66">
        <f t="shared" si="3093"/>
        <v>28</v>
      </c>
      <c r="E1550" s="66">
        <f t="shared" ref="E1550" si="3174">plan_id</f>
        <v>1952</v>
      </c>
      <c r="F1550" s="66">
        <f t="shared" ca="1" si="3164"/>
        <v>2012</v>
      </c>
      <c r="G1550" s="66">
        <f t="shared" ref="G1550" ca="1" si="3175">VLOOKUP(INDIRECT(CHAR(39)&amp;$A1550&amp;CHAR(39)&amp;"!r2c"&amp;$C1550,0),variables,2,0)</f>
        <v>10944</v>
      </c>
      <c r="H1550" s="71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66" t="s">
        <v>1045</v>
      </c>
      <c r="B1551" s="66">
        <f t="shared" si="3122"/>
        <v>15</v>
      </c>
      <c r="C1551" s="66">
        <f t="shared" si="3093"/>
        <v>29</v>
      </c>
      <c r="E1551" s="66">
        <f t="shared" ref="E1551" si="3176">plan_id</f>
        <v>1952</v>
      </c>
      <c r="F1551" s="66">
        <f t="shared" ca="1" si="3164"/>
        <v>2012</v>
      </c>
      <c r="G1551" s="66">
        <f t="shared" ref="G1551" ca="1" si="3177">VLOOKUP(INDIRECT(CHAR(39)&amp;$A1551&amp;CHAR(39)&amp;"!r2c"&amp;$C1551,0),variables,2,0)</f>
        <v>10945</v>
      </c>
      <c r="H1551" s="71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66" t="s">
        <v>1045</v>
      </c>
      <c r="B1552" s="66">
        <f t="shared" si="3122"/>
        <v>15</v>
      </c>
      <c r="C1552" s="66">
        <f t="shared" si="3093"/>
        <v>30</v>
      </c>
      <c r="E1552" s="66">
        <f t="shared" ref="E1552" si="3178">plan_id</f>
        <v>1952</v>
      </c>
      <c r="F1552" s="66">
        <f t="shared" ca="1" si="3164"/>
        <v>2012</v>
      </c>
      <c r="G1552" s="66">
        <f t="shared" ref="G1552" ca="1" si="3179">VLOOKUP(INDIRECT(CHAR(39)&amp;$A1552&amp;CHAR(39)&amp;"!r2c"&amp;$C1552,0),variables,2,0)</f>
        <v>10947</v>
      </c>
      <c r="H1552" s="71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66" t="s">
        <v>1045</v>
      </c>
      <c r="B1553" s="66">
        <f t="shared" si="3122"/>
        <v>15</v>
      </c>
      <c r="C1553" s="66">
        <f t="shared" si="3093"/>
        <v>31</v>
      </c>
      <c r="E1553" s="66">
        <f t="shared" ref="E1553" si="3180">plan_id</f>
        <v>1952</v>
      </c>
      <c r="F1553" s="66">
        <f t="shared" ca="1" si="3164"/>
        <v>2012</v>
      </c>
      <c r="G1553" s="66">
        <f t="shared" ref="G1553" ca="1" si="3181">VLOOKUP(INDIRECT(CHAR(39)&amp;$A1553&amp;CHAR(39)&amp;"!r2c"&amp;$C1553,0),variables,2,0)</f>
        <v>10948</v>
      </c>
      <c r="H1553" s="71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2">
      <c r="A1554" s="66" t="s">
        <v>1045</v>
      </c>
      <c r="B1554" s="66">
        <f t="shared" si="3122"/>
        <v>15</v>
      </c>
      <c r="C1554" s="66">
        <f t="shared" si="3093"/>
        <v>32</v>
      </c>
      <c r="E1554" s="66">
        <f t="shared" ref="E1554" si="3182">plan_id</f>
        <v>1952</v>
      </c>
      <c r="F1554" s="66">
        <f t="shared" ca="1" si="3164"/>
        <v>2012</v>
      </c>
      <c r="G1554" s="66">
        <f t="shared" ref="G1554" ca="1" si="3183">VLOOKUP(INDIRECT(CHAR(39)&amp;$A1554&amp;CHAR(39)&amp;"!r2c"&amp;$C1554,0),variables,2,0)</f>
        <v>10949</v>
      </c>
      <c r="H1554" s="71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66" t="s">
        <v>1045</v>
      </c>
      <c r="B1555" s="66">
        <f t="shared" si="3122"/>
        <v>15</v>
      </c>
      <c r="C1555" s="66">
        <f t="shared" si="3093"/>
        <v>33</v>
      </c>
      <c r="E1555" s="66">
        <f t="shared" ref="E1555" si="3184">plan_id</f>
        <v>1952</v>
      </c>
      <c r="F1555" s="66">
        <f t="shared" ca="1" si="3164"/>
        <v>2012</v>
      </c>
      <c r="G1555" s="66">
        <f t="shared" ref="G1555" ca="1" si="3185">VLOOKUP(INDIRECT(CHAR(39)&amp;$A1555&amp;CHAR(39)&amp;"!r2c"&amp;$C1555,0),variables,2,0)</f>
        <v>10951</v>
      </c>
      <c r="H1555" s="71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2">
      <c r="A1556" s="66" t="s">
        <v>1045</v>
      </c>
      <c r="B1556" s="66">
        <f t="shared" si="3122"/>
        <v>15</v>
      </c>
      <c r="C1556" s="66">
        <f t="shared" si="3093"/>
        <v>34</v>
      </c>
      <c r="E1556" s="66">
        <f t="shared" ref="E1556" si="3186">plan_id</f>
        <v>1952</v>
      </c>
      <c r="F1556" s="66">
        <f t="shared" ca="1" si="3164"/>
        <v>2012</v>
      </c>
      <c r="G1556" s="66">
        <f t="shared" ref="G1556" ca="1" si="3187">VLOOKUP(INDIRECT(CHAR(39)&amp;$A1556&amp;CHAR(39)&amp;"!r2c"&amp;$C1556,0),variables,2,0)</f>
        <v>10950</v>
      </c>
      <c r="H1556" s="71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2">
      <c r="A1557" s="66" t="s">
        <v>1045</v>
      </c>
      <c r="B1557" s="66">
        <f t="shared" si="3122"/>
        <v>15</v>
      </c>
      <c r="C1557" s="66">
        <f t="shared" si="3093"/>
        <v>35</v>
      </c>
      <c r="E1557" s="66">
        <f t="shared" ref="E1557" si="3188">plan_id</f>
        <v>1952</v>
      </c>
      <c r="F1557" s="66">
        <f t="shared" ca="1" si="3164"/>
        <v>2012</v>
      </c>
      <c r="G1557" s="66">
        <f t="shared" ref="G1557" ca="1" si="3189">VLOOKUP(INDIRECT(CHAR(39)&amp;$A1557&amp;CHAR(39)&amp;"!r2c"&amp;$C1557,0),variables,2,0)</f>
        <v>10954</v>
      </c>
      <c r="H1557" s="71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2.5000000000000001E-2</v>
      </c>
    </row>
    <row r="1558" spans="1:8" x14ac:dyDescent="0.2">
      <c r="A1558" s="66" t="s">
        <v>1045</v>
      </c>
      <c r="B1558" s="66">
        <f t="shared" si="3122"/>
        <v>15</v>
      </c>
      <c r="C1558" s="66">
        <f t="shared" si="3093"/>
        <v>36</v>
      </c>
      <c r="E1558" s="66">
        <f t="shared" ref="E1558" si="3190">plan_id</f>
        <v>1952</v>
      </c>
      <c r="F1558" s="66">
        <f t="shared" ca="1" si="3164"/>
        <v>2012</v>
      </c>
      <c r="G1558" s="66">
        <f t="shared" ref="G1558" ca="1" si="3191">VLOOKUP(INDIRECT(CHAR(39)&amp;$A1558&amp;CHAR(39)&amp;"!r2c"&amp;$C1558,0),variables,2,0)</f>
        <v>10955</v>
      </c>
      <c r="H1558" s="71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7.0000000000000007E-2</v>
      </c>
    </row>
    <row r="1559" spans="1:8" x14ac:dyDescent="0.2">
      <c r="A1559" s="66" t="s">
        <v>1045</v>
      </c>
      <c r="B1559" s="66">
        <f t="shared" si="3122"/>
        <v>15</v>
      </c>
      <c r="C1559" s="66">
        <f t="shared" si="3093"/>
        <v>37</v>
      </c>
      <c r="E1559" s="66">
        <f t="shared" ref="E1559" si="3192">plan_id</f>
        <v>1952</v>
      </c>
      <c r="F1559" s="66">
        <f t="shared" ca="1" si="3164"/>
        <v>2012</v>
      </c>
      <c r="G1559" s="66">
        <f t="shared" ref="G1559" ca="1" si="3193">VLOOKUP(INDIRECT(CHAR(39)&amp;$A1559&amp;CHAR(39)&amp;"!r2c"&amp;$C1559,0),variables,2,0)</f>
        <v>10956</v>
      </c>
      <c r="H1559" s="71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</row>
    <row r="1560" spans="1:8" x14ac:dyDescent="0.2">
      <c r="A1560" s="66" t="s">
        <v>1045</v>
      </c>
      <c r="B1560" s="66">
        <f t="shared" si="3122"/>
        <v>15</v>
      </c>
      <c r="C1560" s="66">
        <f t="shared" si="3093"/>
        <v>38</v>
      </c>
      <c r="E1560" s="66">
        <f t="shared" ref="E1560" si="3194">plan_id</f>
        <v>1952</v>
      </c>
      <c r="F1560" s="66">
        <f t="shared" ca="1" si="3164"/>
        <v>2012</v>
      </c>
      <c r="G1560" s="66">
        <f t="shared" ref="G1560" ca="1" si="3195">VLOOKUP(INDIRECT(CHAR(39)&amp;$A1560&amp;CHAR(39)&amp;"!r2c"&amp;$C1560,0),variables,2,0)</f>
        <v>10959</v>
      </c>
      <c r="H1560" s="71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SE-3.75% to 5.6% &amp; Teach 3.75% to 6.20% &amp; 3.5% - 4.75%; Poli Sub: 3.75%-5.6%, 3.5%-4.75%</v>
      </c>
    </row>
    <row r="1561" spans="1:8" x14ac:dyDescent="0.2">
      <c r="A1561" s="66" t="s">
        <v>1045</v>
      </c>
      <c r="B1561" s="66">
        <f t="shared" si="3122"/>
        <v>15</v>
      </c>
      <c r="C1561" s="66">
        <f t="shared" si="3093"/>
        <v>39</v>
      </c>
      <c r="E1561" s="66">
        <f t="shared" ref="E1561" si="3196">plan_id</f>
        <v>1952</v>
      </c>
      <c r="F1561" s="66">
        <f t="shared" ca="1" si="3164"/>
        <v>2012</v>
      </c>
      <c r="G1561" s="66">
        <f t="shared" ref="G1561" ca="1" si="3197">VLOOKUP(INDIRECT(CHAR(39)&amp;$A1561&amp;CHAR(39)&amp;"!r2c"&amp;$C1561,0),variables,2,0)</f>
        <v>10962</v>
      </c>
      <c r="H1561" s="71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Pg.57,58 &amp; 64</v>
      </c>
    </row>
    <row r="1562" spans="1:8" x14ac:dyDescent="0.2">
      <c r="A1562" s="66" t="s">
        <v>1045</v>
      </c>
      <c r="B1562" s="66">
        <f t="shared" si="3122"/>
        <v>15</v>
      </c>
      <c r="C1562" s="66">
        <f t="shared" si="3093"/>
        <v>40</v>
      </c>
      <c r="E1562" s="66">
        <f t="shared" ref="E1562" si="3198">plan_id</f>
        <v>1952</v>
      </c>
      <c r="F1562" s="66">
        <f t="shared" ca="1" si="3164"/>
        <v>2012</v>
      </c>
      <c r="G1562" s="66">
        <f t="shared" ref="G1562" ca="1" si="3199">VLOOKUP(INDIRECT(CHAR(39)&amp;$A1562&amp;CHAR(39)&amp;"!r2c"&amp;$C1562,0),variables,2,0)</f>
        <v>10964</v>
      </c>
      <c r="H1562" s="71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Pg.54,55 &amp; 61,62</v>
      </c>
    </row>
    <row r="1563" spans="1:8" x14ac:dyDescent="0.2">
      <c r="A1563" s="66" t="s">
        <v>1045</v>
      </c>
      <c r="B1563" s="66">
        <f t="shared" si="3122"/>
        <v>15</v>
      </c>
      <c r="C1563" s="66">
        <f t="shared" si="3093"/>
        <v>41</v>
      </c>
      <c r="E1563" s="66">
        <f t="shared" ref="E1563" si="3200">plan_id</f>
        <v>1952</v>
      </c>
      <c r="F1563" s="66">
        <f t="shared" ca="1" si="3164"/>
        <v>2012</v>
      </c>
      <c r="G1563" s="66">
        <f t="shared" ref="G1563" ca="1" si="3201">VLOOKUP(INDIRECT(CHAR(39)&amp;$A1563&amp;CHAR(39)&amp;"!r2c"&amp;$C1563,0),variables,2,0)</f>
        <v>10967</v>
      </c>
      <c r="H1563" s="71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1994 Group Annuity Mortality Table</v>
      </c>
    </row>
    <row r="1564" spans="1:8" x14ac:dyDescent="0.2">
      <c r="A1564" s="66" t="s">
        <v>1045</v>
      </c>
      <c r="B1564" s="66">
        <f t="shared" si="3122"/>
        <v>15</v>
      </c>
      <c r="C1564" s="66">
        <f t="shared" si="3093"/>
        <v>42</v>
      </c>
      <c r="E1564" s="66">
        <f t="shared" ref="E1564" si="3202">plan_id</f>
        <v>1952</v>
      </c>
      <c r="F1564" s="66">
        <f t="shared" ca="1" si="3164"/>
        <v>2012</v>
      </c>
      <c r="G1564" s="66">
        <f t="shared" ref="G1564" ca="1" si="3203">VLOOKUP(INDIRECT(CHAR(39)&amp;$A1564&amp;CHAR(39)&amp;"!r2c"&amp;$C1564,0),variables,2,0)</f>
        <v>10968</v>
      </c>
      <c r="H1564" s="71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2">
      <c r="A1565" s="66" t="s">
        <v>1045</v>
      </c>
      <c r="B1565" s="66">
        <f t="shared" si="3122"/>
        <v>15</v>
      </c>
      <c r="C1565" s="66">
        <f t="shared" si="3093"/>
        <v>43</v>
      </c>
      <c r="E1565" s="66">
        <f t="shared" ref="E1565" si="3204">plan_id</f>
        <v>1952</v>
      </c>
      <c r="F1565" s="66">
        <f t="shared" ca="1" si="3164"/>
        <v>2012</v>
      </c>
      <c r="G1565" s="66">
        <f t="shared" ref="G1565" ca="1" si="3205">VLOOKUP(INDIRECT(CHAR(39)&amp;$A1565&amp;CHAR(39)&amp;"!r2c"&amp;$C1565,0),variables,2,0)</f>
        <v>10969</v>
      </c>
      <c r="H1565" s="71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66" t="s">
        <v>1045</v>
      </c>
      <c r="B1566" s="66">
        <f t="shared" si="3122"/>
        <v>15</v>
      </c>
      <c r="C1566" s="66">
        <f t="shared" si="3093"/>
        <v>44</v>
      </c>
      <c r="E1566" s="66">
        <f t="shared" ref="E1566" si="3206">plan_id</f>
        <v>1952</v>
      </c>
      <c r="F1566" s="66">
        <f t="shared" ca="1" si="3164"/>
        <v>2012</v>
      </c>
      <c r="G1566" s="66">
        <f t="shared" ref="G1566" ca="1" si="3207">VLOOKUP(INDIRECT(CHAR(39)&amp;$A1566&amp;CHAR(39)&amp;"!r2c"&amp;$C1566,0),variables,2,0)</f>
        <v>10970</v>
      </c>
      <c r="H1566" s="71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State: Males &amp; Females: 1 Year; Teachers: Pre- 1 Year; Post- 3 Years</v>
      </c>
    </row>
    <row r="1567" spans="1:8" x14ac:dyDescent="0.2">
      <c r="A1567" s="66" t="s">
        <v>1045</v>
      </c>
      <c r="B1567" s="66">
        <f t="shared" si="3122"/>
        <v>15</v>
      </c>
      <c r="C1567" s="66">
        <f t="shared" si="3093"/>
        <v>45</v>
      </c>
      <c r="E1567" s="66">
        <f t="shared" ref="E1567" si="3208">plan_id</f>
        <v>1952</v>
      </c>
      <c r="F1567" s="66">
        <f t="shared" ca="1" si="3164"/>
        <v>2012</v>
      </c>
      <c r="G1567" s="66">
        <f t="shared" ref="G1567" ca="1" si="3209">VLOOKUP(INDIRECT(CHAR(39)&amp;$A1567&amp;CHAR(39)&amp;"!r2c"&amp;$C1567,0),variables,2,0)</f>
        <v>10971</v>
      </c>
      <c r="H1567" s="71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66" t="s">
        <v>1045</v>
      </c>
      <c r="B1568" s="66">
        <f t="shared" si="3122"/>
        <v>15</v>
      </c>
      <c r="C1568" s="66">
        <f t="shared" si="3093"/>
        <v>46</v>
      </c>
      <c r="E1568" s="66">
        <f t="shared" ref="E1568" si="3210">plan_id</f>
        <v>1952</v>
      </c>
      <c r="F1568" s="66">
        <f t="shared" ca="1" si="3164"/>
        <v>2012</v>
      </c>
      <c r="G1568" s="66">
        <f t="shared" ref="G1568" ca="1" si="3211">VLOOKUP(INDIRECT(CHAR(39)&amp;$A1568&amp;CHAR(39)&amp;"!r2c"&amp;$C1568,0),variables,2,0)</f>
        <v>10972</v>
      </c>
      <c r="H1568" s="71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 open</v>
      </c>
    </row>
    <row r="1569" spans="1:8" x14ac:dyDescent="0.2">
      <c r="A1569" s="66" t="s">
        <v>1045</v>
      </c>
      <c r="B1569" s="66">
        <f t="shared" si="3122"/>
        <v>15</v>
      </c>
      <c r="C1569" s="66">
        <f t="shared" si="3093"/>
        <v>47</v>
      </c>
      <c r="E1569" s="66">
        <f t="shared" ref="E1569" si="3212">plan_id</f>
        <v>1952</v>
      </c>
      <c r="F1569" s="66">
        <f t="shared" ca="1" si="3164"/>
        <v>2012</v>
      </c>
      <c r="G1569" s="66">
        <f t="shared" ref="G1569" ca="1" si="3213">VLOOKUP(INDIRECT(CHAR(39)&amp;$A1569&amp;CHAR(39)&amp;"!r2c"&amp;$C1569,0),variables,2,0)</f>
        <v>10973</v>
      </c>
      <c r="H1569" s="71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9 &amp; 29 Years</v>
      </c>
    </row>
    <row r="1570" spans="1:8" x14ac:dyDescent="0.2">
      <c r="A1570" s="66" t="s">
        <v>1045</v>
      </c>
      <c r="B1570" s="66">
        <f t="shared" si="3122"/>
        <v>15</v>
      </c>
      <c r="C1570" s="66">
        <f t="shared" si="3093"/>
        <v>48</v>
      </c>
      <c r="E1570" s="66">
        <f t="shared" ref="E1570" si="3214">plan_id</f>
        <v>1952</v>
      </c>
      <c r="F1570" s="66">
        <f t="shared" ca="1" si="3164"/>
        <v>2012</v>
      </c>
      <c r="G1570" s="66">
        <f t="shared" ref="G1570" ca="1" si="3215">VLOOKUP(INDIRECT(CHAR(39)&amp;$A1570&amp;CHAR(39)&amp;"!r2c"&amp;$C1570,0),variables,2,0)</f>
        <v>10975</v>
      </c>
      <c r="H1570" s="71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2">
      <c r="A1571" s="66" t="s">
        <v>1045</v>
      </c>
      <c r="B1571" s="66">
        <f t="shared" si="3122"/>
        <v>15</v>
      </c>
      <c r="C1571" s="66">
        <f t="shared" si="3093"/>
        <v>49</v>
      </c>
      <c r="E1571" s="66">
        <f t="shared" ref="E1571" si="3216">plan_id</f>
        <v>1952</v>
      </c>
      <c r="F1571" s="66">
        <f t="shared" ca="1" si="3164"/>
        <v>2012</v>
      </c>
      <c r="G1571" s="66">
        <f t="shared" ref="G1571" ca="1" si="3217">VLOOKUP(INDIRECT(CHAR(39)&amp;$A1571&amp;CHAR(39)&amp;"!r2c"&amp;$C1571,0),variables,2,0)</f>
        <v>10976</v>
      </c>
      <c r="H1571" s="71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7.0000000000000007E-2</v>
      </c>
    </row>
    <row r="1572" spans="1:8" x14ac:dyDescent="0.2">
      <c r="A1572" s="66" t="s">
        <v>1045</v>
      </c>
      <c r="B1572" s="66">
        <f t="shared" si="3122"/>
        <v>15</v>
      </c>
      <c r="C1572" s="66">
        <f t="shared" si="3093"/>
        <v>50</v>
      </c>
      <c r="E1572" s="66">
        <f t="shared" ref="E1572" si="3218">plan_id</f>
        <v>1952</v>
      </c>
      <c r="F1572" s="66">
        <f t="shared" ca="1" si="3164"/>
        <v>2012</v>
      </c>
      <c r="G1572" s="66">
        <f t="shared" ref="G1572" ca="1" si="3219">VLOOKUP(INDIRECT(CHAR(39)&amp;$A1572&amp;CHAR(39)&amp;"!r2c"&amp;$C1572,0),variables,2,0)</f>
        <v>10977</v>
      </c>
      <c r="H1572" s="71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66" t="s">
        <v>1045</v>
      </c>
      <c r="B1573" s="66">
        <f t="shared" si="3122"/>
        <v>15</v>
      </c>
      <c r="C1573" s="66">
        <f t="shared" si="3093"/>
        <v>51</v>
      </c>
      <c r="E1573" s="66">
        <f t="shared" ref="E1573" si="3220">plan_id</f>
        <v>1952</v>
      </c>
      <c r="F1573" s="66">
        <f t="shared" ca="1" si="3164"/>
        <v>2012</v>
      </c>
      <c r="G1573" s="66">
        <f t="shared" ref="G1573" ca="1" si="3221">VLOOKUP(INDIRECT(CHAR(39)&amp;$A1573&amp;CHAR(39)&amp;"!r2c"&amp;$C1573,0),variables,2,0)</f>
        <v>10978</v>
      </c>
      <c r="H1573" s="71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7.0000000000000007E-2</v>
      </c>
    </row>
    <row r="1574" spans="1:8" x14ac:dyDescent="0.2">
      <c r="A1574" s="66" t="s">
        <v>1045</v>
      </c>
      <c r="B1574" s="66">
        <f t="shared" si="3122"/>
        <v>15</v>
      </c>
      <c r="C1574" s="66">
        <f t="shared" si="3093"/>
        <v>52</v>
      </c>
      <c r="E1574" s="66">
        <f t="shared" ref="E1574" si="3222">plan_id</f>
        <v>1952</v>
      </c>
      <c r="F1574" s="66">
        <f t="shared" ca="1" si="3164"/>
        <v>2012</v>
      </c>
      <c r="G1574" s="66">
        <f t="shared" ref="G1574" ca="1" si="3223">VLOOKUP(INDIRECT(CHAR(39)&amp;$A1574&amp;CHAR(39)&amp;"!r2c"&amp;$C1574,0),variables,2,0)</f>
        <v>10979</v>
      </c>
      <c r="H1574" s="71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2">
      <c r="A1575" s="66" t="s">
        <v>1045</v>
      </c>
      <c r="B1575" s="66">
        <f t="shared" si="3122"/>
        <v>15</v>
      </c>
      <c r="C1575" s="66">
        <f t="shared" ref="C1575:C1638" si="3224">C1484</f>
        <v>53</v>
      </c>
      <c r="E1575" s="66">
        <f t="shared" ref="E1575" si="3225">plan_id</f>
        <v>1952</v>
      </c>
      <c r="F1575" s="66">
        <f t="shared" ca="1" si="3164"/>
        <v>2012</v>
      </c>
      <c r="G1575" s="66">
        <f t="shared" ref="G1575" ca="1" si="3226">VLOOKUP(INDIRECT(CHAR(39)&amp;$A1575&amp;CHAR(39)&amp;"!r2c"&amp;$C1575,0),variables,2,0)</f>
        <v>10980</v>
      </c>
      <c r="H1575" s="71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2">
      <c r="A1576" s="66" t="s">
        <v>1045</v>
      </c>
      <c r="B1576" s="66">
        <f t="shared" si="3122"/>
        <v>15</v>
      </c>
      <c r="C1576" s="66">
        <f t="shared" si="3224"/>
        <v>54</v>
      </c>
      <c r="E1576" s="66">
        <f t="shared" ref="E1576" si="3227">plan_id</f>
        <v>1952</v>
      </c>
      <c r="F1576" s="66">
        <f t="shared" ca="1" si="3164"/>
        <v>2012</v>
      </c>
      <c r="G1576" s="66">
        <f t="shared" ref="G1576" ca="1" si="3228">VLOOKUP(INDIRECT(CHAR(39)&amp;$A1576&amp;CHAR(39)&amp;"!r2c"&amp;$C1576,0),variables,2,0)</f>
        <v>10981</v>
      </c>
      <c r="H1576" s="71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2">
      <c r="A1577" s="66" t="s">
        <v>1045</v>
      </c>
      <c r="B1577" s="66">
        <f t="shared" si="3122"/>
        <v>15</v>
      </c>
      <c r="C1577" s="66">
        <f t="shared" si="3224"/>
        <v>55</v>
      </c>
      <c r="E1577" s="66">
        <f t="shared" ref="E1577" si="3229">plan_id</f>
        <v>1952</v>
      </c>
      <c r="F1577" s="66">
        <f t="shared" ca="1" si="3164"/>
        <v>2012</v>
      </c>
      <c r="G1577" s="66">
        <f t="shared" ref="G1577" ca="1" si="3230">VLOOKUP(INDIRECT(CHAR(39)&amp;$A1577&amp;CHAR(39)&amp;"!r2c"&amp;$C1577,0),variables,2,0)</f>
        <v>10706</v>
      </c>
      <c r="H1577" s="71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7.8759861817921249E-4</v>
      </c>
    </row>
    <row r="1578" spans="1:8" x14ac:dyDescent="0.2">
      <c r="A1578" s="66" t="s">
        <v>1045</v>
      </c>
      <c r="B1578" s="66">
        <f t="shared" si="3122"/>
        <v>15</v>
      </c>
      <c r="C1578" s="66">
        <f t="shared" si="3224"/>
        <v>56</v>
      </c>
      <c r="E1578" s="66">
        <f t="shared" ref="E1578" si="3231">plan_id</f>
        <v>1952</v>
      </c>
      <c r="F1578" s="66">
        <f t="shared" ca="1" si="3164"/>
        <v>2012</v>
      </c>
      <c r="G1578" s="66">
        <f t="shared" ref="G1578" ca="1" si="3232">VLOOKUP(INDIRECT(CHAR(39)&amp;$A1578&amp;CHAR(39)&amp;"!r2c"&amp;$C1578,0),variables,2,0)</f>
        <v>10983</v>
      </c>
      <c r="H1578" s="71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66" t="s">
        <v>1045</v>
      </c>
      <c r="B1579" s="66">
        <f t="shared" si="3122"/>
        <v>15</v>
      </c>
      <c r="C1579" s="66">
        <f t="shared" si="3224"/>
        <v>57</v>
      </c>
      <c r="E1579" s="66">
        <f t="shared" ref="E1579" si="3233">plan_id</f>
        <v>1952</v>
      </c>
      <c r="F1579" s="66">
        <f t="shared" ca="1" si="3164"/>
        <v>2012</v>
      </c>
      <c r="G1579" s="66">
        <f t="shared" ref="G1579" ca="1" si="3234">VLOOKUP(INDIRECT(CHAR(39)&amp;$A1579&amp;CHAR(39)&amp;"!r2c"&amp;$C1579,0),variables,2,0)</f>
        <v>10989</v>
      </c>
      <c r="H1579" s="7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51211915000</v>
      </c>
    </row>
    <row r="1580" spans="1:8" x14ac:dyDescent="0.2">
      <c r="A1580" s="66" t="s">
        <v>1045</v>
      </c>
      <c r="B1580" s="66">
        <f t="shared" si="3122"/>
        <v>15</v>
      </c>
      <c r="C1580" s="66">
        <f t="shared" si="3224"/>
        <v>58</v>
      </c>
      <c r="E1580" s="66">
        <f t="shared" ref="E1580" si="3235">plan_id</f>
        <v>1952</v>
      </c>
      <c r="F1580" s="66">
        <f t="shared" ca="1" si="3164"/>
        <v>2012</v>
      </c>
      <c r="G1580" s="66">
        <f t="shared" ref="G1580" ca="1" si="3236">VLOOKUP(INDIRECT(CHAR(39)&amp;$A1580&amp;CHAR(39)&amp;"!r2c"&amp;$C1580,0),variables,2,0)</f>
        <v>10990</v>
      </c>
      <c r="H1580" s="7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77858856000</v>
      </c>
    </row>
    <row r="1581" spans="1:8" x14ac:dyDescent="0.2">
      <c r="A1581" s="66" t="s">
        <v>1045</v>
      </c>
      <c r="B1581" s="66">
        <f t="shared" si="3122"/>
        <v>15</v>
      </c>
      <c r="C1581" s="66">
        <f t="shared" si="3224"/>
        <v>59</v>
      </c>
      <c r="E1581" s="66">
        <f t="shared" ref="E1581" si="3237">plan_id</f>
        <v>1952</v>
      </c>
      <c r="F1581" s="66">
        <f t="shared" ca="1" si="3164"/>
        <v>2012</v>
      </c>
      <c r="G1581" s="66">
        <f t="shared" ref="G1581" ca="1" si="3238">VLOOKUP(INDIRECT(CHAR(39)&amp;$A1581&amp;CHAR(39)&amp;"!r2c"&amp;$C1581,0),variables,2,0)</f>
        <v>10991</v>
      </c>
      <c r="H1581" s="7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26646941000</v>
      </c>
    </row>
    <row r="1582" spans="1:8" x14ac:dyDescent="0.2">
      <c r="A1582" s="66" t="s">
        <v>1045</v>
      </c>
      <c r="B1582" s="66">
        <f t="shared" si="3122"/>
        <v>15</v>
      </c>
      <c r="C1582" s="66">
        <f t="shared" si="3224"/>
        <v>60</v>
      </c>
      <c r="E1582" s="66">
        <f t="shared" ref="E1582" si="3239">plan_id</f>
        <v>1952</v>
      </c>
      <c r="F1582" s="66">
        <f t="shared" ca="1" si="3164"/>
        <v>2012</v>
      </c>
      <c r="G1582" s="66">
        <f t="shared" ref="G1582" ca="1" si="3240">VLOOKUP(INDIRECT(CHAR(39)&amp;$A1582&amp;CHAR(39)&amp;"!r2c"&amp;$C1582,0),variables,2,0)</f>
        <v>10992</v>
      </c>
      <c r="H1582" s="71" t="str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State Employees: 65.6%; Teachers: 62.4%; Political Subdivisions: 73.4%</v>
      </c>
    </row>
    <row r="1583" spans="1:8" x14ac:dyDescent="0.2">
      <c r="A1583" s="66" t="s">
        <v>1045</v>
      </c>
      <c r="B1583" s="66">
        <f t="shared" si="3122"/>
        <v>15</v>
      </c>
      <c r="C1583" s="66">
        <f t="shared" si="3224"/>
        <v>61</v>
      </c>
      <c r="E1583" s="66">
        <f t="shared" ref="E1583" si="3241">plan_id</f>
        <v>1952</v>
      </c>
      <c r="F1583" s="66">
        <f t="shared" ca="1" si="3164"/>
        <v>2012</v>
      </c>
      <c r="G1583" s="66">
        <f t="shared" ref="G1583" ca="1" si="3242">VLOOKUP(INDIRECT(CHAR(39)&amp;$A1583&amp;CHAR(39)&amp;"!r2c"&amp;$C1583,0),variables,2,0)</f>
        <v>10993</v>
      </c>
      <c r="H1583" s="71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14880275000</v>
      </c>
    </row>
    <row r="1584" spans="1:8" x14ac:dyDescent="0.2">
      <c r="A1584" s="66" t="s">
        <v>1045</v>
      </c>
      <c r="B1584" s="66">
        <f t="shared" si="3122"/>
        <v>15</v>
      </c>
      <c r="C1584" s="66">
        <f t="shared" si="3224"/>
        <v>62</v>
      </c>
      <c r="E1584" s="66">
        <f t="shared" ref="E1584" si="3243">plan_id</f>
        <v>1952</v>
      </c>
      <c r="F1584" s="66">
        <f t="shared" ca="1" si="3164"/>
        <v>2012</v>
      </c>
      <c r="G1584" s="66">
        <f t="shared" ref="G1584" ca="1" si="3244">VLOOKUP(INDIRECT(CHAR(39)&amp;$A1584&amp;CHAR(39)&amp;"!r2c"&amp;$C1584,0),variables,2,0)</f>
        <v>10801</v>
      </c>
      <c r="H1584" s="71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3364200000</v>
      </c>
    </row>
    <row r="1585" spans="1:8" x14ac:dyDescent="0.2">
      <c r="A1585" s="66" t="s">
        <v>1045</v>
      </c>
      <c r="B1585" s="66">
        <f t="shared" si="3122"/>
        <v>15</v>
      </c>
      <c r="C1585" s="66">
        <f t="shared" si="3224"/>
        <v>63</v>
      </c>
      <c r="E1585" s="66">
        <f t="shared" ref="E1585" si="3245">plan_id</f>
        <v>1952</v>
      </c>
      <c r="F1585" s="66">
        <f t="shared" ca="1" si="3164"/>
        <v>2012</v>
      </c>
      <c r="G1585" s="66">
        <f t="shared" ref="G1585" ca="1" si="3246">VLOOKUP(INDIRECT(CHAR(39)&amp;$A1585&amp;CHAR(39)&amp;"!r2c"&amp;$C1585,0),variables,2,0)</f>
        <v>10802</v>
      </c>
      <c r="H1585" s="7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-194000000</v>
      </c>
    </row>
    <row r="1586" spans="1:8" x14ac:dyDescent="0.2">
      <c r="A1586" s="66" t="s">
        <v>1045</v>
      </c>
      <c r="B1586" s="66">
        <f t="shared" si="3122"/>
        <v>15</v>
      </c>
      <c r="C1586" s="66">
        <f t="shared" si="3224"/>
        <v>64</v>
      </c>
      <c r="E1586" s="66">
        <f t="shared" ref="E1586" si="3247">plan_id</f>
        <v>1952</v>
      </c>
      <c r="F1586" s="66">
        <f t="shared" ca="1" si="3164"/>
        <v>2012</v>
      </c>
      <c r="G1586" s="66">
        <f t="shared" ref="G1586" ca="1" si="3248">VLOOKUP(INDIRECT(CHAR(39)&amp;$A1586&amp;CHAR(39)&amp;"!r2c"&amp;$C1586,0),variables,2,0)</f>
        <v>10803</v>
      </c>
      <c r="H1586" s="71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66" t="s">
        <v>1045</v>
      </c>
      <c r="B1587" s="66">
        <f t="shared" si="3122"/>
        <v>15</v>
      </c>
      <c r="C1587" s="66">
        <f t="shared" si="3224"/>
        <v>65</v>
      </c>
      <c r="E1587" s="66">
        <f t="shared" ref="E1587" si="3249">plan_id</f>
        <v>1952</v>
      </c>
      <c r="F1587" s="66">
        <f t="shared" ca="1" si="3164"/>
        <v>2012</v>
      </c>
      <c r="G1587" s="66">
        <f t="shared" ref="G1587" ca="1" si="3250">VLOOKUP(INDIRECT(CHAR(39)&amp;$A1587&amp;CHAR(39)&amp;"!r2c"&amp;$C1587,0),variables,2,0)</f>
        <v>10804</v>
      </c>
      <c r="H1587" s="7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66" t="s">
        <v>1045</v>
      </c>
      <c r="B1588" s="66">
        <f t="shared" si="3122"/>
        <v>15</v>
      </c>
      <c r="C1588" s="66">
        <f t="shared" si="3224"/>
        <v>66</v>
      </c>
      <c r="E1588" s="66">
        <f t="shared" ref="E1588" si="3251">plan_id</f>
        <v>1952</v>
      </c>
      <c r="F1588" s="66">
        <f t="shared" ca="1" si="3164"/>
        <v>2012</v>
      </c>
      <c r="G1588" s="66">
        <f t="shared" ref="G1588" ca="1" si="3252">VLOOKUP(INDIRECT(CHAR(39)&amp;$A1588&amp;CHAR(39)&amp;"!r2c"&amp;$C1588,0),variables,2,0)</f>
        <v>10805</v>
      </c>
      <c r="H1588" s="7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66" t="s">
        <v>1045</v>
      </c>
      <c r="B1589" s="66">
        <f t="shared" ref="B1589" si="3253">B1524+1</f>
        <v>15</v>
      </c>
      <c r="C1589" s="66">
        <f t="shared" si="3224"/>
        <v>67</v>
      </c>
      <c r="E1589" s="66">
        <f t="shared" ref="E1589" si="3254">plan_id</f>
        <v>1952</v>
      </c>
      <c r="F1589" s="66">
        <f t="shared" ca="1" si="3164"/>
        <v>2012</v>
      </c>
      <c r="G1589" s="66">
        <f t="shared" ref="G1589" ca="1" si="3255">VLOOKUP(INDIRECT(CHAR(39)&amp;$A1589&amp;CHAR(39)&amp;"!r2c"&amp;$C1589,0),variables,2,0)</f>
        <v>10806</v>
      </c>
      <c r="H1589" s="7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-16799999.999999996</v>
      </c>
    </row>
    <row r="1590" spans="1:8" x14ac:dyDescent="0.2">
      <c r="A1590" s="66" t="s">
        <v>1045</v>
      </c>
      <c r="B1590" s="66">
        <f>B1589</f>
        <v>15</v>
      </c>
      <c r="C1590" s="66">
        <f t="shared" si="3224"/>
        <v>68</v>
      </c>
      <c r="E1590" s="66">
        <f t="shared" ref="E1590" si="3256">plan_id</f>
        <v>1952</v>
      </c>
      <c r="F1590" s="66">
        <f t="shared" ca="1" si="3164"/>
        <v>2012</v>
      </c>
      <c r="G1590" s="66">
        <f t="shared" ref="G1590" ca="1" si="3257">VLOOKUP(INDIRECT(CHAR(39)&amp;$A1590&amp;CHAR(39)&amp;"!r2c"&amp;$C1590,0),variables,2,0)</f>
        <v>10807</v>
      </c>
      <c r="H1590" s="7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66" t="s">
        <v>1045</v>
      </c>
      <c r="B1591" s="66">
        <f t="shared" ref="B1591:B1615" si="3258">B1590</f>
        <v>15</v>
      </c>
      <c r="C1591" s="66">
        <f t="shared" si="3224"/>
        <v>69</v>
      </c>
      <c r="E1591" s="66">
        <f t="shared" ref="E1591" si="3259">plan_id</f>
        <v>1952</v>
      </c>
      <c r="F1591" s="66">
        <f t="shared" ca="1" si="3164"/>
        <v>2012</v>
      </c>
      <c r="G1591" s="66">
        <f t="shared" ref="G1591" ca="1" si="3260">VLOOKUP(INDIRECT(CHAR(39)&amp;$A1591&amp;CHAR(39)&amp;"!r2c"&amp;$C1591,0),variables,2,0)</f>
        <v>10808</v>
      </c>
      <c r="H1591" s="7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66" t="s">
        <v>1045</v>
      </c>
      <c r="B1592" s="66">
        <f t="shared" si="3258"/>
        <v>15</v>
      </c>
      <c r="C1592" s="66">
        <f t="shared" si="3224"/>
        <v>70</v>
      </c>
      <c r="E1592" s="66">
        <f t="shared" ref="E1592" si="3261">plan_id</f>
        <v>1952</v>
      </c>
      <c r="F1592" s="66">
        <f t="shared" ca="1" si="3164"/>
        <v>2012</v>
      </c>
      <c r="G1592" s="66">
        <f t="shared" ref="G1592" ca="1" si="3262">VLOOKUP(INDIRECT(CHAR(39)&amp;$A1592&amp;CHAR(39)&amp;"!r2c"&amp;$C1592,0),variables,2,0)</f>
        <v>10809</v>
      </c>
      <c r="H1592" s="7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66" t="s">
        <v>1045</v>
      </c>
      <c r="B1593" s="66">
        <f t="shared" si="3258"/>
        <v>15</v>
      </c>
      <c r="C1593" s="66">
        <f t="shared" si="3224"/>
        <v>71</v>
      </c>
      <c r="E1593" s="66">
        <f t="shared" ref="E1593" si="3263">plan_id</f>
        <v>1952</v>
      </c>
      <c r="F1593" s="66">
        <f t="shared" ca="1" si="3164"/>
        <v>2012</v>
      </c>
      <c r="G1593" s="66">
        <f t="shared" ref="G1593" ca="1" si="3264">VLOOKUP(INDIRECT(CHAR(39)&amp;$A1593&amp;CHAR(39)&amp;"!r2c"&amp;$C1593,0),variables,2,0)</f>
        <v>10810</v>
      </c>
      <c r="H1593" s="71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16399999.999999998</v>
      </c>
    </row>
    <row r="1594" spans="1:8" x14ac:dyDescent="0.2">
      <c r="A1594" s="66" t="s">
        <v>1045</v>
      </c>
      <c r="B1594" s="66">
        <f t="shared" si="3258"/>
        <v>15</v>
      </c>
      <c r="C1594" s="66">
        <f t="shared" si="3224"/>
        <v>72</v>
      </c>
      <c r="E1594" s="66">
        <f t="shared" ref="E1594" si="3265">plan_id</f>
        <v>1952</v>
      </c>
      <c r="F1594" s="66">
        <f t="shared" ca="1" si="3164"/>
        <v>2012</v>
      </c>
      <c r="G1594" s="66">
        <f t="shared" ref="G1594" ca="1" si="3266">VLOOKUP(INDIRECT(CHAR(39)&amp;$A1594&amp;CHAR(39)&amp;"!r2c"&amp;$C1594,0),variables,2,0)</f>
        <v>10811</v>
      </c>
      <c r="H1594" s="7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66" t="s">
        <v>1045</v>
      </c>
      <c r="B1595" s="66">
        <f t="shared" si="3258"/>
        <v>15</v>
      </c>
      <c r="C1595" s="66">
        <f t="shared" si="3224"/>
        <v>73</v>
      </c>
      <c r="E1595" s="66">
        <f t="shared" ref="E1595" si="3267">plan_id</f>
        <v>1952</v>
      </c>
      <c r="F1595" s="66">
        <f t="shared" ca="1" si="3164"/>
        <v>2012</v>
      </c>
      <c r="G1595" s="66">
        <f t="shared" ref="G1595" ca="1" si="3268">VLOOKUP(INDIRECT(CHAR(39)&amp;$A1595&amp;CHAR(39)&amp;"!r2c"&amp;$C1595,0),variables,2,0)</f>
        <v>10812</v>
      </c>
      <c r="H1595" s="7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66" t="s">
        <v>1045</v>
      </c>
      <c r="B1596" s="66">
        <f t="shared" si="3258"/>
        <v>15</v>
      </c>
      <c r="C1596" s="66">
        <f t="shared" si="3224"/>
        <v>74</v>
      </c>
      <c r="E1596" s="66">
        <f t="shared" ref="E1596" si="3269">plan_id</f>
        <v>1952</v>
      </c>
      <c r="F1596" s="66">
        <f t="shared" ca="1" si="3164"/>
        <v>2012</v>
      </c>
      <c r="G1596" s="66">
        <f t="shared" ref="G1596" ca="1" si="3270">VLOOKUP(INDIRECT(CHAR(39)&amp;$A1596&amp;CHAR(39)&amp;"!r2c"&amp;$C1596,0),variables,2,0)</f>
        <v>10813</v>
      </c>
      <c r="H1596" s="71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66" t="s">
        <v>1045</v>
      </c>
      <c r="B1597" s="66">
        <f t="shared" si="3258"/>
        <v>15</v>
      </c>
      <c r="C1597" s="66">
        <f t="shared" si="3224"/>
        <v>75</v>
      </c>
      <c r="E1597" s="66">
        <f t="shared" ref="E1597" si="3271">plan_id</f>
        <v>1952</v>
      </c>
      <c r="F1597" s="66">
        <f t="shared" ca="1" si="3164"/>
        <v>2012</v>
      </c>
      <c r="G1597" s="66">
        <f t="shared" ref="G1597" ca="1" si="3272">VLOOKUP(INDIRECT(CHAR(39)&amp;$A1597&amp;CHAR(39)&amp;"!r2c"&amp;$C1597,0),variables,2,0)</f>
        <v>10814</v>
      </c>
      <c r="H1597" s="71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2200000</v>
      </c>
    </row>
    <row r="1598" spans="1:8" x14ac:dyDescent="0.2">
      <c r="A1598" s="66" t="s">
        <v>1045</v>
      </c>
      <c r="B1598" s="66">
        <f t="shared" si="3258"/>
        <v>15</v>
      </c>
      <c r="C1598" s="66">
        <f t="shared" si="3224"/>
        <v>76</v>
      </c>
      <c r="E1598" s="66">
        <f t="shared" ref="E1598" si="3273">plan_id</f>
        <v>1952</v>
      </c>
      <c r="F1598" s="66">
        <f t="shared" ca="1" si="3164"/>
        <v>2012</v>
      </c>
      <c r="G1598" s="66">
        <f t="shared" ref="G1598" ca="1" si="3274">VLOOKUP(INDIRECT(CHAR(39)&amp;$A1598&amp;CHAR(39)&amp;"!r2c"&amp;$C1598,0),variables,2,0)</f>
        <v>10815</v>
      </c>
      <c r="H1598" s="71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205200000.00000003</v>
      </c>
    </row>
    <row r="1599" spans="1:8" x14ac:dyDescent="0.2">
      <c r="A1599" s="66" t="s">
        <v>1045</v>
      </c>
      <c r="B1599" s="66">
        <f t="shared" si="3258"/>
        <v>15</v>
      </c>
      <c r="C1599" s="66">
        <f t="shared" si="3224"/>
        <v>77</v>
      </c>
      <c r="E1599" s="66">
        <f t="shared" ref="E1599" si="3275">plan_id</f>
        <v>1952</v>
      </c>
      <c r="F1599" s="66">
        <f t="shared" ca="1" si="3164"/>
        <v>2012</v>
      </c>
      <c r="G1599" s="66">
        <f t="shared" ref="G1599" ca="1" si="3276">VLOOKUP(INDIRECT(CHAR(39)&amp;$A1599&amp;CHAR(39)&amp;"!r2c"&amp;$C1599,0),variables,2,0)</f>
        <v>10816</v>
      </c>
      <c r="H1599" s="7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-808000000</v>
      </c>
    </row>
    <row r="1600" spans="1:8" x14ac:dyDescent="0.2">
      <c r="A1600" s="66" t="s">
        <v>1045</v>
      </c>
      <c r="B1600" s="66">
        <f t="shared" si="3258"/>
        <v>15</v>
      </c>
      <c r="C1600" s="66">
        <f t="shared" si="3224"/>
        <v>78</v>
      </c>
      <c r="E1600" s="66">
        <f t="shared" ref="E1600" si="3277">plan_id</f>
        <v>1952</v>
      </c>
      <c r="F1600" s="66">
        <f t="shared" ca="1" si="3164"/>
        <v>2012</v>
      </c>
      <c r="G1600" s="66">
        <f t="shared" ref="G1600" ca="1" si="3278">VLOOKUP(INDIRECT(CHAR(39)&amp;$A1600&amp;CHAR(39)&amp;"!r2c"&amp;$C1600,0),variables,2,0)</f>
        <v>10817</v>
      </c>
      <c r="H1600" s="7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66" t="s">
        <v>1045</v>
      </c>
      <c r="B1601" s="66">
        <f t="shared" si="3258"/>
        <v>15</v>
      </c>
      <c r="C1601" s="66">
        <f t="shared" si="3224"/>
        <v>79</v>
      </c>
      <c r="E1601" s="66">
        <f t="shared" ref="E1601" si="3279">plan_id</f>
        <v>1952</v>
      </c>
      <c r="F1601" s="66">
        <f t="shared" ca="1" si="3164"/>
        <v>2012</v>
      </c>
      <c r="G1601" s="66">
        <f t="shared" ref="G1601" ca="1" si="3280">VLOOKUP(INDIRECT(CHAR(39)&amp;$A1601&amp;CHAR(39)&amp;"!r2c"&amp;$C1601,0),variables,2,0)</f>
        <v>10818</v>
      </c>
      <c r="H1601" s="71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53300000</v>
      </c>
    </row>
    <row r="1602" spans="1:8" x14ac:dyDescent="0.2">
      <c r="A1602" s="66" t="s">
        <v>1045</v>
      </c>
      <c r="B1602" s="66">
        <f t="shared" si="3258"/>
        <v>15</v>
      </c>
      <c r="C1602" s="66">
        <f t="shared" si="3224"/>
        <v>80</v>
      </c>
      <c r="E1602" s="66">
        <f t="shared" ref="E1602" si="3281">plan_id</f>
        <v>1952</v>
      </c>
      <c r="F1602" s="66">
        <f t="shared" ca="1" si="3164"/>
        <v>2012</v>
      </c>
      <c r="G1602" s="66">
        <f t="shared" ref="G1602" ca="1" si="3282">VLOOKUP(INDIRECT(CHAR(39)&amp;$A1602&amp;CHAR(39)&amp;"!r2c"&amp;$C1602,0),variables,2,0)</f>
        <v>10819</v>
      </c>
      <c r="H1602" s="71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66" t="s">
        <v>1045</v>
      </c>
      <c r="B1603" s="66">
        <f t="shared" si="3258"/>
        <v>15</v>
      </c>
      <c r="C1603" s="66">
        <f t="shared" si="3224"/>
        <v>81</v>
      </c>
      <c r="E1603" s="66">
        <f t="shared" ref="E1603" si="3283">plan_id</f>
        <v>1952</v>
      </c>
      <c r="F1603" s="66">
        <f t="shared" ca="1" si="3164"/>
        <v>2012</v>
      </c>
      <c r="G1603" s="66">
        <f t="shared" ref="G1603" ca="1" si="3284">VLOOKUP(INDIRECT(CHAR(39)&amp;$A1603&amp;CHAR(39)&amp;"!r2c"&amp;$C1603,0),variables,2,0)</f>
        <v>10820</v>
      </c>
      <c r="H1603" s="71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-12499999.999999996</v>
      </c>
    </row>
    <row r="1604" spans="1:8" x14ac:dyDescent="0.2">
      <c r="A1604" s="66" t="s">
        <v>1045</v>
      </c>
      <c r="B1604" s="66">
        <f t="shared" si="3258"/>
        <v>15</v>
      </c>
      <c r="C1604" s="66">
        <f t="shared" si="3224"/>
        <v>82</v>
      </c>
      <c r="E1604" s="66">
        <f t="shared" ref="E1604" si="3285">plan_id</f>
        <v>1952</v>
      </c>
      <c r="F1604" s="66">
        <f t="shared" ca="1" si="3164"/>
        <v>2012</v>
      </c>
      <c r="G1604" s="66">
        <f t="shared" ref="G1604" ca="1" si="3286">VLOOKUP(INDIRECT(CHAR(39)&amp;$A1604&amp;CHAR(39)&amp;"!r2c"&amp;$C1604,0),variables,2,0)</f>
        <v>10821</v>
      </c>
      <c r="H1604" s="71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66" t="s">
        <v>1045</v>
      </c>
      <c r="B1605" s="66">
        <f t="shared" si="3258"/>
        <v>15</v>
      </c>
      <c r="C1605" s="66">
        <f t="shared" si="3224"/>
        <v>83</v>
      </c>
      <c r="E1605" s="66">
        <f t="shared" ref="E1605" si="3287">plan_id</f>
        <v>1952</v>
      </c>
      <c r="F1605" s="66">
        <f t="shared" ca="1" si="3164"/>
        <v>2012</v>
      </c>
      <c r="G1605" s="66">
        <f t="shared" ref="G1605" ca="1" si="3288">VLOOKUP(INDIRECT(CHAR(39)&amp;$A1605&amp;CHAR(39)&amp;"!r2c"&amp;$C1605,0),variables,2,0)</f>
        <v>10822</v>
      </c>
      <c r="H1605" s="71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66" t="s">
        <v>1045</v>
      </c>
      <c r="B1606" s="66">
        <f t="shared" si="3258"/>
        <v>15</v>
      </c>
      <c r="C1606" s="66">
        <f t="shared" si="3224"/>
        <v>84</v>
      </c>
      <c r="E1606" s="66">
        <f t="shared" ref="E1606" si="3289">plan_id</f>
        <v>1952</v>
      </c>
      <c r="F1606" s="66">
        <f t="shared" ca="1" si="3164"/>
        <v>2012</v>
      </c>
      <c r="G1606" s="66">
        <f t="shared" ref="G1606" ca="1" si="3290">VLOOKUP(INDIRECT(CHAR(39)&amp;$A1606&amp;CHAR(39)&amp;"!r2c"&amp;$C1606,0),variables,2,0)</f>
        <v>10829</v>
      </c>
      <c r="H1606" s="71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1071906000</v>
      </c>
    </row>
    <row r="1607" spans="1:8" x14ac:dyDescent="0.2">
      <c r="A1607" s="66" t="s">
        <v>1045</v>
      </c>
      <c r="B1607" s="66">
        <f t="shared" si="3258"/>
        <v>15</v>
      </c>
      <c r="C1607" s="66">
        <f t="shared" si="3224"/>
        <v>85</v>
      </c>
      <c r="E1607" s="66">
        <f t="shared" ref="E1607" si="3291">plan_id</f>
        <v>1952</v>
      </c>
      <c r="F1607" s="66">
        <f t="shared" ca="1" si="3164"/>
        <v>2012</v>
      </c>
      <c r="G1607" s="66">
        <f t="shared" ref="G1607" ca="1" si="3292">VLOOKUP(INDIRECT(CHAR(39)&amp;$A1607&amp;CHAR(39)&amp;"!r2c"&amp;$C1607,0),variables,2,0)</f>
        <v>10823</v>
      </c>
      <c r="H1607" s="71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3295248000</v>
      </c>
    </row>
    <row r="1608" spans="1:8" x14ac:dyDescent="0.2">
      <c r="A1608" s="66" t="s">
        <v>1045</v>
      </c>
      <c r="B1608" s="66">
        <f t="shared" si="3258"/>
        <v>15</v>
      </c>
      <c r="C1608" s="66">
        <f t="shared" si="3224"/>
        <v>86</v>
      </c>
      <c r="E1608" s="66">
        <f t="shared" ref="E1608" si="3293">plan_id</f>
        <v>1952</v>
      </c>
      <c r="F1608" s="66">
        <f t="shared" ca="1" si="3164"/>
        <v>2012</v>
      </c>
      <c r="G1608" s="66">
        <f t="shared" ref="G1608" ca="1" si="3294">VLOOKUP(INDIRECT(CHAR(39)&amp;$A1608&amp;CHAR(39)&amp;"!r2c"&amp;$C1608,0),variables,2,0)</f>
        <v>10798</v>
      </c>
      <c r="H1608" s="71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-25400000</v>
      </c>
    </row>
    <row r="1609" spans="1:8" x14ac:dyDescent="0.2">
      <c r="A1609" s="66" t="s">
        <v>1045</v>
      </c>
      <c r="B1609" s="66">
        <f t="shared" si="3258"/>
        <v>15</v>
      </c>
      <c r="C1609" s="66">
        <f t="shared" si="3224"/>
        <v>87</v>
      </c>
      <c r="E1609" s="66">
        <f t="shared" ref="E1609" si="3295">plan_id</f>
        <v>1952</v>
      </c>
      <c r="F1609" s="66">
        <f t="shared" ca="1" si="3164"/>
        <v>2012</v>
      </c>
      <c r="G1609" s="66">
        <f t="shared" ref="G1609" ca="1" si="3296">VLOOKUP(INDIRECT(CHAR(39)&amp;$A1609&amp;CHAR(39)&amp;"!r2c"&amp;$C1609,0),variables,2,0)</f>
        <v>10799</v>
      </c>
      <c r="H1609" s="7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189300000</v>
      </c>
    </row>
    <row r="1610" spans="1:8" x14ac:dyDescent="0.2">
      <c r="A1610" s="66" t="s">
        <v>1045</v>
      </c>
      <c r="B1610" s="66">
        <f t="shared" si="3258"/>
        <v>15</v>
      </c>
      <c r="C1610" s="66">
        <f t="shared" si="3224"/>
        <v>88</v>
      </c>
      <c r="E1610" s="66">
        <f t="shared" ref="E1610" si="3297">plan_id</f>
        <v>1952</v>
      </c>
      <c r="F1610" s="66">
        <f t="shared" ca="1" si="3164"/>
        <v>2012</v>
      </c>
      <c r="G1610" s="66">
        <f t="shared" ref="G1610" ca="1" si="3298">VLOOKUP(INDIRECT(CHAR(39)&amp;$A1610&amp;CHAR(39)&amp;"!r2c"&amp;$C1610,0),variables,2,0)</f>
        <v>10800</v>
      </c>
      <c r="H1610" s="7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66" t="s">
        <v>1045</v>
      </c>
      <c r="B1611" s="66">
        <f t="shared" si="3258"/>
        <v>15</v>
      </c>
      <c r="C1611" s="66">
        <f t="shared" si="3224"/>
        <v>89</v>
      </c>
      <c r="E1611" s="66">
        <f t="shared" ref="E1611" si="3299">plan_id</f>
        <v>1952</v>
      </c>
      <c r="F1611" s="66">
        <f t="shared" ca="1" si="3164"/>
        <v>2012</v>
      </c>
      <c r="G1611" s="66">
        <f t="shared" ref="G1611" ca="1" si="3300">VLOOKUP(INDIRECT(CHAR(39)&amp;$A1611&amp;CHAR(39)&amp;"!r2c"&amp;$C1611,0),variables,2,0)</f>
        <v>10824</v>
      </c>
      <c r="H1611" s="7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66" t="s">
        <v>1045</v>
      </c>
      <c r="B1612" s="66">
        <f t="shared" si="3258"/>
        <v>15</v>
      </c>
      <c r="C1612" s="66">
        <f t="shared" si="3224"/>
        <v>90</v>
      </c>
      <c r="E1612" s="66">
        <f t="shared" ref="E1612" si="3301">plan_id</f>
        <v>1952</v>
      </c>
      <c r="F1612" s="66">
        <f t="shared" ca="1" si="3164"/>
        <v>2012</v>
      </c>
      <c r="G1612" s="66">
        <f t="shared" ref="G1612" ca="1" si="3302">VLOOKUP(INDIRECT(CHAR(39)&amp;$A1612&amp;CHAR(39)&amp;"!r2c"&amp;$C1612,0),variables,2,0)</f>
        <v>10825</v>
      </c>
      <c r="H1612" s="7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-216700000</v>
      </c>
    </row>
    <row r="1613" spans="1:8" x14ac:dyDescent="0.2">
      <c r="A1613" s="66" t="s">
        <v>1045</v>
      </c>
      <c r="B1613" s="66">
        <f t="shared" si="3258"/>
        <v>15</v>
      </c>
      <c r="C1613" s="66">
        <f t="shared" si="3224"/>
        <v>91</v>
      </c>
      <c r="E1613" s="66">
        <f t="shared" ref="E1613" si="3303">plan_id</f>
        <v>1952</v>
      </c>
      <c r="F1613" s="66">
        <f t="shared" ca="1" si="3164"/>
        <v>2012</v>
      </c>
      <c r="G1613" s="66">
        <f t="shared" ref="G1613" ca="1" si="3304">VLOOKUP(INDIRECT(CHAR(39)&amp;$A1613&amp;CHAR(39)&amp;"!r2c"&amp;$C1613,0),variables,2,0)</f>
        <v>10826</v>
      </c>
      <c r="H1613" s="71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1338255000</v>
      </c>
    </row>
    <row r="1614" spans="1:8" x14ac:dyDescent="0.2">
      <c r="A1614" s="66" t="s">
        <v>1045</v>
      </c>
      <c r="B1614" s="66">
        <f t="shared" si="3258"/>
        <v>15</v>
      </c>
      <c r="C1614" s="66">
        <f t="shared" si="3224"/>
        <v>92</v>
      </c>
      <c r="E1614" s="66">
        <f t="shared" ref="E1614" si="3305">plan_id</f>
        <v>1952</v>
      </c>
      <c r="F1614" s="66">
        <f t="shared" ca="1" si="3164"/>
        <v>2012</v>
      </c>
      <c r="G1614" s="66">
        <f t="shared" ref="G1614" ca="1" si="3306">VLOOKUP(INDIRECT(CHAR(39)&amp;$A1614&amp;CHAR(39)&amp;"!r2c"&amp;$C1614,0),variables,2,0)</f>
        <v>10828</v>
      </c>
      <c r="H1614" s="71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66" t="s">
        <v>1045</v>
      </c>
      <c r="B1615" s="66">
        <f t="shared" si="3258"/>
        <v>15</v>
      </c>
      <c r="C1615" s="66">
        <f t="shared" si="3224"/>
        <v>93</v>
      </c>
      <c r="E1615" s="66">
        <f t="shared" ref="E1615" si="3307">plan_id</f>
        <v>1952</v>
      </c>
      <c r="F1615" s="66">
        <f t="shared" ca="1" si="3164"/>
        <v>2012</v>
      </c>
      <c r="G1615" s="66">
        <f t="shared" ref="G1615" ca="1" si="3308">VLOOKUP(INDIRECT(CHAR(39)&amp;$A1615&amp;CHAR(39)&amp;"!r2c"&amp;$C1615,0),variables,2,0)</f>
        <v>10827</v>
      </c>
      <c r="H1615" s="71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1245000000</v>
      </c>
    </row>
    <row r="1616" spans="1:8" x14ac:dyDescent="0.2">
      <c r="A1616" s="66" t="s">
        <v>1045</v>
      </c>
      <c r="B1616" s="66">
        <f t="shared" ref="B1616:B1679" si="3309">B1551+1</f>
        <v>16</v>
      </c>
      <c r="C1616" s="66">
        <f t="shared" si="3224"/>
        <v>3</v>
      </c>
      <c r="E1616" s="66">
        <f t="shared" ref="E1616" si="3310">plan_id</f>
        <v>1952</v>
      </c>
      <c r="F1616" s="66">
        <f t="shared" ca="1" si="3164"/>
        <v>2013</v>
      </c>
      <c r="G1616" s="66">
        <f t="shared" ref="G1616" ca="1" si="3311">VLOOKUP(INDIRECT(CHAR(39)&amp;$A1616&amp;CHAR(39)&amp;"!r2c"&amp;$C1616,0),variables,2,0)</f>
        <v>10703</v>
      </c>
      <c r="H1616" s="71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 &amp; 2016</v>
      </c>
    </row>
    <row r="1617" spans="1:8" x14ac:dyDescent="0.2">
      <c r="A1617" s="66" t="s">
        <v>1045</v>
      </c>
      <c r="B1617" s="66">
        <f t="shared" si="3309"/>
        <v>16</v>
      </c>
      <c r="C1617" s="66">
        <f t="shared" si="3224"/>
        <v>4</v>
      </c>
      <c r="E1617" s="66">
        <f t="shared" ref="E1617" si="3312">plan_id</f>
        <v>1952</v>
      </c>
      <c r="F1617" s="66">
        <f t="shared" ca="1" si="3164"/>
        <v>2013</v>
      </c>
      <c r="G1617" s="66">
        <f t="shared" ref="G1617" ca="1" si="3313">VLOOKUP(INDIRECT(CHAR(39)&amp;$A1617&amp;CHAR(39)&amp;"!r2c"&amp;$C1617,0),variables,2,0)</f>
        <v>10845</v>
      </c>
      <c r="H1617" s="71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,LLC</v>
      </c>
    </row>
    <row r="1618" spans="1:8" x14ac:dyDescent="0.2">
      <c r="A1618" s="66" t="s">
        <v>1045</v>
      </c>
      <c r="B1618" s="66">
        <f t="shared" si="3309"/>
        <v>16</v>
      </c>
      <c r="C1618" s="66">
        <f t="shared" si="3224"/>
        <v>5</v>
      </c>
      <c r="E1618" s="66">
        <f t="shared" ref="E1618" si="3314">plan_id</f>
        <v>1952</v>
      </c>
      <c r="F1618" s="66">
        <f t="shared" ca="1" si="3164"/>
        <v>2013</v>
      </c>
      <c r="G1618" s="66">
        <f t="shared" ref="G1618" ca="1" si="3315">VLOOKUP(INDIRECT(CHAR(39)&amp;$A1618&amp;CHAR(39)&amp;"!r2c"&amp;$C1618,0),variables,2,0)</f>
        <v>10924</v>
      </c>
      <c r="H1618" s="71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(i)9.28%; (ii)10.78%</v>
      </c>
    </row>
    <row r="1619" spans="1:8" x14ac:dyDescent="0.2">
      <c r="A1619" s="66" t="s">
        <v>1045</v>
      </c>
      <c r="B1619" s="66">
        <f t="shared" si="3309"/>
        <v>16</v>
      </c>
      <c r="C1619" s="66">
        <f t="shared" si="3224"/>
        <v>6</v>
      </c>
      <c r="E1619" s="66">
        <f t="shared" ref="E1619" si="3316">plan_id</f>
        <v>1952</v>
      </c>
      <c r="F1619" s="66">
        <f t="shared" ca="1" si="3164"/>
        <v>2013</v>
      </c>
      <c r="G1619" s="66">
        <f t="shared" ref="G1619" ca="1" si="3317">VLOOKUP(INDIRECT(CHAR(39)&amp;$A1619&amp;CHAR(39)&amp;"!r2c"&amp;$C1619,0),variables,2,0)</f>
        <v>10925</v>
      </c>
      <c r="H1619" s="71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(i)4.28%; (ii)5.78%</v>
      </c>
    </row>
    <row r="1620" spans="1:8" x14ac:dyDescent="0.2">
      <c r="A1620" s="66" t="s">
        <v>1045</v>
      </c>
      <c r="B1620" s="66">
        <f t="shared" si="3309"/>
        <v>16</v>
      </c>
      <c r="C1620" s="66">
        <f t="shared" si="3224"/>
        <v>7</v>
      </c>
      <c r="E1620" s="66">
        <f t="shared" ref="E1620" si="3318">plan_id</f>
        <v>1952</v>
      </c>
      <c r="F1620" s="66">
        <f t="shared" ca="1" si="3164"/>
        <v>2013</v>
      </c>
      <c r="G1620" s="66">
        <f t="shared" ref="G1620" ca="1" si="3319">VLOOKUP(INDIRECT(CHAR(39)&amp;$A1620&amp;CHAR(39)&amp;"!r2c"&amp;$C1620,0),variables,2,0)</f>
        <v>10926</v>
      </c>
      <c r="H1620" s="71" t="str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(i)5%; (ii)5%</v>
      </c>
    </row>
    <row r="1621" spans="1:8" x14ac:dyDescent="0.2">
      <c r="A1621" s="66" t="s">
        <v>1045</v>
      </c>
      <c r="B1621" s="66">
        <f t="shared" si="3309"/>
        <v>16</v>
      </c>
      <c r="C1621" s="66">
        <f t="shared" si="3224"/>
        <v>8</v>
      </c>
      <c r="E1621" s="66">
        <f t="shared" ref="E1621" si="3320">plan_id</f>
        <v>1952</v>
      </c>
      <c r="F1621" s="66">
        <f t="shared" ca="1" si="3164"/>
        <v>2013</v>
      </c>
      <c r="G1621" s="66">
        <f t="shared" ref="G1621" ca="1" si="3321">VLOOKUP(INDIRECT(CHAR(39)&amp;$A1621&amp;CHAR(39)&amp;"!r2c"&amp;$C1621,0),variables,2,0)</f>
        <v>10704</v>
      </c>
      <c r="H1621" s="71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1322356550</v>
      </c>
    </row>
    <row r="1622" spans="1:8" x14ac:dyDescent="0.2">
      <c r="A1622" s="66" t="s">
        <v>1045</v>
      </c>
      <c r="B1622" s="66">
        <f t="shared" si="3309"/>
        <v>16</v>
      </c>
      <c r="C1622" s="66">
        <f t="shared" si="3224"/>
        <v>9</v>
      </c>
      <c r="E1622" s="66">
        <f t="shared" ref="E1622" si="3322">plan_id</f>
        <v>1952</v>
      </c>
      <c r="F1622" s="66">
        <f t="shared" ca="1" si="3164"/>
        <v>2013</v>
      </c>
      <c r="G1622" s="66">
        <f t="shared" ref="G1622" ca="1" si="3323">VLOOKUP(INDIRECT(CHAR(39)&amp;$A1622&amp;CHAR(39)&amp;"!r2c"&amp;$C1622,0),variables,2,0)</f>
        <v>10928</v>
      </c>
      <c r="H1622" s="71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(i)11.51%; (ii)12.41%</v>
      </c>
    </row>
    <row r="1623" spans="1:8" x14ac:dyDescent="0.2">
      <c r="A1623" s="66" t="s">
        <v>1045</v>
      </c>
      <c r="B1623" s="66">
        <f t="shared" si="3309"/>
        <v>16</v>
      </c>
      <c r="C1623" s="66">
        <f t="shared" si="3224"/>
        <v>10</v>
      </c>
      <c r="E1623" s="66">
        <f t="shared" ref="E1623" si="3324">plan_id</f>
        <v>1952</v>
      </c>
      <c r="F1623" s="66">
        <f t="shared" ca="1" si="3164"/>
        <v>2013</v>
      </c>
      <c r="G1623" s="66">
        <f t="shared" ref="G1623" ca="1" si="3325">VLOOKUP(INDIRECT(CHAR(39)&amp;$A1623&amp;CHAR(39)&amp;"!r2c"&amp;$C1623,0),variables,2,0)</f>
        <v>10929</v>
      </c>
      <c r="H1623" s="71" t="str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(i)11.51%; (ii)12.41%</v>
      </c>
    </row>
    <row r="1624" spans="1:8" x14ac:dyDescent="0.2">
      <c r="A1624" s="66" t="s">
        <v>1045</v>
      </c>
      <c r="B1624" s="66">
        <f t="shared" si="3309"/>
        <v>16</v>
      </c>
      <c r="C1624" s="66">
        <f t="shared" si="3224"/>
        <v>11</v>
      </c>
      <c r="E1624" s="66">
        <f t="shared" ref="E1624" si="3326">plan_id</f>
        <v>1952</v>
      </c>
      <c r="F1624" s="66">
        <f t="shared" ca="1" si="3164"/>
        <v>2013</v>
      </c>
      <c r="G1624" s="66">
        <f t="shared" ref="G1624" ca="1" si="3327">VLOOKUP(INDIRECT(CHAR(39)&amp;$A1624&amp;CHAR(39)&amp;"!r2c"&amp;$C1624,0),variables,2,0)</f>
        <v>10930</v>
      </c>
      <c r="H1624" s="71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66" t="s">
        <v>1045</v>
      </c>
      <c r="B1625" s="66">
        <f t="shared" si="3309"/>
        <v>16</v>
      </c>
      <c r="C1625" s="66">
        <f t="shared" si="3224"/>
        <v>12</v>
      </c>
      <c r="E1625" s="66">
        <f t="shared" ref="E1625" si="3328">plan_id</f>
        <v>1952</v>
      </c>
      <c r="F1625" s="66">
        <f t="shared" ca="1" si="3164"/>
        <v>2013</v>
      </c>
      <c r="G1625" s="66">
        <f t="shared" ref="G1625" ca="1" si="3329">VLOOKUP(INDIRECT(CHAR(39)&amp;$A1625&amp;CHAR(39)&amp;"!r2c"&amp;$C1625,0),variables,2,0)</f>
        <v>10705</v>
      </c>
      <c r="H1625" s="7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780238000</v>
      </c>
    </row>
    <row r="1626" spans="1:8" x14ac:dyDescent="0.2">
      <c r="A1626" s="66" t="s">
        <v>1045</v>
      </c>
      <c r="B1626" s="66">
        <f t="shared" si="3309"/>
        <v>16</v>
      </c>
      <c r="C1626" s="66">
        <f t="shared" si="3224"/>
        <v>13</v>
      </c>
      <c r="E1626" s="66">
        <f t="shared" ref="E1626" si="3330">plan_id</f>
        <v>1952</v>
      </c>
      <c r="F1626" s="66">
        <f t="shared" ca="1" si="3164"/>
        <v>2013</v>
      </c>
      <c r="G1626" s="66">
        <f t="shared" ref="G1626" ca="1" si="3331">VLOOKUP(INDIRECT(CHAR(39)&amp;$A1626&amp;CHAR(39)&amp;"!r2c"&amp;$C1626,0),variables,2,0)</f>
        <v>10842</v>
      </c>
      <c r="H1626" s="71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66" t="s">
        <v>1045</v>
      </c>
      <c r="B1627" s="66">
        <f t="shared" si="3309"/>
        <v>16</v>
      </c>
      <c r="C1627" s="66">
        <f t="shared" si="3224"/>
        <v>14</v>
      </c>
      <c r="E1627" s="66">
        <f t="shared" ref="E1627" si="3332">plan_id</f>
        <v>1952</v>
      </c>
      <c r="F1627" s="66">
        <f t="shared" ca="1" si="3164"/>
        <v>2013</v>
      </c>
      <c r="G1627" s="66">
        <f t="shared" ref="G1627" ca="1" si="3333">VLOOKUP(INDIRECT(CHAR(39)&amp;$A1627&amp;CHAR(39)&amp;"!r2c"&amp;$C1627,0),variables,2,0)</f>
        <v>10843</v>
      </c>
      <c r="H1627" s="71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66" t="s">
        <v>1045</v>
      </c>
      <c r="B1628" s="66">
        <f t="shared" si="3309"/>
        <v>16</v>
      </c>
      <c r="C1628" s="66">
        <f t="shared" si="3224"/>
        <v>15</v>
      </c>
      <c r="E1628" s="66">
        <f t="shared" ref="E1628" si="3334">plan_id</f>
        <v>1952</v>
      </c>
      <c r="F1628" s="66">
        <f t="shared" ca="1" si="3164"/>
        <v>2013</v>
      </c>
      <c r="G1628" s="66">
        <f t="shared" ref="G1628" ca="1" si="3335">VLOOKUP(INDIRECT(CHAR(39)&amp;$A1628&amp;CHAR(39)&amp;"!r2c"&amp;$C1628,0),variables,2,0)</f>
        <v>10931</v>
      </c>
      <c r="H1628" s="7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66" t="s">
        <v>1045</v>
      </c>
      <c r="B1629" s="66">
        <f t="shared" si="3309"/>
        <v>16</v>
      </c>
      <c r="C1629" s="66">
        <f t="shared" si="3224"/>
        <v>16</v>
      </c>
      <c r="E1629" s="66">
        <f t="shared" ref="E1629" si="3336">plan_id</f>
        <v>1952</v>
      </c>
      <c r="F1629" s="66">
        <f t="shared" ca="1" si="3164"/>
        <v>2013</v>
      </c>
      <c r="G1629" s="66">
        <f t="shared" ref="G1629" ca="1" si="3337">VLOOKUP(INDIRECT(CHAR(39)&amp;$A1629&amp;CHAR(39)&amp;"!r2c"&amp;$C1629,0),variables,2,0)</f>
        <v>10932</v>
      </c>
      <c r="H1629" s="7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66" t="s">
        <v>1045</v>
      </c>
      <c r="B1630" s="66">
        <f t="shared" si="3309"/>
        <v>16</v>
      </c>
      <c r="C1630" s="66">
        <f t="shared" si="3224"/>
        <v>17</v>
      </c>
      <c r="E1630" s="66">
        <f t="shared" ref="E1630" si="3338">plan_id</f>
        <v>1952</v>
      </c>
      <c r="F1630" s="66">
        <f t="shared" ca="1" si="3164"/>
        <v>2013</v>
      </c>
      <c r="G1630" s="66">
        <f t="shared" ref="G1630" ca="1" si="3339">VLOOKUP(INDIRECT(CHAR(39)&amp;$A1630&amp;CHAR(39)&amp;"!r2c"&amp;$C1630,0),variables,2,0)</f>
        <v>10933</v>
      </c>
      <c r="H1630" s="71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(i)15.79%; (ii)18.19%</v>
      </c>
    </row>
    <row r="1631" spans="1:8" x14ac:dyDescent="0.2">
      <c r="A1631" s="66" t="s">
        <v>1045</v>
      </c>
      <c r="B1631" s="66">
        <f t="shared" si="3309"/>
        <v>16</v>
      </c>
      <c r="C1631" s="66">
        <f t="shared" si="3224"/>
        <v>18</v>
      </c>
      <c r="E1631" s="66">
        <f t="shared" ref="E1631" si="3340">plan_id</f>
        <v>1952</v>
      </c>
      <c r="F1631" s="66">
        <f t="shared" ca="1" si="3164"/>
        <v>2013</v>
      </c>
      <c r="G1631" s="66">
        <f t="shared" ref="G1631" ca="1" si="3341">VLOOKUP(INDIRECT(CHAR(39)&amp;$A1631&amp;CHAR(39)&amp;"!r2c"&amp;$C1631,0),variables,2,0)</f>
        <v>10934</v>
      </c>
      <c r="H1631" s="71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(i)5%; (ii)5%</v>
      </c>
    </row>
    <row r="1632" spans="1:8" x14ac:dyDescent="0.2">
      <c r="A1632" s="66" t="s">
        <v>1045</v>
      </c>
      <c r="B1632" s="66">
        <f t="shared" si="3309"/>
        <v>16</v>
      </c>
      <c r="C1632" s="66">
        <f t="shared" si="3224"/>
        <v>19</v>
      </c>
      <c r="E1632" s="66">
        <f t="shared" ref="E1632" si="3342">plan_id</f>
        <v>1952</v>
      </c>
      <c r="F1632" s="66">
        <f t="shared" ca="1" si="3164"/>
        <v>2013</v>
      </c>
      <c r="G1632" s="66">
        <f t="shared" ref="G1632" ca="1" si="3343">VLOOKUP(INDIRECT(CHAR(39)&amp;$A1632&amp;CHAR(39)&amp;"!r2c"&amp;$C1632,0),variables,2,0)</f>
        <v>10935</v>
      </c>
      <c r="H1632" s="71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2">
      <c r="A1633" s="66" t="s">
        <v>1045</v>
      </c>
      <c r="B1633" s="66">
        <f t="shared" si="3309"/>
        <v>16</v>
      </c>
      <c r="C1633" s="66">
        <f t="shared" si="3224"/>
        <v>20</v>
      </c>
      <c r="E1633" s="66">
        <f t="shared" ref="E1633" si="3344">plan_id</f>
        <v>1952</v>
      </c>
      <c r="F1633" s="66">
        <f t="shared" ca="1" si="3164"/>
        <v>2013</v>
      </c>
      <c r="G1633" s="66">
        <f t="shared" ref="G1633" ca="1" si="3345">VLOOKUP(INDIRECT(CHAR(39)&amp;$A1633&amp;CHAR(39)&amp;"!r2c"&amp;$C1633,0),variables,2,0)</f>
        <v>10937</v>
      </c>
      <c r="H1633" s="71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66" t="s">
        <v>1045</v>
      </c>
      <c r="B1634" s="66">
        <f t="shared" si="3309"/>
        <v>16</v>
      </c>
      <c r="C1634" s="66">
        <f t="shared" si="3224"/>
        <v>21</v>
      </c>
      <c r="E1634" s="66">
        <f t="shared" ref="E1634" si="3346">plan_id</f>
        <v>1952</v>
      </c>
      <c r="F1634" s="66">
        <f t="shared" ca="1" si="3164"/>
        <v>2013</v>
      </c>
      <c r="G1634" s="66">
        <f t="shared" ref="G1634" ca="1" si="3347">VLOOKUP(INDIRECT(CHAR(39)&amp;$A1634&amp;CHAR(39)&amp;"!r2c"&amp;$C1634,0),variables,2,0)</f>
        <v>10938</v>
      </c>
      <c r="H1634" s="7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66" t="s">
        <v>1045</v>
      </c>
      <c r="B1635" s="66">
        <f t="shared" si="3309"/>
        <v>16</v>
      </c>
      <c r="C1635" s="66">
        <f t="shared" si="3224"/>
        <v>22</v>
      </c>
      <c r="E1635" s="66">
        <f t="shared" ref="E1635" si="3348">plan_id</f>
        <v>1952</v>
      </c>
      <c r="F1635" s="66">
        <f t="shared" ca="1" si="3164"/>
        <v>2013</v>
      </c>
      <c r="G1635" s="66">
        <f t="shared" ref="G1635" ca="1" si="3349">VLOOKUP(INDIRECT(CHAR(39)&amp;$A1635&amp;CHAR(39)&amp;"!r2c"&amp;$C1635,0),variables,2,0)</f>
        <v>11007</v>
      </c>
      <c r="H1635" s="71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Plan 1: 1.7% of AFC times years of service; Plan 2: 1.7% AFC times years of service up to 1/1/13 + 1.65% AFC times years of service from 1/1/13</v>
      </c>
    </row>
    <row r="1636" spans="1:8" x14ac:dyDescent="0.2">
      <c r="A1636" s="66" t="s">
        <v>1045</v>
      </c>
      <c r="B1636" s="66">
        <f t="shared" si="3309"/>
        <v>16</v>
      </c>
      <c r="C1636" s="66">
        <f t="shared" si="3224"/>
        <v>23</v>
      </c>
      <c r="E1636" s="66">
        <f t="shared" ref="E1636" si="3350">plan_id</f>
        <v>1952</v>
      </c>
      <c r="F1636" s="66">
        <f t="shared" ca="1" si="3164"/>
        <v>2013</v>
      </c>
      <c r="G1636" s="66">
        <f t="shared" ref="G1636" ca="1" si="3351">VLOOKUP(INDIRECT(CHAR(39)&amp;$A1636&amp;CHAR(39)&amp;"!r2c"&amp;$C1636,0),variables,2,0)</f>
        <v>10941</v>
      </c>
      <c r="H1636" s="71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PBI</v>
      </c>
    </row>
    <row r="1637" spans="1:8" x14ac:dyDescent="0.2">
      <c r="A1637" s="66" t="s">
        <v>1045</v>
      </c>
      <c r="B1637" s="66">
        <f t="shared" si="3309"/>
        <v>16</v>
      </c>
      <c r="C1637" s="66">
        <f t="shared" si="3224"/>
        <v>24</v>
      </c>
      <c r="E1637" s="66">
        <f t="shared" ref="E1637" si="3352">plan_id</f>
        <v>1952</v>
      </c>
      <c r="F1637" s="66">
        <f t="shared" ca="1" si="3164"/>
        <v>2013</v>
      </c>
      <c r="G1637" s="66">
        <f t="shared" ref="G1637" ca="1" si="3353">VLOOKUP(INDIRECT(CHAR(39)&amp;$A1637&amp;CHAR(39)&amp;"!r2c"&amp;$C1637,0),variables,2,0)</f>
        <v>10942</v>
      </c>
      <c r="H1637" s="71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2">
      <c r="A1638" s="66" t="s">
        <v>1045</v>
      </c>
      <c r="B1638" s="66">
        <f t="shared" si="3309"/>
        <v>16</v>
      </c>
      <c r="C1638" s="66">
        <f t="shared" si="3224"/>
        <v>25</v>
      </c>
      <c r="E1638" s="66">
        <f t="shared" ref="E1638" si="3354">plan_id</f>
        <v>1952</v>
      </c>
      <c r="F1638" s="66">
        <f t="shared" ref="F1638:F1757" ca="1" si="3355">INDIRECT(CHAR(39)&amp;$A1638&amp;CHAR(39)&amp;"!r"&amp;$B1638&amp;"c2",0)</f>
        <v>2013</v>
      </c>
      <c r="G1638" s="66">
        <f t="shared" ref="G1638" ca="1" si="3356">VLOOKUP(INDIRECT(CHAR(39)&amp;$A1638&amp;CHAR(39)&amp;"!r2c"&amp;$C1638,0),variables,2,0)</f>
        <v>10701</v>
      </c>
      <c r="H1638" s="71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2">
      <c r="A1639" s="66" t="s">
        <v>1045</v>
      </c>
      <c r="B1639" s="66">
        <f t="shared" si="3309"/>
        <v>16</v>
      </c>
      <c r="C1639" s="66">
        <f t="shared" ref="C1639:C1702" si="3357">C1548</f>
        <v>26</v>
      </c>
      <c r="E1639" s="66">
        <f t="shared" ref="E1639" si="3358">plan_id</f>
        <v>1952</v>
      </c>
      <c r="F1639" s="66">
        <f t="shared" ca="1" si="3355"/>
        <v>2013</v>
      </c>
      <c r="G1639" s="66">
        <f t="shared" ref="G1639" ca="1" si="3359">VLOOKUP(INDIRECT(CHAR(39)&amp;$A1639&amp;CHAR(39)&amp;"!r2c"&amp;$C1639,0),variables,2,0)</f>
        <v>10702</v>
      </c>
      <c r="H1639" s="71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66" t="s">
        <v>1045</v>
      </c>
      <c r="B1640" s="66">
        <f t="shared" si="3309"/>
        <v>16</v>
      </c>
      <c r="C1640" s="66">
        <f t="shared" si="3357"/>
        <v>27</v>
      </c>
      <c r="E1640" s="66">
        <f t="shared" ref="E1640" si="3360">plan_id</f>
        <v>1952</v>
      </c>
      <c r="F1640" s="66">
        <f t="shared" ca="1" si="3355"/>
        <v>2013</v>
      </c>
      <c r="G1640" s="66">
        <f t="shared" ref="G1640" ca="1" si="3361">VLOOKUP(INDIRECT(CHAR(39)&amp;$A1640&amp;CHAR(39)&amp;"!r2c"&amp;$C1640,0),variables,2,0)</f>
        <v>10943</v>
      </c>
      <c r="H1640" s="71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Plan 1: 2.50%; Plan 2: 2.25%</v>
      </c>
    </row>
    <row r="1641" spans="1:8" x14ac:dyDescent="0.2">
      <c r="A1641" s="66" t="s">
        <v>1045</v>
      </c>
      <c r="B1641" s="66">
        <f t="shared" si="3309"/>
        <v>16</v>
      </c>
      <c r="C1641" s="66">
        <f t="shared" si="3357"/>
        <v>28</v>
      </c>
      <c r="E1641" s="66">
        <f t="shared" ref="E1641" si="3362">plan_id</f>
        <v>1952</v>
      </c>
      <c r="F1641" s="66">
        <f t="shared" ca="1" si="3355"/>
        <v>2013</v>
      </c>
      <c r="G1641" s="66">
        <f t="shared" ref="G1641" ca="1" si="3363">VLOOKUP(INDIRECT(CHAR(39)&amp;$A1641&amp;CHAR(39)&amp;"!r2c"&amp;$C1641,0),variables,2,0)</f>
        <v>10944</v>
      </c>
      <c r="H1641" s="71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66" t="s">
        <v>1045</v>
      </c>
      <c r="B1642" s="66">
        <f t="shared" si="3309"/>
        <v>16</v>
      </c>
      <c r="C1642" s="66">
        <f t="shared" si="3357"/>
        <v>29</v>
      </c>
      <c r="E1642" s="66">
        <f t="shared" ref="E1642" si="3364">plan_id</f>
        <v>1952</v>
      </c>
      <c r="F1642" s="66">
        <f t="shared" ca="1" si="3355"/>
        <v>2013</v>
      </c>
      <c r="G1642" s="66">
        <f t="shared" ref="G1642" ca="1" si="3365">VLOOKUP(INDIRECT(CHAR(39)&amp;$A1642&amp;CHAR(39)&amp;"!r2c"&amp;$C1642,0),variables,2,0)</f>
        <v>10945</v>
      </c>
      <c r="H1642" s="71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66" t="s">
        <v>1045</v>
      </c>
      <c r="B1643" s="66">
        <f t="shared" si="3309"/>
        <v>16</v>
      </c>
      <c r="C1643" s="66">
        <f t="shared" si="3357"/>
        <v>30</v>
      </c>
      <c r="E1643" s="66">
        <f t="shared" ref="E1643" si="3366">plan_id</f>
        <v>1952</v>
      </c>
      <c r="F1643" s="66">
        <f t="shared" ca="1" si="3355"/>
        <v>2013</v>
      </c>
      <c r="G1643" s="66">
        <f t="shared" ref="G1643" ca="1" si="3367">VLOOKUP(INDIRECT(CHAR(39)&amp;$A1643&amp;CHAR(39)&amp;"!r2c"&amp;$C1643,0),variables,2,0)</f>
        <v>10947</v>
      </c>
      <c r="H1643" s="71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66" t="s">
        <v>1045</v>
      </c>
      <c r="B1644" s="66">
        <f t="shared" si="3309"/>
        <v>16</v>
      </c>
      <c r="C1644" s="66">
        <f t="shared" si="3357"/>
        <v>31</v>
      </c>
      <c r="E1644" s="66">
        <f t="shared" ref="E1644" si="3368">plan_id</f>
        <v>1952</v>
      </c>
      <c r="F1644" s="66">
        <f t="shared" ca="1" si="3355"/>
        <v>2013</v>
      </c>
      <c r="G1644" s="66">
        <f t="shared" ref="G1644" ca="1" si="3369">VLOOKUP(INDIRECT(CHAR(39)&amp;$A1644&amp;CHAR(39)&amp;"!r2c"&amp;$C1644,0),variables,2,0)</f>
        <v>10948</v>
      </c>
      <c r="H1644" s="71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2">
      <c r="A1645" s="66" t="s">
        <v>1045</v>
      </c>
      <c r="B1645" s="66">
        <f t="shared" si="3309"/>
        <v>16</v>
      </c>
      <c r="C1645" s="66">
        <f t="shared" si="3357"/>
        <v>32</v>
      </c>
      <c r="E1645" s="66">
        <f t="shared" ref="E1645" si="3370">plan_id</f>
        <v>1952</v>
      </c>
      <c r="F1645" s="66">
        <f t="shared" ca="1" si="3355"/>
        <v>2013</v>
      </c>
      <c r="G1645" s="66">
        <f t="shared" ref="G1645" ca="1" si="3371">VLOOKUP(INDIRECT(CHAR(39)&amp;$A1645&amp;CHAR(39)&amp;"!r2c"&amp;$C1645,0),variables,2,0)</f>
        <v>10949</v>
      </c>
      <c r="H1645" s="71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66" t="s">
        <v>1045</v>
      </c>
      <c r="B1646" s="66">
        <f t="shared" si="3309"/>
        <v>16</v>
      </c>
      <c r="C1646" s="66">
        <f t="shared" si="3357"/>
        <v>33</v>
      </c>
      <c r="E1646" s="66">
        <f t="shared" ref="E1646" si="3372">plan_id</f>
        <v>1952</v>
      </c>
      <c r="F1646" s="66">
        <f t="shared" ca="1" si="3355"/>
        <v>2013</v>
      </c>
      <c r="G1646" s="66">
        <f t="shared" ref="G1646" ca="1" si="3373">VLOOKUP(INDIRECT(CHAR(39)&amp;$A1646&amp;CHAR(39)&amp;"!r2c"&amp;$C1646,0),variables,2,0)</f>
        <v>10951</v>
      </c>
      <c r="H1646" s="71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2">
      <c r="A1647" s="66" t="s">
        <v>1045</v>
      </c>
      <c r="B1647" s="66">
        <f t="shared" si="3309"/>
        <v>16</v>
      </c>
      <c r="C1647" s="66">
        <f t="shared" si="3357"/>
        <v>34</v>
      </c>
      <c r="E1647" s="66">
        <f t="shared" ref="E1647" si="3374">plan_id</f>
        <v>1952</v>
      </c>
      <c r="F1647" s="66">
        <f t="shared" ca="1" si="3355"/>
        <v>2013</v>
      </c>
      <c r="G1647" s="66">
        <f t="shared" ref="G1647" ca="1" si="3375">VLOOKUP(INDIRECT(CHAR(39)&amp;$A1647&amp;CHAR(39)&amp;"!r2c"&amp;$C1647,0),variables,2,0)</f>
        <v>10950</v>
      </c>
      <c r="H1647" s="71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2">
      <c r="A1648" s="66" t="s">
        <v>1045</v>
      </c>
      <c r="B1648" s="66">
        <f t="shared" si="3309"/>
        <v>16</v>
      </c>
      <c r="C1648" s="66">
        <f t="shared" si="3357"/>
        <v>35</v>
      </c>
      <c r="E1648" s="66">
        <f t="shared" ref="E1648" si="3376">plan_id</f>
        <v>1952</v>
      </c>
      <c r="F1648" s="66">
        <f t="shared" ca="1" si="3355"/>
        <v>2013</v>
      </c>
      <c r="G1648" s="66">
        <f t="shared" ref="G1648" ca="1" si="3377">VLOOKUP(INDIRECT(CHAR(39)&amp;$A1648&amp;CHAR(39)&amp;"!r2c"&amp;$C1648,0),variables,2,0)</f>
        <v>10954</v>
      </c>
      <c r="H1648" s="71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2.5000000000000001E-2</v>
      </c>
    </row>
    <row r="1649" spans="1:8" x14ac:dyDescent="0.2">
      <c r="A1649" s="66" t="s">
        <v>1045</v>
      </c>
      <c r="B1649" s="66">
        <f t="shared" si="3309"/>
        <v>16</v>
      </c>
      <c r="C1649" s="66">
        <f t="shared" si="3357"/>
        <v>36</v>
      </c>
      <c r="E1649" s="66">
        <f t="shared" ref="E1649" si="3378">plan_id</f>
        <v>1952</v>
      </c>
      <c r="F1649" s="66">
        <f t="shared" ca="1" si="3355"/>
        <v>2013</v>
      </c>
      <c r="G1649" s="66">
        <f t="shared" ref="G1649" ca="1" si="3379">VLOOKUP(INDIRECT(CHAR(39)&amp;$A1649&amp;CHAR(39)&amp;"!r2c"&amp;$C1649,0),variables,2,0)</f>
        <v>10955</v>
      </c>
      <c r="H1649" s="71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7.0000000000000007E-2</v>
      </c>
    </row>
    <row r="1650" spans="1:8" x14ac:dyDescent="0.2">
      <c r="A1650" s="66" t="s">
        <v>1045</v>
      </c>
      <c r="B1650" s="66">
        <f t="shared" si="3309"/>
        <v>16</v>
      </c>
      <c r="C1650" s="66">
        <f t="shared" si="3357"/>
        <v>37</v>
      </c>
      <c r="E1650" s="66">
        <f t="shared" ref="E1650" si="3380">plan_id</f>
        <v>1952</v>
      </c>
      <c r="F1650" s="66">
        <f t="shared" ca="1" si="3355"/>
        <v>2013</v>
      </c>
      <c r="G1650" s="66">
        <f t="shared" ref="G1650" ca="1" si="3381">VLOOKUP(INDIRECT(CHAR(39)&amp;$A1650&amp;CHAR(39)&amp;"!r2c"&amp;$C1650,0),variables,2,0)</f>
        <v>10956</v>
      </c>
      <c r="H1650" s="71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</row>
    <row r="1651" spans="1:8" x14ac:dyDescent="0.2">
      <c r="A1651" s="66" t="s">
        <v>1045</v>
      </c>
      <c r="B1651" s="66">
        <f t="shared" si="3309"/>
        <v>16</v>
      </c>
      <c r="C1651" s="66">
        <f t="shared" si="3357"/>
        <v>38</v>
      </c>
      <c r="E1651" s="66">
        <f t="shared" ref="E1651" si="3382">plan_id</f>
        <v>1952</v>
      </c>
      <c r="F1651" s="66">
        <f t="shared" ca="1" si="3355"/>
        <v>2013</v>
      </c>
      <c r="G1651" s="66">
        <f t="shared" ref="G1651" ca="1" si="3383">VLOOKUP(INDIRECT(CHAR(39)&amp;$A1651&amp;CHAR(39)&amp;"!r2c"&amp;$C1651,0),variables,2,0)</f>
        <v>10959</v>
      </c>
      <c r="H1651" s="71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SE-3.50% to 5.35% &amp; Teach 3.50% to 5.95%; Political Sub: 3.5%-5.35%, 3.5%-4.75%</v>
      </c>
    </row>
    <row r="1652" spans="1:8" x14ac:dyDescent="0.2">
      <c r="A1652" s="66" t="s">
        <v>1045</v>
      </c>
      <c r="B1652" s="66">
        <f t="shared" si="3309"/>
        <v>16</v>
      </c>
      <c r="C1652" s="66">
        <f t="shared" si="3357"/>
        <v>39</v>
      </c>
      <c r="E1652" s="66">
        <f t="shared" ref="E1652" si="3384">plan_id</f>
        <v>1952</v>
      </c>
      <c r="F1652" s="66">
        <f t="shared" ca="1" si="3355"/>
        <v>2013</v>
      </c>
      <c r="G1652" s="66">
        <f t="shared" ref="G1652" ca="1" si="3385">VLOOKUP(INDIRECT(CHAR(39)&amp;$A1652&amp;CHAR(39)&amp;"!r2c"&amp;$C1652,0),variables,2,0)</f>
        <v>10962</v>
      </c>
      <c r="H1652" s="71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59 &amp; 65</v>
      </c>
    </row>
    <row r="1653" spans="1:8" x14ac:dyDescent="0.2">
      <c r="A1653" s="66" t="s">
        <v>1045</v>
      </c>
      <c r="B1653" s="66">
        <f t="shared" si="3309"/>
        <v>16</v>
      </c>
      <c r="C1653" s="66">
        <f t="shared" si="3357"/>
        <v>40</v>
      </c>
      <c r="E1653" s="66">
        <f t="shared" ref="E1653" si="3386">plan_id</f>
        <v>1952</v>
      </c>
      <c r="F1653" s="66">
        <f t="shared" ca="1" si="3355"/>
        <v>2013</v>
      </c>
      <c r="G1653" s="66">
        <f t="shared" ref="G1653" ca="1" si="3387">VLOOKUP(INDIRECT(CHAR(39)&amp;$A1653&amp;CHAR(39)&amp;"!r2c"&amp;$C1653,0),variables,2,0)</f>
        <v>10964</v>
      </c>
      <c r="H1653" s="71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56,57 &amp; 62,63</v>
      </c>
    </row>
    <row r="1654" spans="1:8" x14ac:dyDescent="0.2">
      <c r="A1654" s="66" t="s">
        <v>1045</v>
      </c>
      <c r="B1654" s="66">
        <f t="shared" si="3309"/>
        <v>16</v>
      </c>
      <c r="C1654" s="66">
        <f t="shared" si="3357"/>
        <v>41</v>
      </c>
      <c r="E1654" s="66">
        <f t="shared" ref="E1654" si="3388">plan_id</f>
        <v>1952</v>
      </c>
      <c r="F1654" s="66">
        <f t="shared" ca="1" si="3355"/>
        <v>2013</v>
      </c>
      <c r="G1654" s="66">
        <f t="shared" ref="G1654" ca="1" si="3389">VLOOKUP(INDIRECT(CHAR(39)&amp;$A1654&amp;CHAR(39)&amp;"!r2c"&amp;$C1654,0),variables,2,0)</f>
        <v>10967</v>
      </c>
      <c r="H1654" s="71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Employee Mortality Table; RP-2000 Combined Mortality Table</v>
      </c>
    </row>
    <row r="1655" spans="1:8" x14ac:dyDescent="0.2">
      <c r="A1655" s="66" t="s">
        <v>1045</v>
      </c>
      <c r="B1655" s="66">
        <f t="shared" si="3309"/>
        <v>16</v>
      </c>
      <c r="C1655" s="66">
        <f t="shared" si="3357"/>
        <v>42</v>
      </c>
      <c r="E1655" s="66">
        <f t="shared" ref="E1655" si="3390">plan_id</f>
        <v>1952</v>
      </c>
      <c r="F1655" s="66">
        <f t="shared" ca="1" si="3355"/>
        <v>2013</v>
      </c>
      <c r="G1655" s="66">
        <f t="shared" ref="G1655" ca="1" si="3391">VLOOKUP(INDIRECT(CHAR(39)&amp;$A1655&amp;CHAR(39)&amp;"!r2c"&amp;$C1655,0),variables,2,0)</f>
        <v>10968</v>
      </c>
      <c r="H1655" s="71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66" t="s">
        <v>1045</v>
      </c>
      <c r="B1656" s="66">
        <f t="shared" si="3309"/>
        <v>16</v>
      </c>
      <c r="C1656" s="66">
        <f t="shared" si="3357"/>
        <v>43</v>
      </c>
      <c r="E1656" s="66">
        <f t="shared" ref="E1656" si="3392">plan_id</f>
        <v>1952</v>
      </c>
      <c r="F1656" s="66">
        <f t="shared" ca="1" si="3355"/>
        <v>2013</v>
      </c>
      <c r="G1656" s="66">
        <f t="shared" ref="G1656" ca="1" si="3393">VLOOKUP(INDIRECT(CHAR(39)&amp;$A1656&amp;CHAR(39)&amp;"!r2c"&amp;$C1656,0),variables,2,0)</f>
        <v>10969</v>
      </c>
      <c r="H1656" s="71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 xml:space="preserve">Scale AA  </v>
      </c>
    </row>
    <row r="1657" spans="1:8" x14ac:dyDescent="0.2">
      <c r="A1657" s="66" t="s">
        <v>1045</v>
      </c>
      <c r="B1657" s="66">
        <f t="shared" si="3309"/>
        <v>16</v>
      </c>
      <c r="C1657" s="66">
        <f t="shared" si="3357"/>
        <v>44</v>
      </c>
      <c r="E1657" s="66">
        <f t="shared" ref="E1657" si="3394">plan_id</f>
        <v>1952</v>
      </c>
      <c r="F1657" s="66">
        <f t="shared" ca="1" si="3355"/>
        <v>2013</v>
      </c>
      <c r="G1657" s="66">
        <f t="shared" ref="G1657" ca="1" si="3395">VLOOKUP(INDIRECT(CHAR(39)&amp;$A1657&amp;CHAR(39)&amp;"!r2c"&amp;$C1657,0),variables,2,0)</f>
        <v>10970</v>
      </c>
      <c r="H1657" s="71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State Females: Pre-3 Years; Post- 1 Year; Teachers: Pre- Males: 3 Years, Females: 5 Years; Post- Males: 2 Years; Females: 3 Years</v>
      </c>
    </row>
    <row r="1658" spans="1:8" x14ac:dyDescent="0.2">
      <c r="A1658" s="66" t="s">
        <v>1045</v>
      </c>
      <c r="B1658" s="66">
        <f t="shared" si="3309"/>
        <v>16</v>
      </c>
      <c r="C1658" s="66">
        <f t="shared" si="3357"/>
        <v>45</v>
      </c>
      <c r="E1658" s="66">
        <f t="shared" ref="E1658" si="3396">plan_id</f>
        <v>1952</v>
      </c>
      <c r="F1658" s="66">
        <f t="shared" ca="1" si="3355"/>
        <v>2013</v>
      </c>
      <c r="G1658" s="66">
        <f t="shared" ref="G1658" ca="1" si="3397">VLOOKUP(INDIRECT(CHAR(39)&amp;$A1658&amp;CHAR(39)&amp;"!r2c"&amp;$C1658,0),variables,2,0)</f>
        <v>10971</v>
      </c>
      <c r="H1658" s="71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State-Males: Pre- 2 Years</v>
      </c>
    </row>
    <row r="1659" spans="1:8" x14ac:dyDescent="0.2">
      <c r="A1659" s="66" t="s">
        <v>1045</v>
      </c>
      <c r="B1659" s="66">
        <f t="shared" si="3309"/>
        <v>16</v>
      </c>
      <c r="C1659" s="66">
        <f t="shared" si="3357"/>
        <v>46</v>
      </c>
      <c r="E1659" s="66">
        <f t="shared" ref="E1659" si="3398">plan_id</f>
        <v>1952</v>
      </c>
      <c r="F1659" s="66">
        <f t="shared" ca="1" si="3355"/>
        <v>2013</v>
      </c>
      <c r="G1659" s="66">
        <f t="shared" ref="G1659" ca="1" si="3399">VLOOKUP(INDIRECT(CHAR(39)&amp;$A1659&amp;CHAR(39)&amp;"!r2c"&amp;$C1659,0),variables,2,0)</f>
        <v>10972</v>
      </c>
      <c r="H1659" s="71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 open</v>
      </c>
    </row>
    <row r="1660" spans="1:8" x14ac:dyDescent="0.2">
      <c r="A1660" s="66" t="s">
        <v>1045</v>
      </c>
      <c r="B1660" s="66">
        <f t="shared" si="3309"/>
        <v>16</v>
      </c>
      <c r="C1660" s="66">
        <f t="shared" si="3357"/>
        <v>47</v>
      </c>
      <c r="E1660" s="66">
        <f t="shared" ref="E1660" si="3400">plan_id</f>
        <v>1952</v>
      </c>
      <c r="F1660" s="66">
        <f t="shared" ca="1" si="3355"/>
        <v>2013</v>
      </c>
      <c r="G1660" s="66">
        <f t="shared" ref="G1660" ca="1" si="3401">VLOOKUP(INDIRECT(CHAR(39)&amp;$A1660&amp;CHAR(39)&amp;"!r2c"&amp;$C1660,0),variables,2,0)</f>
        <v>10973</v>
      </c>
      <c r="H1660" s="71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8 &amp; 30 Years</v>
      </c>
    </row>
    <row r="1661" spans="1:8" x14ac:dyDescent="0.2">
      <c r="A1661" s="66" t="s">
        <v>1045</v>
      </c>
      <c r="B1661" s="66">
        <f t="shared" si="3309"/>
        <v>16</v>
      </c>
      <c r="C1661" s="66">
        <f t="shared" si="3357"/>
        <v>48</v>
      </c>
      <c r="E1661" s="66">
        <f t="shared" ref="E1661" si="3402">plan_id</f>
        <v>1952</v>
      </c>
      <c r="F1661" s="66">
        <f t="shared" ca="1" si="3355"/>
        <v>2013</v>
      </c>
      <c r="G1661" s="66">
        <f t="shared" ref="G1661" ca="1" si="3403">VLOOKUP(INDIRECT(CHAR(39)&amp;$A1661&amp;CHAR(39)&amp;"!r2c"&amp;$C1661,0),variables,2,0)</f>
        <v>10975</v>
      </c>
      <c r="H1661" s="71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2">
      <c r="A1662" s="66" t="s">
        <v>1045</v>
      </c>
      <c r="B1662" s="66">
        <f t="shared" si="3309"/>
        <v>16</v>
      </c>
      <c r="C1662" s="66">
        <f t="shared" si="3357"/>
        <v>49</v>
      </c>
      <c r="E1662" s="66">
        <f t="shared" ref="E1662" si="3404">plan_id</f>
        <v>1952</v>
      </c>
      <c r="F1662" s="66">
        <f t="shared" ca="1" si="3355"/>
        <v>2013</v>
      </c>
      <c r="G1662" s="66">
        <f t="shared" ref="G1662" ca="1" si="3405">VLOOKUP(INDIRECT(CHAR(39)&amp;$A1662&amp;CHAR(39)&amp;"!r2c"&amp;$C1662,0),variables,2,0)</f>
        <v>10976</v>
      </c>
      <c r="H1662" s="71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7.0000000000000007E-2</v>
      </c>
    </row>
    <row r="1663" spans="1:8" x14ac:dyDescent="0.2">
      <c r="A1663" s="66" t="s">
        <v>1045</v>
      </c>
      <c r="B1663" s="66">
        <f t="shared" si="3309"/>
        <v>16</v>
      </c>
      <c r="C1663" s="66">
        <f t="shared" si="3357"/>
        <v>50</v>
      </c>
      <c r="E1663" s="66">
        <f t="shared" ref="E1663" si="3406">plan_id</f>
        <v>1952</v>
      </c>
      <c r="F1663" s="66">
        <f t="shared" ca="1" si="3355"/>
        <v>2013</v>
      </c>
      <c r="G1663" s="66">
        <f t="shared" ref="G1663" ca="1" si="3407">VLOOKUP(INDIRECT(CHAR(39)&amp;$A1663&amp;CHAR(39)&amp;"!r2c"&amp;$C1663,0),variables,2,0)</f>
        <v>10977</v>
      </c>
      <c r="H1663" s="71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66" t="s">
        <v>1045</v>
      </c>
      <c r="B1664" s="66">
        <f t="shared" si="3309"/>
        <v>16</v>
      </c>
      <c r="C1664" s="66">
        <f t="shared" si="3357"/>
        <v>51</v>
      </c>
      <c r="E1664" s="66">
        <f t="shared" ref="E1664" si="3408">plan_id</f>
        <v>1952</v>
      </c>
      <c r="F1664" s="66">
        <f t="shared" ca="1" si="3355"/>
        <v>2013</v>
      </c>
      <c r="G1664" s="66">
        <f t="shared" ref="G1664" ca="1" si="3409">VLOOKUP(INDIRECT(CHAR(39)&amp;$A1664&amp;CHAR(39)&amp;"!r2c"&amp;$C1664,0),variables,2,0)</f>
        <v>10978</v>
      </c>
      <c r="H1664" s="71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7.0000000000000007E-2</v>
      </c>
    </row>
    <row r="1665" spans="1:8" x14ac:dyDescent="0.2">
      <c r="A1665" s="66" t="s">
        <v>1045</v>
      </c>
      <c r="B1665" s="66">
        <f t="shared" si="3309"/>
        <v>16</v>
      </c>
      <c r="C1665" s="66">
        <f t="shared" si="3357"/>
        <v>52</v>
      </c>
      <c r="E1665" s="66">
        <f t="shared" ref="E1665" si="3410">plan_id</f>
        <v>1952</v>
      </c>
      <c r="F1665" s="66">
        <f t="shared" ca="1" si="3355"/>
        <v>2013</v>
      </c>
      <c r="G1665" s="66">
        <f t="shared" ref="G1665" ca="1" si="3411">VLOOKUP(INDIRECT(CHAR(39)&amp;$A1665&amp;CHAR(39)&amp;"!r2c"&amp;$C1665,0),variables,2,0)</f>
        <v>10979</v>
      </c>
      <c r="H1665" s="71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66" t="s">
        <v>1045</v>
      </c>
      <c r="B1666" s="66">
        <f t="shared" si="3309"/>
        <v>16</v>
      </c>
      <c r="C1666" s="66">
        <f t="shared" si="3357"/>
        <v>53</v>
      </c>
      <c r="E1666" s="66">
        <f t="shared" ref="E1666" si="3412">plan_id</f>
        <v>1952</v>
      </c>
      <c r="F1666" s="66">
        <f t="shared" ca="1" si="3355"/>
        <v>2013</v>
      </c>
      <c r="G1666" s="66">
        <f t="shared" ref="G1666" ca="1" si="3413">VLOOKUP(INDIRECT(CHAR(39)&amp;$A1666&amp;CHAR(39)&amp;"!r2c"&amp;$C1666,0),variables,2,0)</f>
        <v>10980</v>
      </c>
      <c r="H1666" s="71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2">
      <c r="A1667" s="66" t="s">
        <v>1045</v>
      </c>
      <c r="B1667" s="66">
        <f t="shared" si="3309"/>
        <v>16</v>
      </c>
      <c r="C1667" s="66">
        <f t="shared" si="3357"/>
        <v>54</v>
      </c>
      <c r="E1667" s="66">
        <f t="shared" ref="E1667" si="3414">plan_id</f>
        <v>1952</v>
      </c>
      <c r="F1667" s="66">
        <f t="shared" ca="1" si="3355"/>
        <v>2013</v>
      </c>
      <c r="G1667" s="66">
        <f t="shared" ref="G1667" ca="1" si="3415">VLOOKUP(INDIRECT(CHAR(39)&amp;$A1667&amp;CHAR(39)&amp;"!r2c"&amp;$C1667,0),variables,2,0)</f>
        <v>10981</v>
      </c>
      <c r="H1667" s="71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2">
      <c r="A1668" s="66" t="s">
        <v>1045</v>
      </c>
      <c r="B1668" s="66">
        <f t="shared" si="3309"/>
        <v>16</v>
      </c>
      <c r="C1668" s="66">
        <f t="shared" si="3357"/>
        <v>55</v>
      </c>
      <c r="E1668" s="66">
        <f t="shared" ref="E1668" si="3416">plan_id</f>
        <v>1952</v>
      </c>
      <c r="F1668" s="66">
        <f t="shared" ca="1" si="3355"/>
        <v>2013</v>
      </c>
      <c r="G1668" s="66">
        <f t="shared" ref="G1668" ca="1" si="3417">VLOOKUP(INDIRECT(CHAR(39)&amp;$A1668&amp;CHAR(39)&amp;"!r2c"&amp;$C1668,0),variables,2,0)</f>
        <v>10706</v>
      </c>
      <c r="H1668" s="71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6.4952197394723082E-4</v>
      </c>
    </row>
    <row r="1669" spans="1:8" x14ac:dyDescent="0.2">
      <c r="A1669" s="66" t="s">
        <v>1045</v>
      </c>
      <c r="B1669" s="66">
        <f t="shared" si="3309"/>
        <v>16</v>
      </c>
      <c r="C1669" s="66">
        <f t="shared" si="3357"/>
        <v>56</v>
      </c>
      <c r="E1669" s="66">
        <f t="shared" ref="E1669" si="3418">plan_id</f>
        <v>1952</v>
      </c>
      <c r="F1669" s="66">
        <f t="shared" ca="1" si="3355"/>
        <v>2013</v>
      </c>
      <c r="G1669" s="66">
        <f t="shared" ref="G1669" ca="1" si="3419">VLOOKUP(INDIRECT(CHAR(39)&amp;$A1669&amp;CHAR(39)&amp;"!r2c"&amp;$C1669,0),variables,2,0)</f>
        <v>10983</v>
      </c>
      <c r="H1669" s="71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66" t="s">
        <v>1045</v>
      </c>
      <c r="B1670" s="66">
        <f t="shared" si="3309"/>
        <v>16</v>
      </c>
      <c r="C1670" s="66">
        <f t="shared" si="3357"/>
        <v>57</v>
      </c>
      <c r="E1670" s="66">
        <f t="shared" ref="E1670" si="3420">plan_id</f>
        <v>1952</v>
      </c>
      <c r="F1670" s="66">
        <f t="shared" ca="1" si="3355"/>
        <v>2013</v>
      </c>
      <c r="G1670" s="66">
        <f t="shared" ref="G1670" ca="1" si="3421">VLOOKUP(INDIRECT(CHAR(39)&amp;$A1670&amp;CHAR(39)&amp;"!r2c"&amp;$C1670,0),variables,2,0)</f>
        <v>10989</v>
      </c>
      <c r="H1670" s="7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52124581000</v>
      </c>
    </row>
    <row r="1671" spans="1:8" x14ac:dyDescent="0.2">
      <c r="A1671" s="66" t="s">
        <v>1045</v>
      </c>
      <c r="B1671" s="66">
        <f t="shared" si="3309"/>
        <v>16</v>
      </c>
      <c r="C1671" s="66">
        <f t="shared" si="3357"/>
        <v>58</v>
      </c>
      <c r="E1671" s="66">
        <f t="shared" ref="E1671" si="3422">plan_id</f>
        <v>1952</v>
      </c>
      <c r="F1671" s="66">
        <f t="shared" ca="1" si="3355"/>
        <v>2013</v>
      </c>
      <c r="G1671" s="66">
        <f t="shared" ref="G1671" ca="1" si="3423">VLOOKUP(INDIRECT(CHAR(39)&amp;$A1671&amp;CHAR(39)&amp;"!r2c"&amp;$C1671,0),variables,2,0)</f>
        <v>10990</v>
      </c>
      <c r="H1671" s="7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79077591000</v>
      </c>
    </row>
    <row r="1672" spans="1:8" x14ac:dyDescent="0.2">
      <c r="A1672" s="66" t="s">
        <v>1045</v>
      </c>
      <c r="B1672" s="66">
        <f t="shared" si="3309"/>
        <v>16</v>
      </c>
      <c r="C1672" s="66">
        <f t="shared" si="3357"/>
        <v>59</v>
      </c>
      <c r="E1672" s="66">
        <f t="shared" ref="E1672" si="3424">plan_id</f>
        <v>1952</v>
      </c>
      <c r="F1672" s="66">
        <f t="shared" ca="1" si="3355"/>
        <v>2013</v>
      </c>
      <c r="G1672" s="66">
        <f t="shared" ref="G1672" ca="1" si="3425">VLOOKUP(INDIRECT(CHAR(39)&amp;$A1672&amp;CHAR(39)&amp;"!r2c"&amp;$C1672,0),variables,2,0)</f>
        <v>10991</v>
      </c>
      <c r="H1672" s="7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26953010000</v>
      </c>
    </row>
    <row r="1673" spans="1:8" x14ac:dyDescent="0.2">
      <c r="A1673" s="66" t="s">
        <v>1045</v>
      </c>
      <c r="B1673" s="66">
        <f t="shared" si="3309"/>
        <v>16</v>
      </c>
      <c r="C1673" s="66">
        <f t="shared" si="3357"/>
        <v>60</v>
      </c>
      <c r="E1673" s="66">
        <f t="shared" ref="E1673" si="3426">plan_id</f>
        <v>1952</v>
      </c>
      <c r="F1673" s="66">
        <f t="shared" ca="1" si="3355"/>
        <v>2013</v>
      </c>
      <c r="G1673" s="66">
        <f t="shared" ref="G1673" ca="1" si="3427">VLOOKUP(INDIRECT(CHAR(39)&amp;$A1673&amp;CHAR(39)&amp;"!r2c"&amp;$C1673,0),variables,2,0)</f>
        <v>10992</v>
      </c>
      <c r="H1673" s="71" t="str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State Employees: 65.1%; Teachers: 62%; Political Subdivisions: 75.4%</v>
      </c>
    </row>
    <row r="1674" spans="1:8" x14ac:dyDescent="0.2">
      <c r="A1674" s="66" t="s">
        <v>1045</v>
      </c>
      <c r="B1674" s="66">
        <f t="shared" si="3309"/>
        <v>16</v>
      </c>
      <c r="C1674" s="66">
        <f t="shared" si="3357"/>
        <v>61</v>
      </c>
      <c r="E1674" s="66">
        <f t="shared" ref="E1674" si="3428">plan_id</f>
        <v>1952</v>
      </c>
      <c r="F1674" s="66">
        <f t="shared" ca="1" si="3355"/>
        <v>2013</v>
      </c>
      <c r="G1674" s="66">
        <f t="shared" ref="G1674" ca="1" si="3429">VLOOKUP(INDIRECT(CHAR(39)&amp;$A1674&amp;CHAR(39)&amp;"!r2c"&amp;$C1674,0),variables,2,0)</f>
        <v>10993</v>
      </c>
      <c r="H1674" s="71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15269079000</v>
      </c>
    </row>
    <row r="1675" spans="1:8" x14ac:dyDescent="0.2">
      <c r="A1675" s="66" t="s">
        <v>1045</v>
      </c>
      <c r="B1675" s="66">
        <f t="shared" si="3309"/>
        <v>16</v>
      </c>
      <c r="C1675" s="66">
        <f t="shared" si="3357"/>
        <v>62</v>
      </c>
      <c r="E1675" s="66">
        <f t="shared" ref="E1675" si="3430">plan_id</f>
        <v>1952</v>
      </c>
      <c r="F1675" s="66">
        <f t="shared" ca="1" si="3355"/>
        <v>2013</v>
      </c>
      <c r="G1675" s="66">
        <f t="shared" ref="G1675" ca="1" si="3431">VLOOKUP(INDIRECT(CHAR(39)&amp;$A1675&amp;CHAR(39)&amp;"!r2c"&amp;$C1675,0),variables,2,0)</f>
        <v>10801</v>
      </c>
      <c r="H1675" s="71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1510000000</v>
      </c>
    </row>
    <row r="1676" spans="1:8" x14ac:dyDescent="0.2">
      <c r="A1676" s="66" t="s">
        <v>1045</v>
      </c>
      <c r="B1676" s="66">
        <f t="shared" si="3309"/>
        <v>16</v>
      </c>
      <c r="C1676" s="66">
        <f t="shared" si="3357"/>
        <v>63</v>
      </c>
      <c r="E1676" s="66">
        <f t="shared" ref="E1676" si="3432">plan_id</f>
        <v>1952</v>
      </c>
      <c r="F1676" s="66">
        <f t="shared" ca="1" si="3355"/>
        <v>2013</v>
      </c>
      <c r="G1676" s="66">
        <f t="shared" ref="G1676" ca="1" si="3433">VLOOKUP(INDIRECT(CHAR(39)&amp;$A1676&amp;CHAR(39)&amp;"!r2c"&amp;$C1676,0),variables,2,0)</f>
        <v>10802</v>
      </c>
      <c r="H1676" s="7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-149800000</v>
      </c>
    </row>
    <row r="1677" spans="1:8" x14ac:dyDescent="0.2">
      <c r="A1677" s="66" t="s">
        <v>1045</v>
      </c>
      <c r="B1677" s="66">
        <f t="shared" si="3309"/>
        <v>16</v>
      </c>
      <c r="C1677" s="66">
        <f t="shared" si="3357"/>
        <v>64</v>
      </c>
      <c r="E1677" s="66">
        <f t="shared" ref="E1677" si="3434">plan_id</f>
        <v>1952</v>
      </c>
      <c r="F1677" s="66">
        <f t="shared" ca="1" si="3355"/>
        <v>2013</v>
      </c>
      <c r="G1677" s="66">
        <f t="shared" ref="G1677" ca="1" si="3435">VLOOKUP(INDIRECT(CHAR(39)&amp;$A1677&amp;CHAR(39)&amp;"!r2c"&amp;$C1677,0),variables,2,0)</f>
        <v>10803</v>
      </c>
      <c r="H1677" s="71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66" t="s">
        <v>1045</v>
      </c>
      <c r="B1678" s="66">
        <f t="shared" si="3309"/>
        <v>16</v>
      </c>
      <c r="C1678" s="66">
        <f t="shared" si="3357"/>
        <v>65</v>
      </c>
      <c r="E1678" s="66">
        <f t="shared" ref="E1678" si="3436">plan_id</f>
        <v>1952</v>
      </c>
      <c r="F1678" s="66">
        <f t="shared" ca="1" si="3355"/>
        <v>2013</v>
      </c>
      <c r="G1678" s="66">
        <f t="shared" ref="G1678" ca="1" si="3437">VLOOKUP(INDIRECT(CHAR(39)&amp;$A1678&amp;CHAR(39)&amp;"!r2c"&amp;$C1678,0),variables,2,0)</f>
        <v>10804</v>
      </c>
      <c r="H1678" s="7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66" t="s">
        <v>1045</v>
      </c>
      <c r="B1679" s="66">
        <f t="shared" si="3309"/>
        <v>16</v>
      </c>
      <c r="C1679" s="66">
        <f t="shared" si="3357"/>
        <v>66</v>
      </c>
      <c r="E1679" s="66">
        <f t="shared" ref="E1679" si="3438">plan_id</f>
        <v>1952</v>
      </c>
      <c r="F1679" s="66">
        <f t="shared" ca="1" si="3355"/>
        <v>2013</v>
      </c>
      <c r="G1679" s="66">
        <f t="shared" ref="G1679" ca="1" si="3439">VLOOKUP(INDIRECT(CHAR(39)&amp;$A1679&amp;CHAR(39)&amp;"!r2c"&amp;$C1679,0),variables,2,0)</f>
        <v>10805</v>
      </c>
      <c r="H1679" s="7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66" t="s">
        <v>1045</v>
      </c>
      <c r="B1680" s="66">
        <f t="shared" ref="B1680" si="3440">B1615+1</f>
        <v>16</v>
      </c>
      <c r="C1680" s="66">
        <f t="shared" si="3357"/>
        <v>67</v>
      </c>
      <c r="E1680" s="66">
        <f t="shared" ref="E1680" si="3441">plan_id</f>
        <v>1952</v>
      </c>
      <c r="F1680" s="66">
        <f t="shared" ca="1" si="3355"/>
        <v>2013</v>
      </c>
      <c r="G1680" s="66">
        <f t="shared" ref="G1680" ca="1" si="3442">VLOOKUP(INDIRECT(CHAR(39)&amp;$A1680&amp;CHAR(39)&amp;"!r2c"&amp;$C1680,0),variables,2,0)</f>
        <v>10806</v>
      </c>
      <c r="H1680" s="7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45500000</v>
      </c>
    </row>
    <row r="1681" spans="1:8" x14ac:dyDescent="0.2">
      <c r="A1681" s="66" t="s">
        <v>1045</v>
      </c>
      <c r="B1681" s="66">
        <f>B1680</f>
        <v>16</v>
      </c>
      <c r="C1681" s="66">
        <f t="shared" si="3357"/>
        <v>68</v>
      </c>
      <c r="E1681" s="66">
        <f t="shared" ref="E1681" si="3443">plan_id</f>
        <v>1952</v>
      </c>
      <c r="F1681" s="66">
        <f t="shared" ca="1" si="3355"/>
        <v>2013</v>
      </c>
      <c r="G1681" s="66">
        <f t="shared" ref="G1681" ca="1" si="3444">VLOOKUP(INDIRECT(CHAR(39)&amp;$A1681&amp;CHAR(39)&amp;"!r2c"&amp;$C1681,0),variables,2,0)</f>
        <v>10807</v>
      </c>
      <c r="H1681" s="7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66" t="s">
        <v>1045</v>
      </c>
      <c r="B1682" s="66">
        <f t="shared" ref="B1682:B1706" si="3445">B1681</f>
        <v>16</v>
      </c>
      <c r="C1682" s="66">
        <f t="shared" si="3357"/>
        <v>69</v>
      </c>
      <c r="E1682" s="66">
        <f t="shared" ref="E1682" si="3446">plan_id</f>
        <v>1952</v>
      </c>
      <c r="F1682" s="66">
        <f t="shared" ca="1" si="3355"/>
        <v>2013</v>
      </c>
      <c r="G1682" s="66">
        <f t="shared" ref="G1682" ca="1" si="3447">VLOOKUP(INDIRECT(CHAR(39)&amp;$A1682&amp;CHAR(39)&amp;"!r2c"&amp;$C1682,0),variables,2,0)</f>
        <v>10808</v>
      </c>
      <c r="H1682" s="7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66" t="s">
        <v>1045</v>
      </c>
      <c r="B1683" s="66">
        <f t="shared" si="3445"/>
        <v>16</v>
      </c>
      <c r="C1683" s="66">
        <f t="shared" si="3357"/>
        <v>70</v>
      </c>
      <c r="E1683" s="66">
        <f t="shared" ref="E1683" si="3448">plan_id</f>
        <v>1952</v>
      </c>
      <c r="F1683" s="66">
        <f t="shared" ca="1" si="3355"/>
        <v>2013</v>
      </c>
      <c r="G1683" s="66">
        <f t="shared" ref="G1683" ca="1" si="3449">VLOOKUP(INDIRECT(CHAR(39)&amp;$A1683&amp;CHAR(39)&amp;"!r2c"&amp;$C1683,0),variables,2,0)</f>
        <v>10809</v>
      </c>
      <c r="H1683" s="7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66" t="s">
        <v>1045</v>
      </c>
      <c r="B1684" s="66">
        <f t="shared" si="3445"/>
        <v>16</v>
      </c>
      <c r="C1684" s="66">
        <f t="shared" si="3357"/>
        <v>71</v>
      </c>
      <c r="E1684" s="66">
        <f t="shared" ref="E1684" si="3450">plan_id</f>
        <v>1952</v>
      </c>
      <c r="F1684" s="66">
        <f t="shared" ca="1" si="3355"/>
        <v>2013</v>
      </c>
      <c r="G1684" s="66">
        <f t="shared" ref="G1684" ca="1" si="3451">VLOOKUP(INDIRECT(CHAR(39)&amp;$A1684&amp;CHAR(39)&amp;"!r2c"&amp;$C1684,0),variables,2,0)</f>
        <v>10810</v>
      </c>
      <c r="H1684" s="71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23100000</v>
      </c>
    </row>
    <row r="1685" spans="1:8" x14ac:dyDescent="0.2">
      <c r="A1685" s="66" t="s">
        <v>1045</v>
      </c>
      <c r="B1685" s="66">
        <f t="shared" si="3445"/>
        <v>16</v>
      </c>
      <c r="C1685" s="66">
        <f t="shared" si="3357"/>
        <v>72</v>
      </c>
      <c r="E1685" s="66">
        <f t="shared" ref="E1685" si="3452">plan_id</f>
        <v>1952</v>
      </c>
      <c r="F1685" s="66">
        <f t="shared" ca="1" si="3355"/>
        <v>2013</v>
      </c>
      <c r="G1685" s="66">
        <f t="shared" ref="G1685" ca="1" si="3453">VLOOKUP(INDIRECT(CHAR(39)&amp;$A1685&amp;CHAR(39)&amp;"!r2c"&amp;$C1685,0),variables,2,0)</f>
        <v>10811</v>
      </c>
      <c r="H1685" s="7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66" t="s">
        <v>1045</v>
      </c>
      <c r="B1686" s="66">
        <f t="shared" si="3445"/>
        <v>16</v>
      </c>
      <c r="C1686" s="66">
        <f t="shared" si="3357"/>
        <v>73</v>
      </c>
      <c r="E1686" s="66">
        <f t="shared" ref="E1686" si="3454">plan_id</f>
        <v>1952</v>
      </c>
      <c r="F1686" s="66">
        <f t="shared" ca="1" si="3355"/>
        <v>2013</v>
      </c>
      <c r="G1686" s="66">
        <f t="shared" ref="G1686" ca="1" si="3455">VLOOKUP(INDIRECT(CHAR(39)&amp;$A1686&amp;CHAR(39)&amp;"!r2c"&amp;$C1686,0),variables,2,0)</f>
        <v>10812</v>
      </c>
      <c r="H1686" s="7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66" t="s">
        <v>1045</v>
      </c>
      <c r="B1687" s="66">
        <f t="shared" si="3445"/>
        <v>16</v>
      </c>
      <c r="C1687" s="66">
        <f t="shared" si="3357"/>
        <v>74</v>
      </c>
      <c r="E1687" s="66">
        <f t="shared" ref="E1687" si="3456">plan_id</f>
        <v>1952</v>
      </c>
      <c r="F1687" s="66">
        <f t="shared" ca="1" si="3355"/>
        <v>2013</v>
      </c>
      <c r="G1687" s="66">
        <f t="shared" ref="G1687" ca="1" si="3457">VLOOKUP(INDIRECT(CHAR(39)&amp;$A1687&amp;CHAR(39)&amp;"!r2c"&amp;$C1687,0),variables,2,0)</f>
        <v>10813</v>
      </c>
      <c r="H1687" s="71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66" t="s">
        <v>1045</v>
      </c>
      <c r="B1688" s="66">
        <f t="shared" si="3445"/>
        <v>16</v>
      </c>
      <c r="C1688" s="66">
        <f t="shared" si="3357"/>
        <v>75</v>
      </c>
      <c r="E1688" s="66">
        <f t="shared" ref="E1688" si="3458">plan_id</f>
        <v>1952</v>
      </c>
      <c r="F1688" s="66">
        <f t="shared" ca="1" si="3355"/>
        <v>2013</v>
      </c>
      <c r="G1688" s="66">
        <f t="shared" ref="G1688" ca="1" si="3459">VLOOKUP(INDIRECT(CHAR(39)&amp;$A1688&amp;CHAR(39)&amp;"!r2c"&amp;$C1688,0),variables,2,0)</f>
        <v>10814</v>
      </c>
      <c r="H1688" s="71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4699999.9999999991</v>
      </c>
    </row>
    <row r="1689" spans="1:8" x14ac:dyDescent="0.2">
      <c r="A1689" s="66" t="s">
        <v>1045</v>
      </c>
      <c r="B1689" s="66">
        <f t="shared" si="3445"/>
        <v>16</v>
      </c>
      <c r="C1689" s="66">
        <f t="shared" si="3357"/>
        <v>76</v>
      </c>
      <c r="E1689" s="66">
        <f t="shared" ref="E1689" si="3460">plan_id</f>
        <v>1952</v>
      </c>
      <c r="F1689" s="66">
        <f t="shared" ca="1" si="3355"/>
        <v>2013</v>
      </c>
      <c r="G1689" s="66">
        <f t="shared" ref="G1689" ca="1" si="3461">VLOOKUP(INDIRECT(CHAR(39)&amp;$A1689&amp;CHAR(39)&amp;"!r2c"&amp;$C1689,0),variables,2,0)</f>
        <v>10815</v>
      </c>
      <c r="H1689" s="71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212300000</v>
      </c>
    </row>
    <row r="1690" spans="1:8" x14ac:dyDescent="0.2">
      <c r="A1690" s="66" t="s">
        <v>1045</v>
      </c>
      <c r="B1690" s="66">
        <f t="shared" si="3445"/>
        <v>16</v>
      </c>
      <c r="C1690" s="66">
        <f t="shared" si="3357"/>
        <v>77</v>
      </c>
      <c r="E1690" s="66">
        <f t="shared" ref="E1690" si="3462">plan_id</f>
        <v>1952</v>
      </c>
      <c r="F1690" s="66">
        <f t="shared" ca="1" si="3355"/>
        <v>2013</v>
      </c>
      <c r="G1690" s="66">
        <f t="shared" ref="G1690" ca="1" si="3463">VLOOKUP(INDIRECT(CHAR(39)&amp;$A1690&amp;CHAR(39)&amp;"!r2c"&amp;$C1690,0),variables,2,0)</f>
        <v>10816</v>
      </c>
      <c r="H1690" s="7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-96199999.999999985</v>
      </c>
    </row>
    <row r="1691" spans="1:8" x14ac:dyDescent="0.2">
      <c r="A1691" s="66" t="s">
        <v>1045</v>
      </c>
      <c r="B1691" s="66">
        <f t="shared" si="3445"/>
        <v>16</v>
      </c>
      <c r="C1691" s="66">
        <f t="shared" si="3357"/>
        <v>78</v>
      </c>
      <c r="E1691" s="66">
        <f t="shared" ref="E1691" si="3464">plan_id</f>
        <v>1952</v>
      </c>
      <c r="F1691" s="66">
        <f t="shared" ca="1" si="3355"/>
        <v>2013</v>
      </c>
      <c r="G1691" s="66">
        <f t="shared" ref="G1691" ca="1" si="3465">VLOOKUP(INDIRECT(CHAR(39)&amp;$A1691&amp;CHAR(39)&amp;"!r2c"&amp;$C1691,0),variables,2,0)</f>
        <v>10817</v>
      </c>
      <c r="H1691" s="7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66" t="s">
        <v>1045</v>
      </c>
      <c r="B1692" s="66">
        <f t="shared" si="3445"/>
        <v>16</v>
      </c>
      <c r="C1692" s="66">
        <f t="shared" si="3357"/>
        <v>79</v>
      </c>
      <c r="E1692" s="66">
        <f t="shared" ref="E1692" si="3466">plan_id</f>
        <v>1952</v>
      </c>
      <c r="F1692" s="66">
        <f t="shared" ca="1" si="3355"/>
        <v>2013</v>
      </c>
      <c r="G1692" s="66">
        <f t="shared" ref="G1692" ca="1" si="3467">VLOOKUP(INDIRECT(CHAR(39)&amp;$A1692&amp;CHAR(39)&amp;"!r2c"&amp;$C1692,0),variables,2,0)</f>
        <v>10818</v>
      </c>
      <c r="H1692" s="71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48800000.000000007</v>
      </c>
    </row>
    <row r="1693" spans="1:8" x14ac:dyDescent="0.2">
      <c r="A1693" s="66" t="s">
        <v>1045</v>
      </c>
      <c r="B1693" s="66">
        <f t="shared" si="3445"/>
        <v>16</v>
      </c>
      <c r="C1693" s="66">
        <f t="shared" si="3357"/>
        <v>80</v>
      </c>
      <c r="E1693" s="66">
        <f t="shared" ref="E1693" si="3468">plan_id</f>
        <v>1952</v>
      </c>
      <c r="F1693" s="66">
        <f t="shared" ca="1" si="3355"/>
        <v>2013</v>
      </c>
      <c r="G1693" s="66">
        <f t="shared" ref="G1693" ca="1" si="3469">VLOOKUP(INDIRECT(CHAR(39)&amp;$A1693&amp;CHAR(39)&amp;"!r2c"&amp;$C1693,0),variables,2,0)</f>
        <v>10819</v>
      </c>
      <c r="H1693" s="71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66" t="s">
        <v>1045</v>
      </c>
      <c r="B1694" s="66">
        <f t="shared" si="3445"/>
        <v>16</v>
      </c>
      <c r="C1694" s="66">
        <f t="shared" si="3357"/>
        <v>81</v>
      </c>
      <c r="E1694" s="66">
        <f t="shared" ref="E1694" si="3470">plan_id</f>
        <v>1952</v>
      </c>
      <c r="F1694" s="66">
        <f t="shared" ca="1" si="3355"/>
        <v>2013</v>
      </c>
      <c r="G1694" s="66">
        <f t="shared" ref="G1694" ca="1" si="3471">VLOOKUP(INDIRECT(CHAR(39)&amp;$A1694&amp;CHAR(39)&amp;"!r2c"&amp;$C1694,0),variables,2,0)</f>
        <v>10820</v>
      </c>
      <c r="H1694" s="71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113800000.00000001</v>
      </c>
    </row>
    <row r="1695" spans="1:8" x14ac:dyDescent="0.2">
      <c r="A1695" s="66" t="s">
        <v>1045</v>
      </c>
      <c r="B1695" s="66">
        <f t="shared" si="3445"/>
        <v>16</v>
      </c>
      <c r="C1695" s="66">
        <f t="shared" si="3357"/>
        <v>82</v>
      </c>
      <c r="E1695" s="66">
        <f t="shared" ref="E1695" si="3472">plan_id</f>
        <v>1952</v>
      </c>
      <c r="F1695" s="66">
        <f t="shared" ca="1" si="3355"/>
        <v>2013</v>
      </c>
      <c r="G1695" s="66">
        <f t="shared" ref="G1695" ca="1" si="3473">VLOOKUP(INDIRECT(CHAR(39)&amp;$A1695&amp;CHAR(39)&amp;"!r2c"&amp;$C1695,0),variables,2,0)</f>
        <v>10821</v>
      </c>
      <c r="H1695" s="71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66" t="s">
        <v>1045</v>
      </c>
      <c r="B1696" s="66">
        <f t="shared" si="3445"/>
        <v>16</v>
      </c>
      <c r="C1696" s="66">
        <f t="shared" si="3357"/>
        <v>83</v>
      </c>
      <c r="E1696" s="66">
        <f t="shared" ref="E1696" si="3474">plan_id</f>
        <v>1952</v>
      </c>
      <c r="F1696" s="66">
        <f t="shared" ca="1" si="3355"/>
        <v>2013</v>
      </c>
      <c r="G1696" s="66">
        <f t="shared" ref="G1696" ca="1" si="3475">VLOOKUP(INDIRECT(CHAR(39)&amp;$A1696&amp;CHAR(39)&amp;"!r2c"&amp;$C1696,0),variables,2,0)</f>
        <v>10822</v>
      </c>
      <c r="H1696" s="71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66" t="s">
        <v>1045</v>
      </c>
      <c r="B1697" s="66">
        <f t="shared" si="3445"/>
        <v>16</v>
      </c>
      <c r="C1697" s="66">
        <f t="shared" si="3357"/>
        <v>84</v>
      </c>
      <c r="E1697" s="66">
        <f t="shared" ref="E1697" si="3476">plan_id</f>
        <v>1952</v>
      </c>
      <c r="F1697" s="66">
        <f t="shared" ca="1" si="3355"/>
        <v>2013</v>
      </c>
      <c r="G1697" s="66">
        <f t="shared" ref="G1697" ca="1" si="3477">VLOOKUP(INDIRECT(CHAR(39)&amp;$A1697&amp;CHAR(39)&amp;"!r2c"&amp;$C1697,0),variables,2,0)</f>
        <v>10829</v>
      </c>
      <c r="H1697" s="71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1055115000</v>
      </c>
    </row>
    <row r="1698" spans="1:8" x14ac:dyDescent="0.2">
      <c r="A1698" s="66" t="s">
        <v>1045</v>
      </c>
      <c r="B1698" s="66">
        <f t="shared" si="3445"/>
        <v>16</v>
      </c>
      <c r="C1698" s="66">
        <f t="shared" si="3357"/>
        <v>85</v>
      </c>
      <c r="E1698" s="66">
        <f t="shared" ref="E1698" si="3478">plan_id</f>
        <v>1952</v>
      </c>
      <c r="F1698" s="66">
        <f t="shared" ca="1" si="3355"/>
        <v>2013</v>
      </c>
      <c r="G1698" s="66">
        <f t="shared" ref="G1698" ca="1" si="3479">VLOOKUP(INDIRECT(CHAR(39)&amp;$A1698&amp;CHAR(39)&amp;"!r2c"&amp;$C1698,0),variables,2,0)</f>
        <v>10823</v>
      </c>
      <c r="H1698" s="71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579363000</v>
      </c>
    </row>
    <row r="1699" spans="1:8" x14ac:dyDescent="0.2">
      <c r="A1699" s="66" t="s">
        <v>1045</v>
      </c>
      <c r="B1699" s="66">
        <f t="shared" si="3445"/>
        <v>16</v>
      </c>
      <c r="C1699" s="66">
        <f t="shared" si="3357"/>
        <v>86</v>
      </c>
      <c r="E1699" s="66">
        <f t="shared" ref="E1699" si="3480">plan_id</f>
        <v>1952</v>
      </c>
      <c r="F1699" s="66">
        <f t="shared" ca="1" si="3355"/>
        <v>2013</v>
      </c>
      <c r="G1699" s="66">
        <f t="shared" ref="G1699" ca="1" si="3481">VLOOKUP(INDIRECT(CHAR(39)&amp;$A1699&amp;CHAR(39)&amp;"!r2c"&amp;$C1699,0),variables,2,0)</f>
        <v>10798</v>
      </c>
      <c r="H1699" s="71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73900000</v>
      </c>
    </row>
    <row r="1700" spans="1:8" x14ac:dyDescent="0.2">
      <c r="A1700" s="66" t="s">
        <v>1045</v>
      </c>
      <c r="B1700" s="66">
        <f t="shared" si="3445"/>
        <v>16</v>
      </c>
      <c r="C1700" s="66">
        <f t="shared" si="3357"/>
        <v>87</v>
      </c>
      <c r="E1700" s="66">
        <f t="shared" ref="E1700" si="3482">plan_id</f>
        <v>1952</v>
      </c>
      <c r="F1700" s="66">
        <f t="shared" ca="1" si="3355"/>
        <v>2013</v>
      </c>
      <c r="G1700" s="66">
        <f t="shared" ref="G1700" ca="1" si="3483">VLOOKUP(INDIRECT(CHAR(39)&amp;$A1700&amp;CHAR(39)&amp;"!r2c"&amp;$C1700,0),variables,2,0)</f>
        <v>10799</v>
      </c>
      <c r="H1700" s="7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-154100000</v>
      </c>
    </row>
    <row r="1701" spans="1:8" x14ac:dyDescent="0.2">
      <c r="A1701" s="66" t="s">
        <v>1045</v>
      </c>
      <c r="B1701" s="66">
        <f t="shared" si="3445"/>
        <v>16</v>
      </c>
      <c r="C1701" s="66">
        <f t="shared" si="3357"/>
        <v>88</v>
      </c>
      <c r="E1701" s="66">
        <f t="shared" ref="E1701" si="3484">plan_id</f>
        <v>1952</v>
      </c>
      <c r="F1701" s="66">
        <f t="shared" ca="1" si="3355"/>
        <v>2013</v>
      </c>
      <c r="G1701" s="66">
        <f t="shared" ref="G1701" ca="1" si="3485">VLOOKUP(INDIRECT(CHAR(39)&amp;$A1701&amp;CHAR(39)&amp;"!r2c"&amp;$C1701,0),variables,2,0)</f>
        <v>10800</v>
      </c>
      <c r="H1701" s="7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66" t="s">
        <v>1045</v>
      </c>
      <c r="B1702" s="66">
        <f t="shared" si="3445"/>
        <v>16</v>
      </c>
      <c r="C1702" s="66">
        <f t="shared" si="3357"/>
        <v>89</v>
      </c>
      <c r="E1702" s="66">
        <f t="shared" ref="E1702" si="3486">plan_id</f>
        <v>1952</v>
      </c>
      <c r="F1702" s="66">
        <f t="shared" ca="1" si="3355"/>
        <v>2013</v>
      </c>
      <c r="G1702" s="66">
        <f t="shared" ref="G1702" ca="1" si="3487">VLOOKUP(INDIRECT(CHAR(39)&amp;$A1702&amp;CHAR(39)&amp;"!r2c"&amp;$C1702,0),variables,2,0)</f>
        <v>10824</v>
      </c>
      <c r="H1702" s="7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66" t="s">
        <v>1045</v>
      </c>
      <c r="B1703" s="66">
        <f t="shared" si="3445"/>
        <v>16</v>
      </c>
      <c r="C1703" s="66">
        <f t="shared" ref="C1703:C1766" si="3488">C1612</f>
        <v>90</v>
      </c>
      <c r="E1703" s="66">
        <f t="shared" ref="E1703" si="3489">plan_id</f>
        <v>1952</v>
      </c>
      <c r="F1703" s="66">
        <f t="shared" ca="1" si="3355"/>
        <v>2013</v>
      </c>
      <c r="G1703" s="66">
        <f t="shared" ref="G1703" ca="1" si="3490">VLOOKUP(INDIRECT(CHAR(39)&amp;$A1703&amp;CHAR(39)&amp;"!r2c"&amp;$C1703,0),variables,2,0)</f>
        <v>10825</v>
      </c>
      <c r="H1703" s="7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-2289100000.0000005</v>
      </c>
    </row>
    <row r="1704" spans="1:8" x14ac:dyDescent="0.2">
      <c r="A1704" s="66" t="s">
        <v>1045</v>
      </c>
      <c r="B1704" s="66">
        <f t="shared" si="3445"/>
        <v>16</v>
      </c>
      <c r="C1704" s="66">
        <f t="shared" si="3488"/>
        <v>91</v>
      </c>
      <c r="E1704" s="66">
        <f t="shared" ref="E1704" si="3491">plan_id</f>
        <v>1952</v>
      </c>
      <c r="F1704" s="66">
        <f t="shared" ca="1" si="3355"/>
        <v>2013</v>
      </c>
      <c r="G1704" s="66">
        <f t="shared" ref="G1704" ca="1" si="3492">VLOOKUP(INDIRECT(CHAR(39)&amp;$A1704&amp;CHAR(39)&amp;"!r2c"&amp;$C1704,0),variables,2,0)</f>
        <v>10826</v>
      </c>
      <c r="H1704" s="71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1546678000</v>
      </c>
    </row>
    <row r="1705" spans="1:8" x14ac:dyDescent="0.2">
      <c r="A1705" s="66" t="s">
        <v>1045</v>
      </c>
      <c r="B1705" s="66">
        <f t="shared" si="3445"/>
        <v>16</v>
      </c>
      <c r="C1705" s="66">
        <f t="shared" si="3488"/>
        <v>92</v>
      </c>
      <c r="E1705" s="66">
        <f t="shared" ref="E1705" si="3493">plan_id</f>
        <v>1952</v>
      </c>
      <c r="F1705" s="66">
        <f t="shared" ca="1" si="3355"/>
        <v>2013</v>
      </c>
      <c r="G1705" s="66">
        <f t="shared" ref="G1705" ca="1" si="3494">VLOOKUP(INDIRECT(CHAR(39)&amp;$A1705&amp;CHAR(39)&amp;"!r2c"&amp;$C1705,0),variables,2,0)</f>
        <v>10828</v>
      </c>
      <c r="H1705" s="71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66" t="s">
        <v>1045</v>
      </c>
      <c r="B1706" s="66">
        <f t="shared" si="3445"/>
        <v>16</v>
      </c>
      <c r="C1706" s="66">
        <f t="shared" si="3488"/>
        <v>93</v>
      </c>
      <c r="E1706" s="66">
        <f t="shared" ref="E1706" si="3495">plan_id</f>
        <v>1952</v>
      </c>
      <c r="F1706" s="66">
        <f t="shared" ca="1" si="3355"/>
        <v>2013</v>
      </c>
      <c r="G1706" s="66">
        <f t="shared" ref="G1706" ca="1" si="3496">VLOOKUP(INDIRECT(CHAR(39)&amp;$A1706&amp;CHAR(39)&amp;"!r2c"&amp;$C1706,0),variables,2,0)</f>
        <v>10827</v>
      </c>
      <c r="H1706" s="71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781600000</v>
      </c>
    </row>
    <row r="1707" spans="1:8" x14ac:dyDescent="0.2">
      <c r="A1707" s="66" t="s">
        <v>1045</v>
      </c>
      <c r="B1707" s="66">
        <f t="shared" ref="B1707:B1770" si="3497">B1642+1</f>
        <v>17</v>
      </c>
      <c r="C1707" s="66">
        <f t="shared" si="3488"/>
        <v>3</v>
      </c>
      <c r="E1707" s="66">
        <f t="shared" ref="E1707" si="3498">plan_id</f>
        <v>1952</v>
      </c>
      <c r="F1707" s="66">
        <f t="shared" ca="1" si="3355"/>
        <v>2014</v>
      </c>
      <c r="G1707" s="66">
        <f t="shared" ref="G1707" ca="1" si="3499">VLOOKUP(INDIRECT(CHAR(39)&amp;$A1707&amp;CHAR(39)&amp;"!r2c"&amp;$C1707,0),variables,2,0)</f>
        <v>10703</v>
      </c>
      <c r="H1707" s="71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N/A</v>
      </c>
    </row>
    <row r="1708" spans="1:8" x14ac:dyDescent="0.2">
      <c r="A1708" s="66" t="s">
        <v>1045</v>
      </c>
      <c r="B1708" s="66">
        <f t="shared" si="3497"/>
        <v>17</v>
      </c>
      <c r="C1708" s="66">
        <f t="shared" si="3488"/>
        <v>4</v>
      </c>
      <c r="E1708" s="66">
        <f t="shared" ref="E1708" si="3500">plan_id</f>
        <v>1952</v>
      </c>
      <c r="F1708" s="66">
        <f t="shared" ca="1" si="3355"/>
        <v>2014</v>
      </c>
      <c r="G1708" s="66">
        <f t="shared" ref="G1708" ca="1" si="3501">VLOOKUP(INDIRECT(CHAR(39)&amp;$A1708&amp;CHAR(39)&amp;"!r2c"&amp;$C1708,0),variables,2,0)</f>
        <v>10845</v>
      </c>
      <c r="H1708" s="71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,LLC</v>
      </c>
    </row>
    <row r="1709" spans="1:8" x14ac:dyDescent="0.2">
      <c r="A1709" s="66" t="s">
        <v>1045</v>
      </c>
      <c r="B1709" s="66">
        <f t="shared" si="3497"/>
        <v>17</v>
      </c>
      <c r="C1709" s="66">
        <f t="shared" si="3488"/>
        <v>5</v>
      </c>
      <c r="E1709" s="66">
        <f t="shared" ref="E1709" si="3502">plan_id</f>
        <v>1952</v>
      </c>
      <c r="F1709" s="66">
        <f t="shared" ca="1" si="3355"/>
        <v>2014</v>
      </c>
      <c r="G1709" s="66">
        <f t="shared" ref="G1709" ca="1" si="3503">VLOOKUP(INDIRECT(CHAR(39)&amp;$A1709&amp;CHAR(39)&amp;"!r2c"&amp;$C1709,0),variables,2,0)</f>
        <v>10924</v>
      </c>
      <c r="H1709" s="71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(i)9.27%; (ii)10.73%</v>
      </c>
    </row>
    <row r="1710" spans="1:8" x14ac:dyDescent="0.2">
      <c r="A1710" s="66" t="s">
        <v>1045</v>
      </c>
      <c r="B1710" s="66">
        <f t="shared" si="3497"/>
        <v>17</v>
      </c>
      <c r="C1710" s="66">
        <f t="shared" si="3488"/>
        <v>6</v>
      </c>
      <c r="E1710" s="66">
        <f t="shared" ref="E1710" si="3504">plan_id</f>
        <v>1952</v>
      </c>
      <c r="F1710" s="66">
        <f t="shared" ca="1" si="3355"/>
        <v>2014</v>
      </c>
      <c r="G1710" s="66">
        <f t="shared" ref="G1710" ca="1" si="3505">VLOOKUP(INDIRECT(CHAR(39)&amp;$A1710&amp;CHAR(39)&amp;"!r2c"&amp;$C1710,0),variables,2,0)</f>
        <v>10925</v>
      </c>
      <c r="H1710" s="71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(i)4.29%; (ii)5.74%</v>
      </c>
    </row>
    <row r="1711" spans="1:8" x14ac:dyDescent="0.2">
      <c r="A1711" s="66" t="s">
        <v>1045</v>
      </c>
      <c r="B1711" s="66">
        <f t="shared" si="3497"/>
        <v>17</v>
      </c>
      <c r="C1711" s="66">
        <f t="shared" si="3488"/>
        <v>7</v>
      </c>
      <c r="E1711" s="66">
        <f t="shared" ref="E1711" si="3506">plan_id</f>
        <v>1952</v>
      </c>
      <c r="F1711" s="66">
        <f t="shared" ca="1" si="3355"/>
        <v>2014</v>
      </c>
      <c r="G1711" s="66">
        <f t="shared" ref="G1711" ca="1" si="3507">VLOOKUP(INDIRECT(CHAR(39)&amp;$A1711&amp;CHAR(39)&amp;"!r2c"&amp;$C1711,0),variables,2,0)</f>
        <v>10926</v>
      </c>
      <c r="H1711" s="71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(i)4.98%; (ii)4.99%</v>
      </c>
    </row>
    <row r="1712" spans="1:8" x14ac:dyDescent="0.2">
      <c r="A1712" s="66" t="s">
        <v>1045</v>
      </c>
      <c r="B1712" s="66">
        <f t="shared" si="3497"/>
        <v>17</v>
      </c>
      <c r="C1712" s="66">
        <f t="shared" si="3488"/>
        <v>8</v>
      </c>
      <c r="E1712" s="66">
        <f t="shared" ref="E1712" si="3508">plan_id</f>
        <v>1952</v>
      </c>
      <c r="F1712" s="66">
        <f t="shared" ca="1" si="3355"/>
        <v>2014</v>
      </c>
      <c r="G1712" s="66">
        <f t="shared" ref="G1712" ca="1" si="3509">VLOOKUP(INDIRECT(CHAR(39)&amp;$A1712&amp;CHAR(39)&amp;"!r2c"&amp;$C1712,0),variables,2,0)</f>
        <v>10704</v>
      </c>
      <c r="H1712" s="71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1261696903</v>
      </c>
    </row>
    <row r="1713" spans="1:8" x14ac:dyDescent="0.2">
      <c r="A1713" s="66" t="s">
        <v>1045</v>
      </c>
      <c r="B1713" s="66">
        <f t="shared" si="3497"/>
        <v>17</v>
      </c>
      <c r="C1713" s="66">
        <f t="shared" si="3488"/>
        <v>9</v>
      </c>
      <c r="E1713" s="66">
        <f t="shared" ref="E1713" si="3510">plan_id</f>
        <v>1952</v>
      </c>
      <c r="F1713" s="66">
        <f t="shared" ca="1" si="3355"/>
        <v>2014</v>
      </c>
      <c r="G1713" s="66">
        <f t="shared" ref="G1713" ca="1" si="3511">VLOOKUP(INDIRECT(CHAR(39)&amp;$A1713&amp;CHAR(39)&amp;"!r2c"&amp;$C1713,0),variables,2,0)</f>
        <v>10928</v>
      </c>
      <c r="H1713" s="71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(i)10.85%; (ii)11.78%</v>
      </c>
    </row>
    <row r="1714" spans="1:8" x14ac:dyDescent="0.2">
      <c r="A1714" s="66" t="s">
        <v>1045</v>
      </c>
      <c r="B1714" s="66">
        <f t="shared" si="3497"/>
        <v>17</v>
      </c>
      <c r="C1714" s="66">
        <f t="shared" si="3488"/>
        <v>10</v>
      </c>
      <c r="E1714" s="66">
        <f t="shared" ref="E1714" si="3512">plan_id</f>
        <v>1952</v>
      </c>
      <c r="F1714" s="66">
        <f t="shared" ca="1" si="3355"/>
        <v>2014</v>
      </c>
      <c r="G1714" s="66">
        <f t="shared" ref="G1714" ca="1" si="3513">VLOOKUP(INDIRECT(CHAR(39)&amp;$A1714&amp;CHAR(39)&amp;"!r2c"&amp;$C1714,0),variables,2,0)</f>
        <v>10929</v>
      </c>
      <c r="H1714" s="71" t="str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(i)10.85%; (ii)11.78%</v>
      </c>
    </row>
    <row r="1715" spans="1:8" x14ac:dyDescent="0.2">
      <c r="A1715" s="66" t="s">
        <v>1045</v>
      </c>
      <c r="B1715" s="66">
        <f t="shared" si="3497"/>
        <v>17</v>
      </c>
      <c r="C1715" s="66">
        <f t="shared" si="3488"/>
        <v>11</v>
      </c>
      <c r="E1715" s="66">
        <f t="shared" ref="E1715" si="3514">plan_id</f>
        <v>1952</v>
      </c>
      <c r="F1715" s="66">
        <f t="shared" ca="1" si="3355"/>
        <v>2014</v>
      </c>
      <c r="G1715" s="66">
        <f t="shared" ref="G1715" ca="1" si="3515">VLOOKUP(INDIRECT(CHAR(39)&amp;$A1715&amp;CHAR(39)&amp;"!r2c"&amp;$C1715,0),variables,2,0)</f>
        <v>10930</v>
      </c>
      <c r="H1715" s="71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66" t="s">
        <v>1045</v>
      </c>
      <c r="B1716" s="66">
        <f t="shared" si="3497"/>
        <v>17</v>
      </c>
      <c r="C1716" s="66">
        <f t="shared" si="3488"/>
        <v>12</v>
      </c>
      <c r="E1716" s="66">
        <f t="shared" ref="E1716" si="3516">plan_id</f>
        <v>1952</v>
      </c>
      <c r="F1716" s="66">
        <f t="shared" ca="1" si="3355"/>
        <v>2014</v>
      </c>
      <c r="G1716" s="66">
        <f t="shared" ref="G1716" ca="1" si="3517">VLOOKUP(INDIRECT(CHAR(39)&amp;$A1716&amp;CHAR(39)&amp;"!r2c"&amp;$C1716,0),variables,2,0)</f>
        <v>10705</v>
      </c>
      <c r="H1716" s="7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794831000</v>
      </c>
    </row>
    <row r="1717" spans="1:8" x14ac:dyDescent="0.2">
      <c r="A1717" s="66" t="s">
        <v>1045</v>
      </c>
      <c r="B1717" s="66">
        <f t="shared" si="3497"/>
        <v>17</v>
      </c>
      <c r="C1717" s="66">
        <f t="shared" si="3488"/>
        <v>13</v>
      </c>
      <c r="E1717" s="66">
        <f t="shared" ref="E1717" si="3518">plan_id</f>
        <v>1952</v>
      </c>
      <c r="F1717" s="66">
        <f t="shared" ca="1" si="3355"/>
        <v>2014</v>
      </c>
      <c r="G1717" s="66">
        <f t="shared" ref="G1717" ca="1" si="3519">VLOOKUP(INDIRECT(CHAR(39)&amp;$A1717&amp;CHAR(39)&amp;"!r2c"&amp;$C1717,0),variables,2,0)</f>
        <v>10842</v>
      </c>
      <c r="H1717" s="71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66" t="s">
        <v>1045</v>
      </c>
      <c r="B1718" s="66">
        <f t="shared" si="3497"/>
        <v>17</v>
      </c>
      <c r="C1718" s="66">
        <f t="shared" si="3488"/>
        <v>14</v>
      </c>
      <c r="E1718" s="66">
        <f t="shared" ref="E1718" si="3520">plan_id</f>
        <v>1952</v>
      </c>
      <c r="F1718" s="66">
        <f t="shared" ca="1" si="3355"/>
        <v>2014</v>
      </c>
      <c r="G1718" s="66">
        <f t="shared" ref="G1718" ca="1" si="3521">VLOOKUP(INDIRECT(CHAR(39)&amp;$A1718&amp;CHAR(39)&amp;"!r2c"&amp;$C1718,0),variables,2,0)</f>
        <v>10843</v>
      </c>
      <c r="H1718" s="71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66" t="s">
        <v>1045</v>
      </c>
      <c r="B1719" s="66">
        <f t="shared" si="3497"/>
        <v>17</v>
      </c>
      <c r="C1719" s="66">
        <f t="shared" si="3488"/>
        <v>15</v>
      </c>
      <c r="E1719" s="66">
        <f t="shared" ref="E1719" si="3522">plan_id</f>
        <v>1952</v>
      </c>
      <c r="F1719" s="66">
        <f t="shared" ca="1" si="3355"/>
        <v>2014</v>
      </c>
      <c r="G1719" s="66">
        <f t="shared" ref="G1719" ca="1" si="3523">VLOOKUP(INDIRECT(CHAR(39)&amp;$A1719&amp;CHAR(39)&amp;"!r2c"&amp;$C1719,0),variables,2,0)</f>
        <v>10931</v>
      </c>
      <c r="H1719" s="7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66" t="s">
        <v>1045</v>
      </c>
      <c r="B1720" s="66">
        <f t="shared" si="3497"/>
        <v>17</v>
      </c>
      <c r="C1720" s="66">
        <f t="shared" si="3488"/>
        <v>16</v>
      </c>
      <c r="E1720" s="66">
        <f t="shared" ref="E1720" si="3524">plan_id</f>
        <v>1952</v>
      </c>
      <c r="F1720" s="66">
        <f t="shared" ca="1" si="3355"/>
        <v>2014</v>
      </c>
      <c r="G1720" s="66">
        <f t="shared" ref="G1720" ca="1" si="3525">VLOOKUP(INDIRECT(CHAR(39)&amp;$A1720&amp;CHAR(39)&amp;"!r2c"&amp;$C1720,0),variables,2,0)</f>
        <v>10932</v>
      </c>
      <c r="H1720" s="7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66" t="s">
        <v>1045</v>
      </c>
      <c r="B1721" s="66">
        <f t="shared" si="3497"/>
        <v>17</v>
      </c>
      <c r="C1721" s="66">
        <f t="shared" si="3488"/>
        <v>17</v>
      </c>
      <c r="E1721" s="66">
        <f t="shared" ref="E1721" si="3526">plan_id</f>
        <v>1952</v>
      </c>
      <c r="F1721" s="66">
        <f t="shared" ca="1" si="3355"/>
        <v>2014</v>
      </c>
      <c r="G1721" s="66">
        <f t="shared" ref="G1721" ca="1" si="3527">VLOOKUP(INDIRECT(CHAR(39)&amp;$A1721&amp;CHAR(39)&amp;"!r2c"&amp;$C1721,0),variables,2,0)</f>
        <v>10933</v>
      </c>
      <c r="H1721" s="71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(i)15.14%; (ii)17.51%</v>
      </c>
    </row>
    <row r="1722" spans="1:8" x14ac:dyDescent="0.2">
      <c r="A1722" s="66" t="s">
        <v>1045</v>
      </c>
      <c r="B1722" s="66">
        <f t="shared" si="3497"/>
        <v>17</v>
      </c>
      <c r="C1722" s="66">
        <f t="shared" si="3488"/>
        <v>18</v>
      </c>
      <c r="E1722" s="66">
        <f t="shared" ref="E1722" si="3528">plan_id</f>
        <v>1952</v>
      </c>
      <c r="F1722" s="66">
        <f t="shared" ca="1" si="3355"/>
        <v>2014</v>
      </c>
      <c r="G1722" s="66">
        <f t="shared" ref="G1722" ca="1" si="3529">VLOOKUP(INDIRECT(CHAR(39)&amp;$A1722&amp;CHAR(39)&amp;"!r2c"&amp;$C1722,0),variables,2,0)</f>
        <v>10934</v>
      </c>
      <c r="H1722" s="71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(i)4.98%; (ii)4.99%</v>
      </c>
    </row>
    <row r="1723" spans="1:8" x14ac:dyDescent="0.2">
      <c r="A1723" s="66" t="s">
        <v>1045</v>
      </c>
      <c r="B1723" s="66">
        <f t="shared" si="3497"/>
        <v>17</v>
      </c>
      <c r="C1723" s="66">
        <f t="shared" si="3488"/>
        <v>19</v>
      </c>
      <c r="E1723" s="66">
        <f t="shared" ref="E1723" si="3530">plan_id</f>
        <v>1952</v>
      </c>
      <c r="F1723" s="66">
        <f t="shared" ca="1" si="3355"/>
        <v>2014</v>
      </c>
      <c r="G1723" s="66">
        <f t="shared" ref="G1723" ca="1" si="3531">VLOOKUP(INDIRECT(CHAR(39)&amp;$A1723&amp;CHAR(39)&amp;"!r2c"&amp;$C1723,0),variables,2,0)</f>
        <v>10935</v>
      </c>
      <c r="H1723" s="71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66" t="s">
        <v>1045</v>
      </c>
      <c r="B1724" s="66">
        <f t="shared" si="3497"/>
        <v>17</v>
      </c>
      <c r="C1724" s="66">
        <f t="shared" si="3488"/>
        <v>20</v>
      </c>
      <c r="E1724" s="66">
        <f t="shared" ref="E1724" si="3532">plan_id</f>
        <v>1952</v>
      </c>
      <c r="F1724" s="66">
        <f t="shared" ca="1" si="3355"/>
        <v>2014</v>
      </c>
      <c r="G1724" s="66">
        <f t="shared" ref="G1724" ca="1" si="3533">VLOOKUP(INDIRECT(CHAR(39)&amp;$A1724&amp;CHAR(39)&amp;"!r2c"&amp;$C1724,0),variables,2,0)</f>
        <v>10937</v>
      </c>
      <c r="H1724" s="71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66" t="s">
        <v>1045</v>
      </c>
      <c r="B1725" s="66">
        <f t="shared" si="3497"/>
        <v>17</v>
      </c>
      <c r="C1725" s="66">
        <f t="shared" si="3488"/>
        <v>21</v>
      </c>
      <c r="E1725" s="66">
        <f t="shared" ref="E1725" si="3534">plan_id</f>
        <v>1952</v>
      </c>
      <c r="F1725" s="66">
        <f t="shared" ca="1" si="3355"/>
        <v>2014</v>
      </c>
      <c r="G1725" s="66">
        <f t="shared" ref="G1725" ca="1" si="3535">VLOOKUP(INDIRECT(CHAR(39)&amp;$A1725&amp;CHAR(39)&amp;"!r2c"&amp;$C1725,0),variables,2,0)</f>
        <v>10938</v>
      </c>
      <c r="H1725" s="7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66" t="s">
        <v>1045</v>
      </c>
      <c r="B1726" s="66">
        <f t="shared" si="3497"/>
        <v>17</v>
      </c>
      <c r="C1726" s="66">
        <f t="shared" si="3488"/>
        <v>22</v>
      </c>
      <c r="E1726" s="66">
        <f t="shared" ref="E1726" si="3536">plan_id</f>
        <v>1952</v>
      </c>
      <c r="F1726" s="66">
        <f t="shared" ca="1" si="3355"/>
        <v>2014</v>
      </c>
      <c r="G1726" s="66">
        <f t="shared" ref="G1726" ca="1" si="3537">VLOOKUP(INDIRECT(CHAR(39)&amp;$A1726&amp;CHAR(39)&amp;"!r2c"&amp;$C1726,0),variables,2,0)</f>
        <v>11007</v>
      </c>
      <c r="H1726" s="71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Plan 1: 1.7% of AFC times years of service; Plan 2: 1.7% AFC times years of service up to 1/1/13 + 1.65% AFC times years of service from 1/1/13</v>
      </c>
    </row>
    <row r="1727" spans="1:8" x14ac:dyDescent="0.2">
      <c r="A1727" s="66" t="s">
        <v>1045</v>
      </c>
      <c r="B1727" s="66">
        <f t="shared" si="3497"/>
        <v>17</v>
      </c>
      <c r="C1727" s="66">
        <f t="shared" si="3488"/>
        <v>23</v>
      </c>
      <c r="E1727" s="66">
        <f t="shared" ref="E1727" si="3538">plan_id</f>
        <v>1952</v>
      </c>
      <c r="F1727" s="66">
        <f t="shared" ca="1" si="3355"/>
        <v>2014</v>
      </c>
      <c r="G1727" s="66">
        <f t="shared" ref="G1727" ca="1" si="3539">VLOOKUP(INDIRECT(CHAR(39)&amp;$A1727&amp;CHAR(39)&amp;"!r2c"&amp;$C1727,0),variables,2,0)</f>
        <v>10941</v>
      </c>
      <c r="H1727" s="71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PBI</v>
      </c>
    </row>
    <row r="1728" spans="1:8" x14ac:dyDescent="0.2">
      <c r="A1728" s="66" t="s">
        <v>1045</v>
      </c>
      <c r="B1728" s="66">
        <f t="shared" si="3497"/>
        <v>17</v>
      </c>
      <c r="C1728" s="66">
        <f t="shared" si="3488"/>
        <v>24</v>
      </c>
      <c r="E1728" s="66">
        <f t="shared" ref="E1728" si="3540">plan_id</f>
        <v>1952</v>
      </c>
      <c r="F1728" s="66">
        <f t="shared" ca="1" si="3355"/>
        <v>2014</v>
      </c>
      <c r="G1728" s="66">
        <f t="shared" ref="G1728" ca="1" si="3541">VLOOKUP(INDIRECT(CHAR(39)&amp;$A1728&amp;CHAR(39)&amp;"!r2c"&amp;$C1728,0),variables,2,0)</f>
        <v>10942</v>
      </c>
      <c r="H1728" s="71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2">
      <c r="A1729" s="66" t="s">
        <v>1045</v>
      </c>
      <c r="B1729" s="66">
        <f t="shared" si="3497"/>
        <v>17</v>
      </c>
      <c r="C1729" s="66">
        <f t="shared" si="3488"/>
        <v>25</v>
      </c>
      <c r="E1729" s="66">
        <f t="shared" ref="E1729" si="3542">plan_id</f>
        <v>1952</v>
      </c>
      <c r="F1729" s="66">
        <f t="shared" ca="1" si="3355"/>
        <v>2014</v>
      </c>
      <c r="G1729" s="66">
        <f t="shared" ref="G1729" ca="1" si="3543">VLOOKUP(INDIRECT(CHAR(39)&amp;$A1729&amp;CHAR(39)&amp;"!r2c"&amp;$C1729,0),variables,2,0)</f>
        <v>10701</v>
      </c>
      <c r="H1729" s="71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2">
      <c r="A1730" s="66" t="s">
        <v>1045</v>
      </c>
      <c r="B1730" s="66">
        <f t="shared" si="3497"/>
        <v>17</v>
      </c>
      <c r="C1730" s="66">
        <f t="shared" si="3488"/>
        <v>26</v>
      </c>
      <c r="E1730" s="66">
        <f t="shared" ref="E1730" si="3544">plan_id</f>
        <v>1952</v>
      </c>
      <c r="F1730" s="66">
        <f t="shared" ca="1" si="3355"/>
        <v>2014</v>
      </c>
      <c r="G1730" s="66">
        <f t="shared" ref="G1730" ca="1" si="3545">VLOOKUP(INDIRECT(CHAR(39)&amp;$A1730&amp;CHAR(39)&amp;"!r2c"&amp;$C1730,0),variables,2,0)</f>
        <v>10702</v>
      </c>
      <c r="H1730" s="71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66" t="s">
        <v>1045</v>
      </c>
      <c r="B1731" s="66">
        <f t="shared" si="3497"/>
        <v>17</v>
      </c>
      <c r="C1731" s="66">
        <f t="shared" si="3488"/>
        <v>27</v>
      </c>
      <c r="E1731" s="66">
        <f t="shared" ref="E1731" si="3546">plan_id</f>
        <v>1952</v>
      </c>
      <c r="F1731" s="66">
        <f t="shared" ca="1" si="3355"/>
        <v>2014</v>
      </c>
      <c r="G1731" s="66">
        <f t="shared" ref="G1731" ca="1" si="3547">VLOOKUP(INDIRECT(CHAR(39)&amp;$A1731&amp;CHAR(39)&amp;"!r2c"&amp;$C1731,0),variables,2,0)</f>
        <v>10943</v>
      </c>
      <c r="H1731" s="71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Plan 1: 2.50%; Plan 2: 2.25%</v>
      </c>
    </row>
    <row r="1732" spans="1:8" x14ac:dyDescent="0.2">
      <c r="A1732" s="66" t="s">
        <v>1045</v>
      </c>
      <c r="B1732" s="66">
        <f t="shared" si="3497"/>
        <v>17</v>
      </c>
      <c r="C1732" s="66">
        <f t="shared" si="3488"/>
        <v>28</v>
      </c>
      <c r="E1732" s="66">
        <f t="shared" ref="E1732" si="3548">plan_id</f>
        <v>1952</v>
      </c>
      <c r="F1732" s="66">
        <f t="shared" ca="1" si="3355"/>
        <v>2014</v>
      </c>
      <c r="G1732" s="66">
        <f t="shared" ref="G1732" ca="1" si="3549">VLOOKUP(INDIRECT(CHAR(39)&amp;$A1732&amp;CHAR(39)&amp;"!r2c"&amp;$C1732,0),variables,2,0)</f>
        <v>10944</v>
      </c>
      <c r="H1732" s="71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66" t="s">
        <v>1045</v>
      </c>
      <c r="B1733" s="66">
        <f t="shared" si="3497"/>
        <v>17</v>
      </c>
      <c r="C1733" s="66">
        <f t="shared" si="3488"/>
        <v>29</v>
      </c>
      <c r="E1733" s="66">
        <f t="shared" ref="E1733" si="3550">plan_id</f>
        <v>1952</v>
      </c>
      <c r="F1733" s="66">
        <f t="shared" ca="1" si="3355"/>
        <v>2014</v>
      </c>
      <c r="G1733" s="66">
        <f t="shared" ref="G1733" ca="1" si="3551">VLOOKUP(INDIRECT(CHAR(39)&amp;$A1733&amp;CHAR(39)&amp;"!r2c"&amp;$C1733,0),variables,2,0)</f>
        <v>10945</v>
      </c>
      <c r="H1733" s="71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66" t="s">
        <v>1045</v>
      </c>
      <c r="B1734" s="66">
        <f t="shared" si="3497"/>
        <v>17</v>
      </c>
      <c r="C1734" s="66">
        <f t="shared" si="3488"/>
        <v>30</v>
      </c>
      <c r="E1734" s="66">
        <f t="shared" ref="E1734" si="3552">plan_id</f>
        <v>1952</v>
      </c>
      <c r="F1734" s="66">
        <f t="shared" ca="1" si="3355"/>
        <v>2014</v>
      </c>
      <c r="G1734" s="66">
        <f t="shared" ref="G1734" ca="1" si="3553">VLOOKUP(INDIRECT(CHAR(39)&amp;$A1734&amp;CHAR(39)&amp;"!r2c"&amp;$C1734,0),variables,2,0)</f>
        <v>10947</v>
      </c>
      <c r="H1734" s="71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66" t="s">
        <v>1045</v>
      </c>
      <c r="B1735" s="66">
        <f t="shared" si="3497"/>
        <v>17</v>
      </c>
      <c r="C1735" s="66">
        <f t="shared" si="3488"/>
        <v>31</v>
      </c>
      <c r="E1735" s="66">
        <f t="shared" ref="E1735" si="3554">plan_id</f>
        <v>1952</v>
      </c>
      <c r="F1735" s="66">
        <f t="shared" ca="1" si="3355"/>
        <v>2014</v>
      </c>
      <c r="G1735" s="66">
        <f t="shared" ref="G1735" ca="1" si="3555">VLOOKUP(INDIRECT(CHAR(39)&amp;$A1735&amp;CHAR(39)&amp;"!r2c"&amp;$C1735,0),variables,2,0)</f>
        <v>10948</v>
      </c>
      <c r="H1735" s="71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2">
      <c r="A1736" s="66" t="s">
        <v>1045</v>
      </c>
      <c r="B1736" s="66">
        <f t="shared" si="3497"/>
        <v>17</v>
      </c>
      <c r="C1736" s="66">
        <f t="shared" si="3488"/>
        <v>32</v>
      </c>
      <c r="E1736" s="66">
        <f t="shared" ref="E1736" si="3556">plan_id</f>
        <v>1952</v>
      </c>
      <c r="F1736" s="66">
        <f t="shared" ca="1" si="3355"/>
        <v>2014</v>
      </c>
      <c r="G1736" s="66">
        <f t="shared" ref="G1736" ca="1" si="3557">VLOOKUP(INDIRECT(CHAR(39)&amp;$A1736&amp;CHAR(39)&amp;"!r2c"&amp;$C1736,0),variables,2,0)</f>
        <v>10949</v>
      </c>
      <c r="H1736" s="71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Yes</v>
      </c>
    </row>
    <row r="1737" spans="1:8" x14ac:dyDescent="0.2">
      <c r="A1737" s="66" t="s">
        <v>1045</v>
      </c>
      <c r="B1737" s="66">
        <f t="shared" si="3497"/>
        <v>17</v>
      </c>
      <c r="C1737" s="66">
        <f t="shared" si="3488"/>
        <v>33</v>
      </c>
      <c r="E1737" s="66">
        <f t="shared" ref="E1737" si="3558">plan_id</f>
        <v>1952</v>
      </c>
      <c r="F1737" s="66">
        <f t="shared" ca="1" si="3355"/>
        <v>2014</v>
      </c>
      <c r="G1737" s="66">
        <f t="shared" ref="G1737" ca="1" si="3559">VLOOKUP(INDIRECT(CHAR(39)&amp;$A1737&amp;CHAR(39)&amp;"!r2c"&amp;$C1737,0),variables,2,0)</f>
        <v>10951</v>
      </c>
      <c r="H1737" s="71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2">
      <c r="A1738" s="66" t="s">
        <v>1045</v>
      </c>
      <c r="B1738" s="66">
        <f t="shared" si="3497"/>
        <v>17</v>
      </c>
      <c r="C1738" s="66">
        <f t="shared" si="3488"/>
        <v>34</v>
      </c>
      <c r="E1738" s="66">
        <f t="shared" ref="E1738" si="3560">plan_id</f>
        <v>1952</v>
      </c>
      <c r="F1738" s="66">
        <f t="shared" ca="1" si="3355"/>
        <v>2014</v>
      </c>
      <c r="G1738" s="66">
        <f t="shared" ref="G1738" ca="1" si="3561">VLOOKUP(INDIRECT(CHAR(39)&amp;$A1738&amp;CHAR(39)&amp;"!r2c"&amp;$C1738,0),variables,2,0)</f>
        <v>10950</v>
      </c>
      <c r="H1738" s="71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2">
      <c r="A1739" s="66" t="s">
        <v>1045</v>
      </c>
      <c r="B1739" s="66">
        <f t="shared" si="3497"/>
        <v>17</v>
      </c>
      <c r="C1739" s="66">
        <f t="shared" si="3488"/>
        <v>35</v>
      </c>
      <c r="E1739" s="66">
        <f t="shared" ref="E1739" si="3562">plan_id</f>
        <v>1952</v>
      </c>
      <c r="F1739" s="66">
        <f t="shared" ca="1" si="3355"/>
        <v>2014</v>
      </c>
      <c r="G1739" s="66">
        <f t="shared" ref="G1739" ca="1" si="3563">VLOOKUP(INDIRECT(CHAR(39)&amp;$A1739&amp;CHAR(39)&amp;"!r2c"&amp;$C1739,0),variables,2,0)</f>
        <v>10954</v>
      </c>
      <c r="H1739" s="71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2.5000000000000001E-2</v>
      </c>
    </row>
    <row r="1740" spans="1:8" x14ac:dyDescent="0.2">
      <c r="A1740" s="66" t="s">
        <v>1045</v>
      </c>
      <c r="B1740" s="66">
        <f t="shared" si="3497"/>
        <v>17</v>
      </c>
      <c r="C1740" s="66">
        <f t="shared" si="3488"/>
        <v>36</v>
      </c>
      <c r="E1740" s="66">
        <f t="shared" ref="E1740" si="3564">plan_id</f>
        <v>1952</v>
      </c>
      <c r="F1740" s="66">
        <f t="shared" ca="1" si="3355"/>
        <v>2014</v>
      </c>
      <c r="G1740" s="66">
        <f t="shared" ref="G1740" ca="1" si="3565">VLOOKUP(INDIRECT(CHAR(39)&amp;$A1740&amp;CHAR(39)&amp;"!r2c"&amp;$C1740,0),variables,2,0)</f>
        <v>10955</v>
      </c>
      <c r="H1740" s="71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7.0000000000000007E-2</v>
      </c>
    </row>
    <row r="1741" spans="1:8" x14ac:dyDescent="0.2">
      <c r="A1741" s="66" t="s">
        <v>1045</v>
      </c>
      <c r="B1741" s="66">
        <f t="shared" si="3497"/>
        <v>17</v>
      </c>
      <c r="C1741" s="66">
        <f t="shared" si="3488"/>
        <v>37</v>
      </c>
      <c r="E1741" s="66">
        <f t="shared" ref="E1741" si="3566">plan_id</f>
        <v>1952</v>
      </c>
      <c r="F1741" s="66">
        <f t="shared" ca="1" si="3355"/>
        <v>2014</v>
      </c>
      <c r="G1741" s="66">
        <f t="shared" ref="G1741" ca="1" si="3567">VLOOKUP(INDIRECT(CHAR(39)&amp;$A1741&amp;CHAR(39)&amp;"!r2c"&amp;$C1741,0),variables,2,0)</f>
        <v>10956</v>
      </c>
      <c r="H1741" s="71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x14ac:dyDescent="0.2">
      <c r="A1742" s="66" t="s">
        <v>1045</v>
      </c>
      <c r="B1742" s="66">
        <f t="shared" si="3497"/>
        <v>17</v>
      </c>
      <c r="C1742" s="66">
        <f t="shared" si="3488"/>
        <v>38</v>
      </c>
      <c r="E1742" s="66">
        <f t="shared" ref="E1742" si="3568">plan_id</f>
        <v>1952</v>
      </c>
      <c r="F1742" s="66">
        <f t="shared" ca="1" si="3355"/>
        <v>2014</v>
      </c>
      <c r="G1742" s="66">
        <f t="shared" ref="G1742" ca="1" si="3569">VLOOKUP(INDIRECT(CHAR(39)&amp;$A1742&amp;CHAR(39)&amp;"!r2c"&amp;$C1742,0),variables,2,0)</f>
        <v>10959</v>
      </c>
      <c r="H1742" s="71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SE-3.50% to 5.35% &amp; Teach 3.50% to 5.95%; Political Sub: 3.5%-5.35%, 3.5%-4.75%</v>
      </c>
    </row>
    <row r="1743" spans="1:8" x14ac:dyDescent="0.2">
      <c r="A1743" s="66" t="s">
        <v>1045</v>
      </c>
      <c r="B1743" s="66">
        <f t="shared" si="3497"/>
        <v>17</v>
      </c>
      <c r="C1743" s="66">
        <f t="shared" si="3488"/>
        <v>39</v>
      </c>
      <c r="E1743" s="66">
        <f t="shared" ref="E1743" si="3570">plan_id</f>
        <v>1952</v>
      </c>
      <c r="F1743" s="66">
        <f t="shared" ca="1" si="3355"/>
        <v>2014</v>
      </c>
      <c r="G1743" s="66">
        <f t="shared" ref="G1743" ca="1" si="3571">VLOOKUP(INDIRECT(CHAR(39)&amp;$A1743&amp;CHAR(39)&amp;"!r2c"&amp;$C1743,0),variables,2,0)</f>
        <v>10962</v>
      </c>
      <c r="H1743" s="71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64 &amp; 71</v>
      </c>
    </row>
    <row r="1744" spans="1:8" x14ac:dyDescent="0.2">
      <c r="A1744" s="66" t="s">
        <v>1045</v>
      </c>
      <c r="B1744" s="66">
        <f t="shared" si="3497"/>
        <v>17</v>
      </c>
      <c r="C1744" s="66">
        <f t="shared" si="3488"/>
        <v>40</v>
      </c>
      <c r="E1744" s="66">
        <f t="shared" ref="E1744" si="3572">plan_id</f>
        <v>1952</v>
      </c>
      <c r="F1744" s="66">
        <f t="shared" ca="1" si="3355"/>
        <v>2014</v>
      </c>
      <c r="G1744" s="66">
        <f t="shared" ref="G1744" ca="1" si="3573">VLOOKUP(INDIRECT(CHAR(39)&amp;$A1744&amp;CHAR(39)&amp;"!r2c"&amp;$C1744,0),variables,2,0)</f>
        <v>10964</v>
      </c>
      <c r="H1744" s="71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60-62 &amp; 67-69</v>
      </c>
    </row>
    <row r="1745" spans="1:8" x14ac:dyDescent="0.2">
      <c r="A1745" s="66" t="s">
        <v>1045</v>
      </c>
      <c r="B1745" s="66">
        <f t="shared" si="3497"/>
        <v>17</v>
      </c>
      <c r="C1745" s="66">
        <f t="shared" si="3488"/>
        <v>41</v>
      </c>
      <c r="E1745" s="66">
        <f t="shared" ref="E1745" si="3574">plan_id</f>
        <v>1952</v>
      </c>
      <c r="F1745" s="66">
        <f t="shared" ca="1" si="3355"/>
        <v>2014</v>
      </c>
      <c r="G1745" s="66">
        <f t="shared" ref="G1745" ca="1" si="3575">VLOOKUP(INDIRECT(CHAR(39)&amp;$A1745&amp;CHAR(39)&amp;"!r2c"&amp;$C1745,0),variables,2,0)</f>
        <v>10967</v>
      </c>
      <c r="H1745" s="71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Employee Mortality Table; RP-2000 Combined Mortality Table</v>
      </c>
    </row>
    <row r="1746" spans="1:8" x14ac:dyDescent="0.2">
      <c r="A1746" s="66" t="s">
        <v>1045</v>
      </c>
      <c r="B1746" s="66">
        <f t="shared" si="3497"/>
        <v>17</v>
      </c>
      <c r="C1746" s="66">
        <f t="shared" si="3488"/>
        <v>42</v>
      </c>
      <c r="E1746" s="66">
        <f t="shared" ref="E1746" si="3576">plan_id</f>
        <v>1952</v>
      </c>
      <c r="F1746" s="66">
        <f t="shared" ca="1" si="3355"/>
        <v>2014</v>
      </c>
      <c r="G1746" s="66">
        <f t="shared" ref="G1746" ca="1" si="3577">VLOOKUP(INDIRECT(CHAR(39)&amp;$A1746&amp;CHAR(39)&amp;"!r2c"&amp;$C1746,0),variables,2,0)</f>
        <v>10968</v>
      </c>
      <c r="H1746" s="71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66" t="s">
        <v>1045</v>
      </c>
      <c r="B1747" s="66">
        <f t="shared" si="3497"/>
        <v>17</v>
      </c>
      <c r="C1747" s="66">
        <f t="shared" si="3488"/>
        <v>43</v>
      </c>
      <c r="E1747" s="66">
        <f t="shared" ref="E1747" si="3578">plan_id</f>
        <v>1952</v>
      </c>
      <c r="F1747" s="66">
        <f t="shared" ca="1" si="3355"/>
        <v>2014</v>
      </c>
      <c r="G1747" s="66">
        <f t="shared" ref="G1747" ca="1" si="3579">VLOOKUP(INDIRECT(CHAR(39)&amp;$A1747&amp;CHAR(39)&amp;"!r2c"&amp;$C1747,0),variables,2,0)</f>
        <v>10969</v>
      </c>
      <c r="H1747" s="71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 xml:space="preserve">Scale AA  </v>
      </c>
    </row>
    <row r="1748" spans="1:8" x14ac:dyDescent="0.2">
      <c r="A1748" s="66" t="s">
        <v>1045</v>
      </c>
      <c r="B1748" s="66">
        <f t="shared" si="3497"/>
        <v>17</v>
      </c>
      <c r="C1748" s="66">
        <f t="shared" si="3488"/>
        <v>44</v>
      </c>
      <c r="E1748" s="66">
        <f t="shared" ref="E1748" si="3580">plan_id</f>
        <v>1952</v>
      </c>
      <c r="F1748" s="66">
        <f t="shared" ca="1" si="3355"/>
        <v>2014</v>
      </c>
      <c r="G1748" s="66">
        <f t="shared" ref="G1748" ca="1" si="3581">VLOOKUP(INDIRECT(CHAR(39)&amp;$A1748&amp;CHAR(39)&amp;"!r2c"&amp;$C1748,0),variables,2,0)</f>
        <v>10970</v>
      </c>
      <c r="H1748" s="71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State Females: Pre-3 Years; Post- 1 Year; Teachers: Pre- Males: 3 Years, Females: 5 Years; Post- Males: 2 Years; Females: 3 Years</v>
      </c>
    </row>
    <row r="1749" spans="1:8" x14ac:dyDescent="0.2">
      <c r="A1749" s="66" t="s">
        <v>1045</v>
      </c>
      <c r="B1749" s="66">
        <f t="shared" si="3497"/>
        <v>17</v>
      </c>
      <c r="C1749" s="66">
        <f t="shared" si="3488"/>
        <v>45</v>
      </c>
      <c r="E1749" s="66">
        <f t="shared" ref="E1749" si="3582">plan_id</f>
        <v>1952</v>
      </c>
      <c r="F1749" s="66">
        <f t="shared" ca="1" si="3355"/>
        <v>2014</v>
      </c>
      <c r="G1749" s="66">
        <f t="shared" ref="G1749" ca="1" si="3583">VLOOKUP(INDIRECT(CHAR(39)&amp;$A1749&amp;CHAR(39)&amp;"!r2c"&amp;$C1749,0),variables,2,0)</f>
        <v>10971</v>
      </c>
      <c r="H1749" s="71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State-Males: Pre- 2 Years</v>
      </c>
    </row>
    <row r="1750" spans="1:8" x14ac:dyDescent="0.2">
      <c r="A1750" s="66" t="s">
        <v>1045</v>
      </c>
      <c r="B1750" s="66">
        <f t="shared" si="3497"/>
        <v>17</v>
      </c>
      <c r="C1750" s="66">
        <f t="shared" si="3488"/>
        <v>46</v>
      </c>
      <c r="E1750" s="66">
        <f t="shared" ref="E1750" si="3584">plan_id</f>
        <v>1952</v>
      </c>
      <c r="F1750" s="66">
        <f t="shared" ca="1" si="3355"/>
        <v>2014</v>
      </c>
      <c r="G1750" s="66">
        <f t="shared" ref="G1750" ca="1" si="3585">VLOOKUP(INDIRECT(CHAR(39)&amp;$A1750&amp;CHAR(39)&amp;"!r2c"&amp;$C1750,0),variables,2,0)</f>
        <v>10972</v>
      </c>
      <c r="H1750" s="71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percent, open</v>
      </c>
    </row>
    <row r="1751" spans="1:8" x14ac:dyDescent="0.2">
      <c r="A1751" s="66" t="s">
        <v>1045</v>
      </c>
      <c r="B1751" s="66">
        <f t="shared" si="3497"/>
        <v>17</v>
      </c>
      <c r="C1751" s="66">
        <f t="shared" si="3488"/>
        <v>47</v>
      </c>
      <c r="E1751" s="66">
        <f t="shared" ref="E1751" si="3586">plan_id</f>
        <v>1952</v>
      </c>
      <c r="F1751" s="66">
        <f t="shared" ca="1" si="3355"/>
        <v>2014</v>
      </c>
      <c r="G1751" s="66">
        <f t="shared" ref="G1751" ca="1" si="3587">VLOOKUP(INDIRECT(CHAR(39)&amp;$A1751&amp;CHAR(39)&amp;"!r2c"&amp;$C1751,0),variables,2,0)</f>
        <v>10973</v>
      </c>
      <c r="H1751" s="71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7 &amp; Variable Years</v>
      </c>
    </row>
    <row r="1752" spans="1:8" x14ac:dyDescent="0.2">
      <c r="A1752" s="66" t="s">
        <v>1045</v>
      </c>
      <c r="B1752" s="66">
        <f t="shared" si="3497"/>
        <v>17</v>
      </c>
      <c r="C1752" s="66">
        <f t="shared" si="3488"/>
        <v>48</v>
      </c>
      <c r="E1752" s="66">
        <f t="shared" ref="E1752" si="3588">plan_id</f>
        <v>1952</v>
      </c>
      <c r="F1752" s="66">
        <f t="shared" ca="1" si="3355"/>
        <v>2014</v>
      </c>
      <c r="G1752" s="66">
        <f t="shared" ref="G1752" ca="1" si="3589">VLOOKUP(INDIRECT(CHAR(39)&amp;$A1752&amp;CHAR(39)&amp;"!r2c"&amp;$C1752,0),variables,2,0)</f>
        <v>10975</v>
      </c>
      <c r="H1752" s="71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2">
      <c r="A1753" s="66" t="s">
        <v>1045</v>
      </c>
      <c r="B1753" s="66">
        <f t="shared" si="3497"/>
        <v>17</v>
      </c>
      <c r="C1753" s="66">
        <f t="shared" si="3488"/>
        <v>49</v>
      </c>
      <c r="E1753" s="66">
        <f t="shared" ref="E1753" si="3590">plan_id</f>
        <v>1952</v>
      </c>
      <c r="F1753" s="66">
        <f t="shared" ca="1" si="3355"/>
        <v>2014</v>
      </c>
      <c r="G1753" s="66">
        <f t="shared" ref="G1753" ca="1" si="3591">VLOOKUP(INDIRECT(CHAR(39)&amp;$A1753&amp;CHAR(39)&amp;"!r2c"&amp;$C1753,0),variables,2,0)</f>
        <v>10976</v>
      </c>
      <c r="H1753" s="71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7.0000000000000007E-2</v>
      </c>
    </row>
    <row r="1754" spans="1:8" x14ac:dyDescent="0.2">
      <c r="A1754" s="66" t="s">
        <v>1045</v>
      </c>
      <c r="B1754" s="66">
        <f t="shared" si="3497"/>
        <v>17</v>
      </c>
      <c r="C1754" s="66">
        <f t="shared" si="3488"/>
        <v>50</v>
      </c>
      <c r="E1754" s="66">
        <f t="shared" ref="E1754" si="3592">plan_id</f>
        <v>1952</v>
      </c>
      <c r="F1754" s="66">
        <f t="shared" ca="1" si="3355"/>
        <v>2014</v>
      </c>
      <c r="G1754" s="66">
        <f t="shared" ref="G1754" ca="1" si="3593">VLOOKUP(INDIRECT(CHAR(39)&amp;$A1754&amp;CHAR(39)&amp;"!r2c"&amp;$C1754,0),variables,2,0)</f>
        <v>10977</v>
      </c>
      <c r="H1754" s="71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66" t="s">
        <v>1045</v>
      </c>
      <c r="B1755" s="66">
        <f t="shared" si="3497"/>
        <v>17</v>
      </c>
      <c r="C1755" s="66">
        <f t="shared" si="3488"/>
        <v>51</v>
      </c>
      <c r="E1755" s="66">
        <f t="shared" ref="E1755" si="3594">plan_id</f>
        <v>1952</v>
      </c>
      <c r="F1755" s="66">
        <f t="shared" ca="1" si="3355"/>
        <v>2014</v>
      </c>
      <c r="G1755" s="66">
        <f t="shared" ref="G1755" ca="1" si="3595">VLOOKUP(INDIRECT(CHAR(39)&amp;$A1755&amp;CHAR(39)&amp;"!r2c"&amp;$C1755,0),variables,2,0)</f>
        <v>10978</v>
      </c>
      <c r="H1755" s="71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7.0000000000000007E-2</v>
      </c>
    </row>
    <row r="1756" spans="1:8" x14ac:dyDescent="0.2">
      <c r="A1756" s="66" t="s">
        <v>1045</v>
      </c>
      <c r="B1756" s="66">
        <f t="shared" si="3497"/>
        <v>17</v>
      </c>
      <c r="C1756" s="66">
        <f t="shared" si="3488"/>
        <v>52</v>
      </c>
      <c r="E1756" s="66">
        <f t="shared" ref="E1756" si="3596">plan_id</f>
        <v>1952</v>
      </c>
      <c r="F1756" s="66">
        <f t="shared" ca="1" si="3355"/>
        <v>2014</v>
      </c>
      <c r="G1756" s="66">
        <f t="shared" ref="G1756" ca="1" si="3597">VLOOKUP(INDIRECT(CHAR(39)&amp;$A1756&amp;CHAR(39)&amp;"!r2c"&amp;$C1756,0),variables,2,0)</f>
        <v>10979</v>
      </c>
      <c r="H1756" s="71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2">
      <c r="A1757" s="66" t="s">
        <v>1045</v>
      </c>
      <c r="B1757" s="66">
        <f t="shared" si="3497"/>
        <v>17</v>
      </c>
      <c r="C1757" s="66">
        <f t="shared" si="3488"/>
        <v>53</v>
      </c>
      <c r="E1757" s="66">
        <f t="shared" ref="E1757" si="3598">plan_id</f>
        <v>1952</v>
      </c>
      <c r="F1757" s="66">
        <f t="shared" ca="1" si="3355"/>
        <v>2014</v>
      </c>
      <c r="G1757" s="66">
        <f t="shared" ref="G1757" ca="1" si="3599">VLOOKUP(INDIRECT(CHAR(39)&amp;$A1757&amp;CHAR(39)&amp;"!r2c"&amp;$C1757,0),variables,2,0)</f>
        <v>10980</v>
      </c>
      <c r="H1757" s="71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2">
      <c r="A1758" s="66" t="s">
        <v>1045</v>
      </c>
      <c r="B1758" s="66">
        <f t="shared" si="3497"/>
        <v>17</v>
      </c>
      <c r="C1758" s="66">
        <f t="shared" si="3488"/>
        <v>54</v>
      </c>
      <c r="E1758" s="66">
        <f t="shared" ref="E1758" si="3600">plan_id</f>
        <v>1952</v>
      </c>
      <c r="F1758" s="66">
        <f t="shared" ref="F1758:F1831" ca="1" si="3601">INDIRECT(CHAR(39)&amp;$A1758&amp;CHAR(39)&amp;"!r"&amp;$B1758&amp;"c2",0)</f>
        <v>2014</v>
      </c>
      <c r="G1758" s="66">
        <f t="shared" ref="G1758" ca="1" si="3602">VLOOKUP(INDIRECT(CHAR(39)&amp;$A1758&amp;CHAR(39)&amp;"!r2c"&amp;$C1758,0),variables,2,0)</f>
        <v>10981</v>
      </c>
      <c r="H1758" s="71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2">
      <c r="A1759" s="66" t="s">
        <v>1045</v>
      </c>
      <c r="B1759" s="66">
        <f t="shared" si="3497"/>
        <v>17</v>
      </c>
      <c r="C1759" s="66">
        <f t="shared" si="3488"/>
        <v>55</v>
      </c>
      <c r="E1759" s="66">
        <f t="shared" ref="E1759" si="3603">plan_id</f>
        <v>1952</v>
      </c>
      <c r="F1759" s="66">
        <f t="shared" ca="1" si="3601"/>
        <v>2014</v>
      </c>
      <c r="G1759" s="66">
        <f t="shared" ref="G1759" ca="1" si="3604">VLOOKUP(INDIRECT(CHAR(39)&amp;$A1759&amp;CHAR(39)&amp;"!r2c"&amp;$C1759,0),variables,2,0)</f>
        <v>10706</v>
      </c>
      <c r="H1759" s="71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7.4798347080309293E-4</v>
      </c>
    </row>
    <row r="1760" spans="1:8" x14ac:dyDescent="0.2">
      <c r="A1760" s="66" t="s">
        <v>1045</v>
      </c>
      <c r="B1760" s="66">
        <f t="shared" si="3497"/>
        <v>17</v>
      </c>
      <c r="C1760" s="66">
        <f t="shared" si="3488"/>
        <v>56</v>
      </c>
      <c r="E1760" s="66">
        <f t="shared" ref="E1760" si="3605">plan_id</f>
        <v>1952</v>
      </c>
      <c r="F1760" s="66">
        <f t="shared" ca="1" si="3601"/>
        <v>2014</v>
      </c>
      <c r="G1760" s="66">
        <f t="shared" ref="G1760" ca="1" si="3606">VLOOKUP(INDIRECT(CHAR(39)&amp;$A1760&amp;CHAR(39)&amp;"!r2c"&amp;$C1760,0),variables,2,0)</f>
        <v>10983</v>
      </c>
      <c r="H1760" s="71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66" t="s">
        <v>1045</v>
      </c>
      <c r="B1761" s="66">
        <f t="shared" si="3497"/>
        <v>17</v>
      </c>
      <c r="C1761" s="66">
        <f t="shared" si="3488"/>
        <v>57</v>
      </c>
      <c r="E1761" s="66">
        <f t="shared" ref="E1761" si="3607">plan_id</f>
        <v>1952</v>
      </c>
      <c r="F1761" s="66">
        <f t="shared" ca="1" si="3601"/>
        <v>2014</v>
      </c>
      <c r="G1761" s="66">
        <f t="shared" ref="G1761" ca="1" si="3608">VLOOKUP(INDIRECT(CHAR(39)&amp;$A1761&amp;CHAR(39)&amp;"!r2c"&amp;$C1761,0),variables,2,0)</f>
        <v>10989</v>
      </c>
      <c r="H1761" s="7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57144567000</v>
      </c>
    </row>
    <row r="1762" spans="1:8" x14ac:dyDescent="0.2">
      <c r="A1762" s="66" t="s">
        <v>1045</v>
      </c>
      <c r="B1762" s="66">
        <f t="shared" si="3497"/>
        <v>17</v>
      </c>
      <c r="C1762" s="66">
        <f t="shared" si="3488"/>
        <v>58</v>
      </c>
      <c r="E1762" s="66">
        <f t="shared" ref="E1762" si="3609">plan_id</f>
        <v>1952</v>
      </c>
      <c r="F1762" s="66">
        <f t="shared" ca="1" si="3601"/>
        <v>2014</v>
      </c>
      <c r="G1762" s="66">
        <f t="shared" ref="G1762" ca="1" si="3610">VLOOKUP(INDIRECT(CHAR(39)&amp;$A1762&amp;CHAR(39)&amp;"!r2c"&amp;$C1762,0),variables,2,0)</f>
        <v>10990</v>
      </c>
      <c r="H1762" s="7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82083384000</v>
      </c>
    </row>
    <row r="1763" spans="1:8" x14ac:dyDescent="0.2">
      <c r="A1763" s="66" t="s">
        <v>1045</v>
      </c>
      <c r="B1763" s="66">
        <f t="shared" si="3497"/>
        <v>17</v>
      </c>
      <c r="C1763" s="66">
        <f t="shared" si="3488"/>
        <v>59</v>
      </c>
      <c r="E1763" s="66">
        <f t="shared" ref="E1763" si="3611">plan_id</f>
        <v>1952</v>
      </c>
      <c r="F1763" s="66">
        <f t="shared" ca="1" si="3601"/>
        <v>2014</v>
      </c>
      <c r="G1763" s="66">
        <f t="shared" ref="G1763" ca="1" si="3612">VLOOKUP(INDIRECT(CHAR(39)&amp;$A1763&amp;CHAR(39)&amp;"!r2c"&amp;$C1763,0),variables,2,0)</f>
        <v>10991</v>
      </c>
      <c r="H1763" s="7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24938817000</v>
      </c>
    </row>
    <row r="1764" spans="1:8" x14ac:dyDescent="0.2">
      <c r="A1764" s="66" t="s">
        <v>1045</v>
      </c>
      <c r="B1764" s="66">
        <f t="shared" si="3497"/>
        <v>17</v>
      </c>
      <c r="C1764" s="66">
        <f t="shared" si="3488"/>
        <v>60</v>
      </c>
      <c r="E1764" s="66">
        <f t="shared" ref="E1764" si="3613">plan_id</f>
        <v>1952</v>
      </c>
      <c r="F1764" s="66">
        <f t="shared" ca="1" si="3601"/>
        <v>2014</v>
      </c>
      <c r="G1764" s="66">
        <f t="shared" ref="G1764" ca="1" si="3614">VLOOKUP(INDIRECT(CHAR(39)&amp;$A1764&amp;CHAR(39)&amp;"!r2c"&amp;$C1764,0),variables,2,0)</f>
        <v>10992</v>
      </c>
      <c r="H1764" s="71" t="str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State Employees: 67.9%; Teachers: 65.4%; Political Subdivisions: 80.6%</v>
      </c>
    </row>
    <row r="1765" spans="1:8" x14ac:dyDescent="0.2">
      <c r="A1765" s="66" t="s">
        <v>1045</v>
      </c>
      <c r="B1765" s="66">
        <f t="shared" si="3497"/>
        <v>17</v>
      </c>
      <c r="C1765" s="66">
        <f t="shared" si="3488"/>
        <v>61</v>
      </c>
      <c r="E1765" s="66">
        <f t="shared" ref="E1765" si="3615">plan_id</f>
        <v>1952</v>
      </c>
      <c r="F1765" s="66">
        <f t="shared" ca="1" si="3601"/>
        <v>2014</v>
      </c>
      <c r="G1765" s="66">
        <f t="shared" ref="G1765" ca="1" si="3616">VLOOKUP(INDIRECT(CHAR(39)&amp;$A1765&amp;CHAR(39)&amp;"!r2c"&amp;$C1765,0),variables,2,0)</f>
        <v>10993</v>
      </c>
      <c r="H1765" s="71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15671359000</v>
      </c>
    </row>
    <row r="1766" spans="1:8" x14ac:dyDescent="0.2">
      <c r="A1766" s="66" t="s">
        <v>1045</v>
      </c>
      <c r="B1766" s="66">
        <f t="shared" si="3497"/>
        <v>17</v>
      </c>
      <c r="C1766" s="66">
        <f t="shared" si="3488"/>
        <v>62</v>
      </c>
      <c r="E1766" s="66">
        <f t="shared" ref="E1766" si="3617">plan_id</f>
        <v>1952</v>
      </c>
      <c r="F1766" s="66">
        <f t="shared" ca="1" si="3601"/>
        <v>2014</v>
      </c>
      <c r="G1766" s="66">
        <f t="shared" ref="G1766" ca="1" si="3618">VLOOKUP(INDIRECT(CHAR(39)&amp;$A1766&amp;CHAR(39)&amp;"!r2c"&amp;$C1766,0),variables,2,0)</f>
        <v>10801</v>
      </c>
      <c r="H1766" s="71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-2693700000</v>
      </c>
    </row>
    <row r="1767" spans="1:8" x14ac:dyDescent="0.2">
      <c r="A1767" s="66" t="s">
        <v>1045</v>
      </c>
      <c r="B1767" s="66">
        <f t="shared" si="3497"/>
        <v>17</v>
      </c>
      <c r="C1767" s="66">
        <f t="shared" ref="C1767:C1830" si="3619">C1676</f>
        <v>63</v>
      </c>
      <c r="E1767" s="66">
        <f t="shared" ref="E1767" si="3620">plan_id</f>
        <v>1952</v>
      </c>
      <c r="F1767" s="66">
        <f t="shared" ca="1" si="3601"/>
        <v>2014</v>
      </c>
      <c r="G1767" s="66">
        <f t="shared" ref="G1767" ca="1" si="3621">VLOOKUP(INDIRECT(CHAR(39)&amp;$A1767&amp;CHAR(39)&amp;"!r2c"&amp;$C1767,0),variables,2,0)</f>
        <v>10802</v>
      </c>
      <c r="H1767" s="7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-113500000</v>
      </c>
    </row>
    <row r="1768" spans="1:8" x14ac:dyDescent="0.2">
      <c r="A1768" s="66" t="s">
        <v>1045</v>
      </c>
      <c r="B1768" s="66">
        <f t="shared" si="3497"/>
        <v>17</v>
      </c>
      <c r="C1768" s="66">
        <f t="shared" si="3619"/>
        <v>64</v>
      </c>
      <c r="E1768" s="66">
        <f t="shared" ref="E1768" si="3622">plan_id</f>
        <v>1952</v>
      </c>
      <c r="F1768" s="66">
        <f t="shared" ca="1" si="3601"/>
        <v>2014</v>
      </c>
      <c r="G1768" s="66">
        <f t="shared" ref="G1768" ca="1" si="3623">VLOOKUP(INDIRECT(CHAR(39)&amp;$A1768&amp;CHAR(39)&amp;"!r2c"&amp;$C1768,0),variables,2,0)</f>
        <v>10803</v>
      </c>
      <c r="H1768" s="71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66" t="s">
        <v>1045</v>
      </c>
      <c r="B1769" s="66">
        <f t="shared" si="3497"/>
        <v>17</v>
      </c>
      <c r="C1769" s="66">
        <f t="shared" si="3619"/>
        <v>65</v>
      </c>
      <c r="E1769" s="66">
        <f t="shared" ref="E1769" si="3624">plan_id</f>
        <v>1952</v>
      </c>
      <c r="F1769" s="66">
        <f t="shared" ca="1" si="3601"/>
        <v>2014</v>
      </c>
      <c r="G1769" s="66">
        <f t="shared" ref="G1769" ca="1" si="3625">VLOOKUP(INDIRECT(CHAR(39)&amp;$A1769&amp;CHAR(39)&amp;"!r2c"&amp;$C1769,0),variables,2,0)</f>
        <v>10804</v>
      </c>
      <c r="H1769" s="7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66" t="s">
        <v>1045</v>
      </c>
      <c r="B1770" s="66">
        <f t="shared" si="3497"/>
        <v>17</v>
      </c>
      <c r="C1770" s="66">
        <f t="shared" si="3619"/>
        <v>66</v>
      </c>
      <c r="E1770" s="66">
        <f t="shared" ref="E1770" si="3626">plan_id</f>
        <v>1952</v>
      </c>
      <c r="F1770" s="66">
        <f t="shared" ca="1" si="3601"/>
        <v>2014</v>
      </c>
      <c r="G1770" s="66">
        <f t="shared" ref="G1770" ca="1" si="3627">VLOOKUP(INDIRECT(CHAR(39)&amp;$A1770&amp;CHAR(39)&amp;"!r2c"&amp;$C1770,0),variables,2,0)</f>
        <v>10805</v>
      </c>
      <c r="H1770" s="7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66" t="s">
        <v>1045</v>
      </c>
      <c r="B1771" s="66">
        <f t="shared" ref="B1771" si="3628">B1706+1</f>
        <v>17</v>
      </c>
      <c r="C1771" s="66">
        <f t="shared" si="3619"/>
        <v>67</v>
      </c>
      <c r="E1771" s="66">
        <f t="shared" ref="E1771" si="3629">plan_id</f>
        <v>1952</v>
      </c>
      <c r="F1771" s="66">
        <f t="shared" ca="1" si="3601"/>
        <v>2014</v>
      </c>
      <c r="G1771" s="66">
        <f t="shared" ref="G1771" ca="1" si="3630">VLOOKUP(INDIRECT(CHAR(39)&amp;$A1771&amp;CHAR(39)&amp;"!r2c"&amp;$C1771,0),variables,2,0)</f>
        <v>10806</v>
      </c>
      <c r="H1771" s="7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-10400000.000000002</v>
      </c>
    </row>
    <row r="1772" spans="1:8" x14ac:dyDescent="0.2">
      <c r="A1772" s="66" t="s">
        <v>1045</v>
      </c>
      <c r="B1772" s="66">
        <f>B1771</f>
        <v>17</v>
      </c>
      <c r="C1772" s="66">
        <f t="shared" si="3619"/>
        <v>68</v>
      </c>
      <c r="E1772" s="66">
        <f t="shared" ref="E1772" si="3631">plan_id</f>
        <v>1952</v>
      </c>
      <c r="F1772" s="66">
        <f t="shared" ca="1" si="3601"/>
        <v>2014</v>
      </c>
      <c r="G1772" s="66">
        <f t="shared" ref="G1772" ca="1" si="3632">VLOOKUP(INDIRECT(CHAR(39)&amp;$A1772&amp;CHAR(39)&amp;"!r2c"&amp;$C1772,0),variables,2,0)</f>
        <v>10807</v>
      </c>
      <c r="H1772" s="7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66" t="s">
        <v>1045</v>
      </c>
      <c r="B1773" s="66">
        <f t="shared" ref="B1773:B1797" si="3633">B1772</f>
        <v>17</v>
      </c>
      <c r="C1773" s="66">
        <f t="shared" si="3619"/>
        <v>69</v>
      </c>
      <c r="E1773" s="66">
        <f t="shared" ref="E1773" si="3634">plan_id</f>
        <v>1952</v>
      </c>
      <c r="F1773" s="66">
        <f t="shared" ca="1" si="3601"/>
        <v>2014</v>
      </c>
      <c r="G1773" s="66">
        <f t="shared" ref="G1773" ca="1" si="3635">VLOOKUP(INDIRECT(CHAR(39)&amp;$A1773&amp;CHAR(39)&amp;"!r2c"&amp;$C1773,0),variables,2,0)</f>
        <v>10808</v>
      </c>
      <c r="H1773" s="7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66" t="s">
        <v>1045</v>
      </c>
      <c r="B1774" s="66">
        <f t="shared" si="3633"/>
        <v>17</v>
      </c>
      <c r="C1774" s="66">
        <f t="shared" si="3619"/>
        <v>70</v>
      </c>
      <c r="E1774" s="66">
        <f t="shared" ref="E1774" si="3636">plan_id</f>
        <v>1952</v>
      </c>
      <c r="F1774" s="66">
        <f t="shared" ca="1" si="3601"/>
        <v>2014</v>
      </c>
      <c r="G1774" s="66">
        <f t="shared" ref="G1774" ca="1" si="3637">VLOOKUP(INDIRECT(CHAR(39)&amp;$A1774&amp;CHAR(39)&amp;"!r2c"&amp;$C1774,0),variables,2,0)</f>
        <v>10809</v>
      </c>
      <c r="H1774" s="7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66" t="s">
        <v>1045</v>
      </c>
      <c r="B1775" s="66">
        <f t="shared" si="3633"/>
        <v>17</v>
      </c>
      <c r="C1775" s="66">
        <f t="shared" si="3619"/>
        <v>71</v>
      </c>
      <c r="E1775" s="66">
        <f t="shared" ref="E1775" si="3638">plan_id</f>
        <v>1952</v>
      </c>
      <c r="F1775" s="66">
        <f t="shared" ca="1" si="3601"/>
        <v>2014</v>
      </c>
      <c r="G1775" s="66">
        <f t="shared" ref="G1775" ca="1" si="3639">VLOOKUP(INDIRECT(CHAR(39)&amp;$A1775&amp;CHAR(39)&amp;"!r2c"&amp;$C1775,0),variables,2,0)</f>
        <v>10810</v>
      </c>
      <c r="H1775" s="71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-77000000</v>
      </c>
    </row>
    <row r="1776" spans="1:8" x14ac:dyDescent="0.2">
      <c r="A1776" s="66" t="s">
        <v>1045</v>
      </c>
      <c r="B1776" s="66">
        <f t="shared" si="3633"/>
        <v>17</v>
      </c>
      <c r="C1776" s="66">
        <f t="shared" si="3619"/>
        <v>72</v>
      </c>
      <c r="E1776" s="66">
        <f t="shared" ref="E1776" si="3640">plan_id</f>
        <v>1952</v>
      </c>
      <c r="F1776" s="66">
        <f t="shared" ca="1" si="3601"/>
        <v>2014</v>
      </c>
      <c r="G1776" s="66">
        <f t="shared" ref="G1776" ca="1" si="3641">VLOOKUP(INDIRECT(CHAR(39)&amp;$A1776&amp;CHAR(39)&amp;"!r2c"&amp;$C1776,0),variables,2,0)</f>
        <v>10811</v>
      </c>
      <c r="H1776" s="7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66" t="s">
        <v>1045</v>
      </c>
      <c r="B1777" s="66">
        <f t="shared" si="3633"/>
        <v>17</v>
      </c>
      <c r="C1777" s="66">
        <f t="shared" si="3619"/>
        <v>73</v>
      </c>
      <c r="E1777" s="66">
        <f t="shared" ref="E1777" si="3642">plan_id</f>
        <v>1952</v>
      </c>
      <c r="F1777" s="66">
        <f t="shared" ca="1" si="3601"/>
        <v>2014</v>
      </c>
      <c r="G1777" s="66">
        <f t="shared" ref="G1777" ca="1" si="3643">VLOOKUP(INDIRECT(CHAR(39)&amp;$A1777&amp;CHAR(39)&amp;"!r2c"&amp;$C1777,0),variables,2,0)</f>
        <v>10812</v>
      </c>
      <c r="H1777" s="7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66" t="s">
        <v>1045</v>
      </c>
      <c r="B1778" s="66">
        <f t="shared" si="3633"/>
        <v>17</v>
      </c>
      <c r="C1778" s="66">
        <f t="shared" si="3619"/>
        <v>74</v>
      </c>
      <c r="E1778" s="66">
        <f t="shared" ref="E1778" si="3644">plan_id</f>
        <v>1952</v>
      </c>
      <c r="F1778" s="66">
        <f t="shared" ca="1" si="3601"/>
        <v>2014</v>
      </c>
      <c r="G1778" s="66">
        <f t="shared" ref="G1778" ca="1" si="3645">VLOOKUP(INDIRECT(CHAR(39)&amp;$A1778&amp;CHAR(39)&amp;"!r2c"&amp;$C1778,0),variables,2,0)</f>
        <v>10813</v>
      </c>
      <c r="H1778" s="71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66" t="s">
        <v>1045</v>
      </c>
      <c r="B1779" s="66">
        <f t="shared" si="3633"/>
        <v>17</v>
      </c>
      <c r="C1779" s="66">
        <f t="shared" si="3619"/>
        <v>75</v>
      </c>
      <c r="E1779" s="66">
        <f t="shared" ref="E1779" si="3646">plan_id</f>
        <v>1952</v>
      </c>
      <c r="F1779" s="66">
        <f t="shared" ca="1" si="3601"/>
        <v>2014</v>
      </c>
      <c r="G1779" s="66">
        <f t="shared" ref="G1779" ca="1" si="3647">VLOOKUP(INDIRECT(CHAR(39)&amp;$A1779&amp;CHAR(39)&amp;"!r2c"&amp;$C1779,0),variables,2,0)</f>
        <v>10814</v>
      </c>
      <c r="H1779" s="71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-15799999.999999996</v>
      </c>
    </row>
    <row r="1780" spans="1:8" x14ac:dyDescent="0.2">
      <c r="A1780" s="66" t="s">
        <v>1045</v>
      </c>
      <c r="B1780" s="66">
        <f t="shared" si="3633"/>
        <v>17</v>
      </c>
      <c r="C1780" s="66">
        <f t="shared" si="3619"/>
        <v>76</v>
      </c>
      <c r="E1780" s="66">
        <f t="shared" ref="E1780" si="3648">plan_id</f>
        <v>1952</v>
      </c>
      <c r="F1780" s="66">
        <f t="shared" ca="1" si="3601"/>
        <v>2014</v>
      </c>
      <c r="G1780" s="66">
        <f t="shared" ref="G1780" ca="1" si="3649">VLOOKUP(INDIRECT(CHAR(39)&amp;$A1780&amp;CHAR(39)&amp;"!r2c"&amp;$C1780,0),variables,2,0)</f>
        <v>10815</v>
      </c>
      <c r="H1780" s="71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175700000</v>
      </c>
    </row>
    <row r="1781" spans="1:8" x14ac:dyDescent="0.2">
      <c r="A1781" s="66" t="s">
        <v>1045</v>
      </c>
      <c r="B1781" s="66">
        <f t="shared" si="3633"/>
        <v>17</v>
      </c>
      <c r="C1781" s="66">
        <f t="shared" si="3619"/>
        <v>77</v>
      </c>
      <c r="E1781" s="66">
        <f t="shared" ref="E1781" si="3650">plan_id</f>
        <v>1952</v>
      </c>
      <c r="F1781" s="66">
        <f t="shared" ca="1" si="3601"/>
        <v>2014</v>
      </c>
      <c r="G1781" s="66">
        <f t="shared" ref="G1781" ca="1" si="3651">VLOOKUP(INDIRECT(CHAR(39)&amp;$A1781&amp;CHAR(39)&amp;"!r2c"&amp;$C1781,0),variables,2,0)</f>
        <v>10816</v>
      </c>
      <c r="H1781" s="7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-21900000.000000007</v>
      </c>
    </row>
    <row r="1782" spans="1:8" x14ac:dyDescent="0.2">
      <c r="A1782" s="66" t="s">
        <v>1045</v>
      </c>
      <c r="B1782" s="66">
        <f t="shared" si="3633"/>
        <v>17</v>
      </c>
      <c r="C1782" s="66">
        <f t="shared" si="3619"/>
        <v>78</v>
      </c>
      <c r="E1782" s="66">
        <f t="shared" ref="E1782" si="3652">plan_id</f>
        <v>1952</v>
      </c>
      <c r="F1782" s="66">
        <f t="shared" ca="1" si="3601"/>
        <v>2014</v>
      </c>
      <c r="G1782" s="66">
        <f t="shared" ref="G1782" ca="1" si="3653">VLOOKUP(INDIRECT(CHAR(39)&amp;$A1782&amp;CHAR(39)&amp;"!r2c"&amp;$C1782,0),variables,2,0)</f>
        <v>10817</v>
      </c>
      <c r="H1782" s="7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66" t="s">
        <v>1045</v>
      </c>
      <c r="B1783" s="66">
        <f t="shared" si="3633"/>
        <v>17</v>
      </c>
      <c r="C1783" s="66">
        <f t="shared" si="3619"/>
        <v>79</v>
      </c>
      <c r="E1783" s="66">
        <f t="shared" ref="E1783" si="3654">plan_id</f>
        <v>1952</v>
      </c>
      <c r="F1783" s="66">
        <f t="shared" ca="1" si="3601"/>
        <v>2014</v>
      </c>
      <c r="G1783" s="66">
        <f t="shared" ref="G1783" ca="1" si="3655">VLOOKUP(INDIRECT(CHAR(39)&amp;$A1783&amp;CHAR(39)&amp;"!r2c"&amp;$C1783,0),variables,2,0)</f>
        <v>10818</v>
      </c>
      <c r="H1783" s="71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44600000</v>
      </c>
    </row>
    <row r="1784" spans="1:8" x14ac:dyDescent="0.2">
      <c r="A1784" s="66" t="s">
        <v>1045</v>
      </c>
      <c r="B1784" s="66">
        <f t="shared" si="3633"/>
        <v>17</v>
      </c>
      <c r="C1784" s="66">
        <f t="shared" si="3619"/>
        <v>80</v>
      </c>
      <c r="E1784" s="66">
        <f t="shared" ref="E1784" si="3656">plan_id</f>
        <v>1952</v>
      </c>
      <c r="F1784" s="66">
        <f t="shared" ca="1" si="3601"/>
        <v>2014</v>
      </c>
      <c r="G1784" s="66">
        <f t="shared" ref="G1784" ca="1" si="3657">VLOOKUP(INDIRECT(CHAR(39)&amp;$A1784&amp;CHAR(39)&amp;"!r2c"&amp;$C1784,0),variables,2,0)</f>
        <v>10819</v>
      </c>
      <c r="H1784" s="71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66" t="s">
        <v>1045</v>
      </c>
      <c r="B1785" s="66">
        <f t="shared" si="3633"/>
        <v>17</v>
      </c>
      <c r="C1785" s="66">
        <f t="shared" si="3619"/>
        <v>81</v>
      </c>
      <c r="E1785" s="66">
        <f t="shared" ref="E1785" si="3658">plan_id</f>
        <v>1952</v>
      </c>
      <c r="F1785" s="66">
        <f t="shared" ca="1" si="3601"/>
        <v>2014</v>
      </c>
      <c r="G1785" s="66">
        <f t="shared" ref="G1785" ca="1" si="3659">VLOOKUP(INDIRECT(CHAR(39)&amp;$A1785&amp;CHAR(39)&amp;"!r2c"&amp;$C1785,0),variables,2,0)</f>
        <v>10820</v>
      </c>
      <c r="H1785" s="71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102300000</v>
      </c>
    </row>
    <row r="1786" spans="1:8" x14ac:dyDescent="0.2">
      <c r="A1786" s="66" t="s">
        <v>1045</v>
      </c>
      <c r="B1786" s="66">
        <f t="shared" si="3633"/>
        <v>17</v>
      </c>
      <c r="C1786" s="66">
        <f t="shared" si="3619"/>
        <v>82</v>
      </c>
      <c r="E1786" s="66">
        <f t="shared" ref="E1786" si="3660">plan_id</f>
        <v>1952</v>
      </c>
      <c r="F1786" s="66">
        <f t="shared" ca="1" si="3601"/>
        <v>2014</v>
      </c>
      <c r="G1786" s="66">
        <f t="shared" ref="G1786" ca="1" si="3661">VLOOKUP(INDIRECT(CHAR(39)&amp;$A1786&amp;CHAR(39)&amp;"!r2c"&amp;$C1786,0),variables,2,0)</f>
        <v>10821</v>
      </c>
      <c r="H1786" s="71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66" t="s">
        <v>1045</v>
      </c>
      <c r="B1787" s="66">
        <f t="shared" si="3633"/>
        <v>17</v>
      </c>
      <c r="C1787" s="66">
        <f t="shared" si="3619"/>
        <v>83</v>
      </c>
      <c r="E1787" s="66">
        <f t="shared" ref="E1787" si="3662">plan_id</f>
        <v>1952</v>
      </c>
      <c r="F1787" s="66">
        <f t="shared" ca="1" si="3601"/>
        <v>2014</v>
      </c>
      <c r="G1787" s="66">
        <f t="shared" ref="G1787" ca="1" si="3663">VLOOKUP(INDIRECT(CHAR(39)&amp;$A1787&amp;CHAR(39)&amp;"!r2c"&amp;$C1787,0),variables,2,0)</f>
        <v>10822</v>
      </c>
      <c r="H1787" s="71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66" t="s">
        <v>1045</v>
      </c>
      <c r="B1788" s="66">
        <f t="shared" si="3633"/>
        <v>17</v>
      </c>
      <c r="C1788" s="66">
        <f t="shared" si="3619"/>
        <v>84</v>
      </c>
      <c r="E1788" s="66">
        <f t="shared" ref="E1788" si="3664">plan_id</f>
        <v>1952</v>
      </c>
      <c r="F1788" s="66">
        <f t="shared" ca="1" si="3601"/>
        <v>2014</v>
      </c>
      <c r="G1788" s="66">
        <f t="shared" ref="G1788" ca="1" si="3665">VLOOKUP(INDIRECT(CHAR(39)&amp;$A1788&amp;CHAR(39)&amp;"!r2c"&amp;$C1788,0),variables,2,0)</f>
        <v>10829</v>
      </c>
      <c r="H1788" s="71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1612503000</v>
      </c>
    </row>
    <row r="1789" spans="1:8" x14ac:dyDescent="0.2">
      <c r="A1789" s="66" t="s">
        <v>1045</v>
      </c>
      <c r="B1789" s="66">
        <f t="shared" si="3633"/>
        <v>17</v>
      </c>
      <c r="C1789" s="66">
        <f t="shared" si="3619"/>
        <v>85</v>
      </c>
      <c r="E1789" s="66">
        <f t="shared" ref="E1789" si="3666">plan_id</f>
        <v>1952</v>
      </c>
      <c r="F1789" s="66">
        <f t="shared" ca="1" si="3601"/>
        <v>2014</v>
      </c>
      <c r="G1789" s="66">
        <f t="shared" ref="G1789" ca="1" si="3667">VLOOKUP(INDIRECT(CHAR(39)&amp;$A1789&amp;CHAR(39)&amp;"!r2c"&amp;$C1789,0),variables,2,0)</f>
        <v>10823</v>
      </c>
      <c r="H1789" s="71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-2016114000</v>
      </c>
    </row>
    <row r="1790" spans="1:8" x14ac:dyDescent="0.2">
      <c r="A1790" s="66" t="s">
        <v>1045</v>
      </c>
      <c r="B1790" s="66">
        <f t="shared" si="3633"/>
        <v>17</v>
      </c>
      <c r="C1790" s="66">
        <f t="shared" si="3619"/>
        <v>86</v>
      </c>
      <c r="E1790" s="66">
        <f t="shared" ref="E1790" si="3668">plan_id</f>
        <v>1952</v>
      </c>
      <c r="F1790" s="66">
        <f t="shared" ca="1" si="3601"/>
        <v>2014</v>
      </c>
      <c r="G1790" s="66">
        <f t="shared" ref="G1790" ca="1" si="3669">VLOOKUP(INDIRECT(CHAR(39)&amp;$A1790&amp;CHAR(39)&amp;"!r2c"&amp;$C1790,0),variables,2,0)</f>
        <v>10798</v>
      </c>
      <c r="H1790" s="71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1899999.9999999995</v>
      </c>
    </row>
    <row r="1791" spans="1:8" x14ac:dyDescent="0.2">
      <c r="A1791" s="66" t="s">
        <v>1045</v>
      </c>
      <c r="B1791" s="66">
        <f t="shared" si="3633"/>
        <v>17</v>
      </c>
      <c r="C1791" s="66">
        <f t="shared" si="3619"/>
        <v>87</v>
      </c>
      <c r="E1791" s="66">
        <f t="shared" ref="E1791" si="3670">plan_id</f>
        <v>1952</v>
      </c>
      <c r="F1791" s="66">
        <f t="shared" ca="1" si="3601"/>
        <v>2014</v>
      </c>
      <c r="G1791" s="66">
        <f t="shared" ref="G1791" ca="1" si="3671">VLOOKUP(INDIRECT(CHAR(39)&amp;$A1791&amp;CHAR(39)&amp;"!r2c"&amp;$C1791,0),variables,2,0)</f>
        <v>10799</v>
      </c>
      <c r="H1791" s="7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-402099999.99999994</v>
      </c>
    </row>
    <row r="1792" spans="1:8" x14ac:dyDescent="0.2">
      <c r="A1792" s="66" t="s">
        <v>1045</v>
      </c>
      <c r="B1792" s="66">
        <f t="shared" si="3633"/>
        <v>17</v>
      </c>
      <c r="C1792" s="66">
        <f t="shared" si="3619"/>
        <v>88</v>
      </c>
      <c r="E1792" s="66">
        <f t="shared" ref="E1792" si="3672">plan_id</f>
        <v>1952</v>
      </c>
      <c r="F1792" s="66">
        <f t="shared" ca="1" si="3601"/>
        <v>2014</v>
      </c>
      <c r="G1792" s="66">
        <f t="shared" ref="G1792" ca="1" si="3673">VLOOKUP(INDIRECT(CHAR(39)&amp;$A1792&amp;CHAR(39)&amp;"!r2c"&amp;$C1792,0),variables,2,0)</f>
        <v>10800</v>
      </c>
      <c r="H1792" s="7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66" t="s">
        <v>1045</v>
      </c>
      <c r="B1793" s="66">
        <f t="shared" si="3633"/>
        <v>17</v>
      </c>
      <c r="C1793" s="66">
        <f t="shared" si="3619"/>
        <v>89</v>
      </c>
      <c r="E1793" s="66">
        <f t="shared" ref="E1793" si="3674">plan_id</f>
        <v>1952</v>
      </c>
      <c r="F1793" s="66">
        <f t="shared" ca="1" si="3601"/>
        <v>2014</v>
      </c>
      <c r="G1793" s="66">
        <f t="shared" ref="G1793" ca="1" si="3675">VLOOKUP(INDIRECT(CHAR(39)&amp;$A1793&amp;CHAR(39)&amp;"!r2c"&amp;$C1793,0),variables,2,0)</f>
        <v>10824</v>
      </c>
      <c r="H1793" s="7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66" t="s">
        <v>1045</v>
      </c>
      <c r="B1794" s="66">
        <f t="shared" si="3633"/>
        <v>17</v>
      </c>
      <c r="C1794" s="66">
        <f t="shared" si="3619"/>
        <v>90</v>
      </c>
      <c r="E1794" s="66">
        <f t="shared" ref="E1794" si="3676">plan_id</f>
        <v>1952</v>
      </c>
      <c r="F1794" s="66">
        <f t="shared" ca="1" si="3601"/>
        <v>2014</v>
      </c>
      <c r="G1794" s="66">
        <f t="shared" ref="G1794" ca="1" si="3677">VLOOKUP(INDIRECT(CHAR(39)&amp;$A1794&amp;CHAR(39)&amp;"!r2c"&amp;$C1794,0),variables,2,0)</f>
        <v>10825</v>
      </c>
      <c r="H1794" s="7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1100000</v>
      </c>
    </row>
    <row r="1795" spans="1:8" x14ac:dyDescent="0.2">
      <c r="A1795" s="66" t="s">
        <v>1045</v>
      </c>
      <c r="B1795" s="66">
        <f t="shared" si="3633"/>
        <v>17</v>
      </c>
      <c r="C1795" s="66">
        <f t="shared" si="3619"/>
        <v>91</v>
      </c>
      <c r="E1795" s="66">
        <f t="shared" ref="E1795" si="3678">plan_id</f>
        <v>1952</v>
      </c>
      <c r="F1795" s="66">
        <f t="shared" ca="1" si="3601"/>
        <v>2014</v>
      </c>
      <c r="G1795" s="66">
        <f t="shared" ref="G1795" ca="1" si="3679">VLOOKUP(INDIRECT(CHAR(39)&amp;$A1795&amp;CHAR(39)&amp;"!r2c"&amp;$C1795,0),variables,2,0)</f>
        <v>10826</v>
      </c>
      <c r="H1795" s="71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1911116000</v>
      </c>
    </row>
    <row r="1796" spans="1:8" x14ac:dyDescent="0.2">
      <c r="A1796" s="66" t="s">
        <v>1045</v>
      </c>
      <c r="B1796" s="66">
        <f t="shared" si="3633"/>
        <v>17</v>
      </c>
      <c r="C1796" s="66">
        <f t="shared" si="3619"/>
        <v>92</v>
      </c>
      <c r="E1796" s="66">
        <f t="shared" ref="E1796" si="3680">plan_id</f>
        <v>1952</v>
      </c>
      <c r="F1796" s="66">
        <f t="shared" ca="1" si="3601"/>
        <v>2014</v>
      </c>
      <c r="G1796" s="66">
        <f t="shared" ref="G1796" ca="1" si="3681">VLOOKUP(INDIRECT(CHAR(39)&amp;$A1796&amp;CHAR(39)&amp;"!r2c"&amp;$C1796,0),variables,2,0)</f>
        <v>10828</v>
      </c>
      <c r="H1796" s="71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2">
      <c r="A1797" s="66" t="s">
        <v>1045</v>
      </c>
      <c r="B1797" s="66">
        <f t="shared" si="3633"/>
        <v>17</v>
      </c>
      <c r="C1797" s="66">
        <f t="shared" si="3619"/>
        <v>93</v>
      </c>
      <c r="E1797" s="66">
        <f t="shared" ref="E1797" si="3682">plan_id</f>
        <v>1952</v>
      </c>
      <c r="F1797" s="66">
        <f t="shared" ca="1" si="3601"/>
        <v>2014</v>
      </c>
      <c r="G1797" s="66">
        <f t="shared" ref="G1797" ca="1" si="3683">VLOOKUP(INDIRECT(CHAR(39)&amp;$A1797&amp;CHAR(39)&amp;"!r2c"&amp;$C1797,0),variables,2,0)</f>
        <v>10827</v>
      </c>
      <c r="H1797" s="71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784400000</v>
      </c>
    </row>
    <row r="1798" spans="1:8" x14ac:dyDescent="0.2">
      <c r="A1798" s="66" t="s">
        <v>1045</v>
      </c>
      <c r="B1798" s="66">
        <f t="shared" ref="B1798:B1861" si="3684">B1733+1</f>
        <v>18</v>
      </c>
      <c r="C1798" s="66">
        <f t="shared" si="3619"/>
        <v>3</v>
      </c>
      <c r="E1798" s="66">
        <f t="shared" ref="E1798" si="3685">plan_id</f>
        <v>1952</v>
      </c>
      <c r="F1798" s="66">
        <f t="shared" ca="1" si="3601"/>
        <v>2015</v>
      </c>
      <c r="G1798" s="66">
        <f t="shared" ref="G1798" ca="1" si="3686">VLOOKUP(INDIRECT(CHAR(39)&amp;$A1798&amp;CHAR(39)&amp;"!r2c"&amp;$C1798,0),variables,2,0)</f>
        <v>10703</v>
      </c>
      <c r="H1798" s="71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 &amp; 2018</v>
      </c>
    </row>
    <row r="1799" spans="1:8" x14ac:dyDescent="0.2">
      <c r="A1799" s="66" t="s">
        <v>1045</v>
      </c>
      <c r="B1799" s="66">
        <f t="shared" si="3684"/>
        <v>18</v>
      </c>
      <c r="C1799" s="66">
        <f t="shared" si="3619"/>
        <v>4</v>
      </c>
      <c r="E1799" s="66">
        <f t="shared" ref="E1799" si="3687">plan_id</f>
        <v>1952</v>
      </c>
      <c r="F1799" s="66">
        <f t="shared" ca="1" si="3601"/>
        <v>2015</v>
      </c>
      <c r="G1799" s="66">
        <f t="shared" ref="G1799" ca="1" si="3688">VLOOKUP(INDIRECT(CHAR(39)&amp;$A1799&amp;CHAR(39)&amp;"!r2c"&amp;$C1799,0),variables,2,0)</f>
        <v>10845</v>
      </c>
      <c r="H1799" s="71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,LLC</v>
      </c>
    </row>
    <row r="1800" spans="1:8" x14ac:dyDescent="0.2">
      <c r="A1800" s="66" t="s">
        <v>1045</v>
      </c>
      <c r="B1800" s="66">
        <f t="shared" si="3684"/>
        <v>18</v>
      </c>
      <c r="C1800" s="66">
        <f t="shared" si="3619"/>
        <v>5</v>
      </c>
      <c r="E1800" s="66">
        <f t="shared" ref="E1800" si="3689">plan_id</f>
        <v>1952</v>
      </c>
      <c r="F1800" s="66">
        <f t="shared" ca="1" si="3601"/>
        <v>2015</v>
      </c>
      <c r="G1800" s="66">
        <f t="shared" ref="G1800" ca="1" si="3690">VLOOKUP(INDIRECT(CHAR(39)&amp;$A1800&amp;CHAR(39)&amp;"!r2c"&amp;$C1800,0),variables,2,0)</f>
        <v>10924</v>
      </c>
      <c r="H1800" s="71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(i)9.37%; (ii)10.79%</v>
      </c>
    </row>
    <row r="1801" spans="1:8" x14ac:dyDescent="0.2">
      <c r="A1801" s="66" t="s">
        <v>1045</v>
      </c>
      <c r="B1801" s="66">
        <f t="shared" si="3684"/>
        <v>18</v>
      </c>
      <c r="C1801" s="66">
        <f t="shared" si="3619"/>
        <v>6</v>
      </c>
      <c r="E1801" s="66">
        <f t="shared" ref="E1801" si="3691">plan_id</f>
        <v>1952</v>
      </c>
      <c r="F1801" s="66">
        <f t="shared" ca="1" si="3601"/>
        <v>2015</v>
      </c>
      <c r="G1801" s="66">
        <f t="shared" ref="G1801" ca="1" si="3692">VLOOKUP(INDIRECT(CHAR(39)&amp;$A1801&amp;CHAR(39)&amp;"!r2c"&amp;$C1801,0),variables,2,0)</f>
        <v>10925</v>
      </c>
      <c r="H1801" s="71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(i)4.45%; (ii)5.86%</v>
      </c>
    </row>
    <row r="1802" spans="1:8" x14ac:dyDescent="0.2">
      <c r="A1802" s="66" t="s">
        <v>1045</v>
      </c>
      <c r="B1802" s="66">
        <f t="shared" si="3684"/>
        <v>18</v>
      </c>
      <c r="C1802" s="66">
        <f t="shared" si="3619"/>
        <v>7</v>
      </c>
      <c r="E1802" s="66">
        <f t="shared" ref="E1802" si="3693">plan_id</f>
        <v>1952</v>
      </c>
      <c r="F1802" s="66">
        <f t="shared" ca="1" si="3601"/>
        <v>2015</v>
      </c>
      <c r="G1802" s="66">
        <f t="shared" ref="G1802" ca="1" si="3694">VLOOKUP(INDIRECT(CHAR(39)&amp;$A1802&amp;CHAR(39)&amp;"!r2c"&amp;$C1802,0),variables,2,0)</f>
        <v>10926</v>
      </c>
      <c r="H1802" s="71" t="str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(i)4.92%; (ii)4.93%</v>
      </c>
    </row>
    <row r="1803" spans="1:8" x14ac:dyDescent="0.2">
      <c r="A1803" s="66" t="s">
        <v>1045</v>
      </c>
      <c r="B1803" s="66">
        <f t="shared" si="3684"/>
        <v>18</v>
      </c>
      <c r="C1803" s="66">
        <f t="shared" si="3619"/>
        <v>8</v>
      </c>
      <c r="E1803" s="66">
        <f t="shared" ref="E1803" si="3695">plan_id</f>
        <v>1952</v>
      </c>
      <c r="F1803" s="66">
        <f t="shared" ca="1" si="3601"/>
        <v>2015</v>
      </c>
      <c r="G1803" s="66">
        <f t="shared" ref="G1803" ca="1" si="3696">VLOOKUP(INDIRECT(CHAR(39)&amp;$A1803&amp;CHAR(39)&amp;"!r2c"&amp;$C1803,0),variables,2,0)</f>
        <v>10704</v>
      </c>
      <c r="H1803" s="71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1139798421</v>
      </c>
    </row>
    <row r="1804" spans="1:8" x14ac:dyDescent="0.2">
      <c r="A1804" s="66" t="s">
        <v>1045</v>
      </c>
      <c r="B1804" s="66">
        <f t="shared" si="3684"/>
        <v>18</v>
      </c>
      <c r="C1804" s="66">
        <f t="shared" si="3619"/>
        <v>9</v>
      </c>
      <c r="E1804" s="66">
        <f t="shared" ref="E1804" si="3697">plan_id</f>
        <v>1952</v>
      </c>
      <c r="F1804" s="66">
        <f t="shared" ca="1" si="3601"/>
        <v>2015</v>
      </c>
      <c r="G1804" s="66">
        <f t="shared" ref="G1804" ca="1" si="3698">VLOOKUP(INDIRECT(CHAR(39)&amp;$A1804&amp;CHAR(39)&amp;"!r2c"&amp;$C1804,0),variables,2,0)</f>
        <v>10928</v>
      </c>
      <c r="H1804" s="71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(i)9.91%; (ii)10.39%</v>
      </c>
    </row>
    <row r="1805" spans="1:8" x14ac:dyDescent="0.2">
      <c r="A1805" s="66" t="s">
        <v>1045</v>
      </c>
      <c r="B1805" s="66">
        <f t="shared" si="3684"/>
        <v>18</v>
      </c>
      <c r="C1805" s="66">
        <f t="shared" si="3619"/>
        <v>10</v>
      </c>
      <c r="E1805" s="66">
        <f t="shared" ref="E1805" si="3699">plan_id</f>
        <v>1952</v>
      </c>
      <c r="F1805" s="66">
        <f t="shared" ca="1" si="3601"/>
        <v>2015</v>
      </c>
      <c r="G1805" s="66">
        <f t="shared" ref="G1805" ca="1" si="3700">VLOOKUP(INDIRECT(CHAR(39)&amp;$A1805&amp;CHAR(39)&amp;"!r2c"&amp;$C1805,0),variables,2,0)</f>
        <v>10929</v>
      </c>
      <c r="H1805" s="71" t="str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(i)9.91%; (ii)10.39%</v>
      </c>
    </row>
    <row r="1806" spans="1:8" x14ac:dyDescent="0.2">
      <c r="A1806" s="66" t="s">
        <v>1045</v>
      </c>
      <c r="B1806" s="66">
        <f t="shared" si="3684"/>
        <v>18</v>
      </c>
      <c r="C1806" s="66">
        <f t="shared" si="3619"/>
        <v>11</v>
      </c>
      <c r="E1806" s="66">
        <f t="shared" ref="E1806" si="3701">plan_id</f>
        <v>1952</v>
      </c>
      <c r="F1806" s="66">
        <f t="shared" ca="1" si="3601"/>
        <v>2015</v>
      </c>
      <c r="G1806" s="66">
        <f t="shared" ref="G1806" ca="1" si="3702">VLOOKUP(INDIRECT(CHAR(39)&amp;$A1806&amp;CHAR(39)&amp;"!r2c"&amp;$C1806,0),variables,2,0)</f>
        <v>10930</v>
      </c>
      <c r="H1806" s="71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66" t="s">
        <v>1045</v>
      </c>
      <c r="B1807" s="66">
        <f t="shared" si="3684"/>
        <v>18</v>
      </c>
      <c r="C1807" s="66">
        <f t="shared" si="3619"/>
        <v>12</v>
      </c>
      <c r="E1807" s="66">
        <f t="shared" ref="E1807" si="3703">plan_id</f>
        <v>1952</v>
      </c>
      <c r="F1807" s="66">
        <f t="shared" ca="1" si="3601"/>
        <v>2015</v>
      </c>
      <c r="G1807" s="66">
        <f t="shared" ref="G1807" ca="1" si="3704">VLOOKUP(INDIRECT(CHAR(39)&amp;$A1807&amp;CHAR(39)&amp;"!r2c"&amp;$C1807,0),variables,2,0)</f>
        <v>10705</v>
      </c>
      <c r="H1807" s="7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796167000</v>
      </c>
    </row>
    <row r="1808" spans="1:8" x14ac:dyDescent="0.2">
      <c r="A1808" s="66" t="s">
        <v>1045</v>
      </c>
      <c r="B1808" s="66">
        <f t="shared" si="3684"/>
        <v>18</v>
      </c>
      <c r="C1808" s="66">
        <f t="shared" si="3619"/>
        <v>13</v>
      </c>
      <c r="E1808" s="66">
        <f t="shared" ref="E1808" si="3705">plan_id</f>
        <v>1952</v>
      </c>
      <c r="F1808" s="66">
        <f t="shared" ca="1" si="3601"/>
        <v>2015</v>
      </c>
      <c r="G1808" s="66">
        <f t="shared" ref="G1808" ca="1" si="3706">VLOOKUP(INDIRECT(CHAR(39)&amp;$A1808&amp;CHAR(39)&amp;"!r2c"&amp;$C1808,0),variables,2,0)</f>
        <v>10842</v>
      </c>
      <c r="H1808" s="71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66" t="s">
        <v>1045</v>
      </c>
      <c r="B1809" s="66">
        <f t="shared" si="3684"/>
        <v>18</v>
      </c>
      <c r="C1809" s="66">
        <f t="shared" si="3619"/>
        <v>14</v>
      </c>
      <c r="E1809" s="66">
        <f t="shared" ref="E1809" si="3707">plan_id</f>
        <v>1952</v>
      </c>
      <c r="F1809" s="66">
        <f t="shared" ca="1" si="3601"/>
        <v>2015</v>
      </c>
      <c r="G1809" s="66">
        <f t="shared" ref="G1809" ca="1" si="3708">VLOOKUP(INDIRECT(CHAR(39)&amp;$A1809&amp;CHAR(39)&amp;"!r2c"&amp;$C1809,0),variables,2,0)</f>
        <v>10843</v>
      </c>
      <c r="H1809" s="71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66" t="s">
        <v>1045</v>
      </c>
      <c r="B1810" s="66">
        <f t="shared" si="3684"/>
        <v>18</v>
      </c>
      <c r="C1810" s="66">
        <f t="shared" si="3619"/>
        <v>15</v>
      </c>
      <c r="E1810" s="66">
        <f t="shared" ref="E1810" si="3709">plan_id</f>
        <v>1952</v>
      </c>
      <c r="F1810" s="66">
        <f t="shared" ca="1" si="3601"/>
        <v>2015</v>
      </c>
      <c r="G1810" s="66">
        <f t="shared" ref="G1810" ca="1" si="3710">VLOOKUP(INDIRECT(CHAR(39)&amp;$A1810&amp;CHAR(39)&amp;"!r2c"&amp;$C1810,0),variables,2,0)</f>
        <v>10931</v>
      </c>
      <c r="H1810" s="7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66" t="s">
        <v>1045</v>
      </c>
      <c r="B1811" s="66">
        <f t="shared" si="3684"/>
        <v>18</v>
      </c>
      <c r="C1811" s="66">
        <f t="shared" si="3619"/>
        <v>16</v>
      </c>
      <c r="E1811" s="66">
        <f t="shared" ref="E1811" si="3711">plan_id</f>
        <v>1952</v>
      </c>
      <c r="F1811" s="66">
        <f t="shared" ca="1" si="3601"/>
        <v>2015</v>
      </c>
      <c r="G1811" s="66">
        <f t="shared" ref="G1811" ca="1" si="3712">VLOOKUP(INDIRECT(CHAR(39)&amp;$A1811&amp;CHAR(39)&amp;"!r2c"&amp;$C1811,0),variables,2,0)</f>
        <v>10932</v>
      </c>
      <c r="H1811" s="7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66" t="s">
        <v>1045</v>
      </c>
      <c r="B1812" s="66">
        <f t="shared" si="3684"/>
        <v>18</v>
      </c>
      <c r="C1812" s="66">
        <f t="shared" si="3619"/>
        <v>17</v>
      </c>
      <c r="E1812" s="66">
        <f t="shared" ref="E1812" si="3713">plan_id</f>
        <v>1952</v>
      </c>
      <c r="F1812" s="66">
        <f t="shared" ca="1" si="3601"/>
        <v>2015</v>
      </c>
      <c r="G1812" s="66">
        <f t="shared" ref="G1812" ca="1" si="3714">VLOOKUP(INDIRECT(CHAR(39)&amp;$A1812&amp;CHAR(39)&amp;"!r2c"&amp;$C1812,0),variables,2,0)</f>
        <v>10933</v>
      </c>
      <c r="H1812" s="71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(i)14.36%; (ii)16.25%</v>
      </c>
    </row>
    <row r="1813" spans="1:8" x14ac:dyDescent="0.2">
      <c r="A1813" s="66" t="s">
        <v>1045</v>
      </c>
      <c r="B1813" s="66">
        <f t="shared" si="3684"/>
        <v>18</v>
      </c>
      <c r="C1813" s="66">
        <f t="shared" si="3619"/>
        <v>18</v>
      </c>
      <c r="E1813" s="66">
        <f t="shared" ref="E1813" si="3715">plan_id</f>
        <v>1952</v>
      </c>
      <c r="F1813" s="66">
        <f t="shared" ca="1" si="3601"/>
        <v>2015</v>
      </c>
      <c r="G1813" s="66">
        <f t="shared" ref="G1813" ca="1" si="3716">VLOOKUP(INDIRECT(CHAR(39)&amp;$A1813&amp;CHAR(39)&amp;"!r2c"&amp;$C1813,0),variables,2,0)</f>
        <v>10934</v>
      </c>
      <c r="H1813" s="71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(i)4.92%; (ii)4.93%</v>
      </c>
    </row>
    <row r="1814" spans="1:8" x14ac:dyDescent="0.2">
      <c r="A1814" s="66" t="s">
        <v>1045</v>
      </c>
      <c r="B1814" s="66">
        <f t="shared" si="3684"/>
        <v>18</v>
      </c>
      <c r="C1814" s="66">
        <f t="shared" si="3619"/>
        <v>19</v>
      </c>
      <c r="E1814" s="66">
        <f t="shared" ref="E1814" si="3717">plan_id</f>
        <v>1952</v>
      </c>
      <c r="F1814" s="66">
        <f t="shared" ca="1" si="3601"/>
        <v>2015</v>
      </c>
      <c r="G1814" s="66">
        <f t="shared" ref="G1814" ca="1" si="3718">VLOOKUP(INDIRECT(CHAR(39)&amp;$A1814&amp;CHAR(39)&amp;"!r2c"&amp;$C1814,0),variables,2,0)</f>
        <v>10935</v>
      </c>
      <c r="H1814" s="71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66" t="s">
        <v>1045</v>
      </c>
      <c r="B1815" s="66">
        <f t="shared" si="3684"/>
        <v>18</v>
      </c>
      <c r="C1815" s="66">
        <f t="shared" si="3619"/>
        <v>20</v>
      </c>
      <c r="E1815" s="66">
        <f t="shared" ref="E1815" si="3719">plan_id</f>
        <v>1952</v>
      </c>
      <c r="F1815" s="66">
        <f t="shared" ca="1" si="3601"/>
        <v>2015</v>
      </c>
      <c r="G1815" s="66">
        <f t="shared" ref="G1815" ca="1" si="3720">VLOOKUP(INDIRECT(CHAR(39)&amp;$A1815&amp;CHAR(39)&amp;"!r2c"&amp;$C1815,0),variables,2,0)</f>
        <v>10937</v>
      </c>
      <c r="H1815" s="71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66" t="s">
        <v>1045</v>
      </c>
      <c r="B1816" s="66">
        <f t="shared" si="3684"/>
        <v>18</v>
      </c>
      <c r="C1816" s="66">
        <f t="shared" si="3619"/>
        <v>21</v>
      </c>
      <c r="E1816" s="66">
        <f t="shared" ref="E1816" si="3721">plan_id</f>
        <v>1952</v>
      </c>
      <c r="F1816" s="66">
        <f t="shared" ca="1" si="3601"/>
        <v>2015</v>
      </c>
      <c r="G1816" s="66">
        <f t="shared" ref="G1816" ca="1" si="3722">VLOOKUP(INDIRECT(CHAR(39)&amp;$A1816&amp;CHAR(39)&amp;"!r2c"&amp;$C1816,0),variables,2,0)</f>
        <v>10938</v>
      </c>
      <c r="H1816" s="7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66" t="s">
        <v>1045</v>
      </c>
      <c r="B1817" s="66">
        <f t="shared" si="3684"/>
        <v>18</v>
      </c>
      <c r="C1817" s="66">
        <f t="shared" si="3619"/>
        <v>22</v>
      </c>
      <c r="E1817" s="66">
        <f t="shared" ref="E1817" si="3723">plan_id</f>
        <v>1952</v>
      </c>
      <c r="F1817" s="66">
        <f t="shared" ca="1" si="3601"/>
        <v>2015</v>
      </c>
      <c r="G1817" s="66">
        <f t="shared" ref="G1817" ca="1" si="3724">VLOOKUP(INDIRECT(CHAR(39)&amp;$A1817&amp;CHAR(39)&amp;"!r2c"&amp;$C1817,0),variables,2,0)</f>
        <v>11007</v>
      </c>
      <c r="H1817" s="71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 xml:space="preserve">Plan 1: 1.7% of AFC times years of service; Plan 2: 1.7% AFC times years of service up to 1/1/13 + 1.65% AFC times years of service from 1/1/13; Hybrid: 1% AFC times years of service </v>
      </c>
    </row>
    <row r="1818" spans="1:8" x14ac:dyDescent="0.2">
      <c r="A1818" s="66" t="s">
        <v>1045</v>
      </c>
      <c r="B1818" s="66">
        <f t="shared" si="3684"/>
        <v>18</v>
      </c>
      <c r="C1818" s="66">
        <f t="shared" si="3619"/>
        <v>23</v>
      </c>
      <c r="E1818" s="66">
        <f t="shared" ref="E1818" si="3725">plan_id</f>
        <v>1952</v>
      </c>
      <c r="F1818" s="66">
        <f t="shared" ca="1" si="3601"/>
        <v>2015</v>
      </c>
      <c r="G1818" s="66">
        <f t="shared" ref="G1818" ca="1" si="3726">VLOOKUP(INDIRECT(CHAR(39)&amp;$A1818&amp;CHAR(39)&amp;"!r2c"&amp;$C1818,0),variables,2,0)</f>
        <v>10941</v>
      </c>
      <c r="H1818" s="71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66" t="s">
        <v>1045</v>
      </c>
      <c r="B1819" s="66">
        <f t="shared" si="3684"/>
        <v>18</v>
      </c>
      <c r="C1819" s="66">
        <f t="shared" si="3619"/>
        <v>24</v>
      </c>
      <c r="E1819" s="66">
        <f t="shared" ref="E1819" si="3727">plan_id</f>
        <v>1952</v>
      </c>
      <c r="F1819" s="66">
        <f t="shared" ca="1" si="3601"/>
        <v>2015</v>
      </c>
      <c r="G1819" s="66">
        <f t="shared" ref="G1819" ca="1" si="3728">VLOOKUP(INDIRECT(CHAR(39)&amp;$A1819&amp;CHAR(39)&amp;"!r2c"&amp;$C1819,0),variables,2,0)</f>
        <v>10942</v>
      </c>
      <c r="H1819" s="71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2">
      <c r="A1820" s="66" t="s">
        <v>1045</v>
      </c>
      <c r="B1820" s="66">
        <f t="shared" si="3684"/>
        <v>18</v>
      </c>
      <c r="C1820" s="66">
        <f t="shared" si="3619"/>
        <v>25</v>
      </c>
      <c r="E1820" s="66">
        <f t="shared" ref="E1820" si="3729">plan_id</f>
        <v>1952</v>
      </c>
      <c r="F1820" s="66">
        <f t="shared" ca="1" si="3601"/>
        <v>2015</v>
      </c>
      <c r="G1820" s="66">
        <f t="shared" ref="G1820" ca="1" si="3730">VLOOKUP(INDIRECT(CHAR(39)&amp;$A1820&amp;CHAR(39)&amp;"!r2c"&amp;$C1820,0),variables,2,0)</f>
        <v>10701</v>
      </c>
      <c r="H1820" s="71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2">
      <c r="A1821" s="66" t="s">
        <v>1045</v>
      </c>
      <c r="B1821" s="66">
        <f t="shared" si="3684"/>
        <v>18</v>
      </c>
      <c r="C1821" s="66">
        <f t="shared" si="3619"/>
        <v>26</v>
      </c>
      <c r="E1821" s="66">
        <f t="shared" ref="E1821" si="3731">plan_id</f>
        <v>1952</v>
      </c>
      <c r="F1821" s="66">
        <f t="shared" ca="1" si="3601"/>
        <v>2015</v>
      </c>
      <c r="G1821" s="66">
        <f t="shared" ref="G1821" ca="1" si="3732">VLOOKUP(INDIRECT(CHAR(39)&amp;$A1821&amp;CHAR(39)&amp;"!r2c"&amp;$C1821,0),variables,2,0)</f>
        <v>10702</v>
      </c>
      <c r="H1821" s="71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66" t="s">
        <v>1045</v>
      </c>
      <c r="B1822" s="66">
        <f t="shared" si="3684"/>
        <v>18</v>
      </c>
      <c r="C1822" s="66">
        <f t="shared" si="3619"/>
        <v>27</v>
      </c>
      <c r="E1822" s="66">
        <f t="shared" ref="E1822" si="3733">plan_id</f>
        <v>1952</v>
      </c>
      <c r="F1822" s="66">
        <f t="shared" ca="1" si="3601"/>
        <v>2015</v>
      </c>
      <c r="G1822" s="66">
        <f t="shared" ref="G1822" ca="1" si="3734">VLOOKUP(INDIRECT(CHAR(39)&amp;$A1822&amp;CHAR(39)&amp;"!r2c"&amp;$C1822,0),variables,2,0)</f>
        <v>10943</v>
      </c>
      <c r="H1822" s="71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Plan 1: 2.50%; Plan 2: 2.25%</v>
      </c>
    </row>
    <row r="1823" spans="1:8" x14ac:dyDescent="0.2">
      <c r="A1823" s="66" t="s">
        <v>1045</v>
      </c>
      <c r="B1823" s="66">
        <f t="shared" si="3684"/>
        <v>18</v>
      </c>
      <c r="C1823" s="66">
        <f t="shared" si="3619"/>
        <v>28</v>
      </c>
      <c r="E1823" s="66">
        <f t="shared" ref="E1823" si="3735">plan_id</f>
        <v>1952</v>
      </c>
      <c r="F1823" s="66">
        <f t="shared" ca="1" si="3601"/>
        <v>2015</v>
      </c>
      <c r="G1823" s="66">
        <f t="shared" ref="G1823" ca="1" si="3736">VLOOKUP(INDIRECT(CHAR(39)&amp;$A1823&amp;CHAR(39)&amp;"!r2c"&amp;$C1823,0),variables,2,0)</f>
        <v>10944</v>
      </c>
      <c r="H1823" s="71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66" t="s">
        <v>1045</v>
      </c>
      <c r="B1824" s="66">
        <f t="shared" si="3684"/>
        <v>18</v>
      </c>
      <c r="C1824" s="66">
        <f t="shared" si="3619"/>
        <v>29</v>
      </c>
      <c r="E1824" s="66">
        <f t="shared" ref="E1824" si="3737">plan_id</f>
        <v>1952</v>
      </c>
      <c r="F1824" s="66">
        <f t="shared" ca="1" si="3601"/>
        <v>2015</v>
      </c>
      <c r="G1824" s="66">
        <f t="shared" ref="G1824" ca="1" si="3738">VLOOKUP(INDIRECT(CHAR(39)&amp;$A1824&amp;CHAR(39)&amp;"!r2c"&amp;$C1824,0),variables,2,0)</f>
        <v>10945</v>
      </c>
      <c r="H1824" s="71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66" t="s">
        <v>1045</v>
      </c>
      <c r="B1825" s="66">
        <f t="shared" si="3684"/>
        <v>18</v>
      </c>
      <c r="C1825" s="66">
        <f t="shared" si="3619"/>
        <v>30</v>
      </c>
      <c r="E1825" s="66">
        <f t="shared" ref="E1825" si="3739">plan_id</f>
        <v>1952</v>
      </c>
      <c r="F1825" s="66">
        <f t="shared" ca="1" si="3601"/>
        <v>2015</v>
      </c>
      <c r="G1825" s="66">
        <f t="shared" ref="G1825" ca="1" si="3740">VLOOKUP(INDIRECT(CHAR(39)&amp;$A1825&amp;CHAR(39)&amp;"!r2c"&amp;$C1825,0),variables,2,0)</f>
        <v>10947</v>
      </c>
      <c r="H1825" s="71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66" t="s">
        <v>1045</v>
      </c>
      <c r="B1826" s="66">
        <f t="shared" si="3684"/>
        <v>18</v>
      </c>
      <c r="C1826" s="66">
        <f t="shared" si="3619"/>
        <v>31</v>
      </c>
      <c r="E1826" s="66">
        <f t="shared" ref="E1826" si="3741">plan_id</f>
        <v>1952</v>
      </c>
      <c r="F1826" s="66">
        <f t="shared" ca="1" si="3601"/>
        <v>2015</v>
      </c>
      <c r="G1826" s="66">
        <f t="shared" ref="G1826" ca="1" si="3742">VLOOKUP(INDIRECT(CHAR(39)&amp;$A1826&amp;CHAR(39)&amp;"!r2c"&amp;$C1826,0),variables,2,0)</f>
        <v>10948</v>
      </c>
      <c r="H1826" s="71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2">
      <c r="A1827" s="66" t="s">
        <v>1045</v>
      </c>
      <c r="B1827" s="66">
        <f t="shared" si="3684"/>
        <v>18</v>
      </c>
      <c r="C1827" s="66">
        <f t="shared" si="3619"/>
        <v>32</v>
      </c>
      <c r="E1827" s="66">
        <f t="shared" ref="E1827" si="3743">plan_id</f>
        <v>1952</v>
      </c>
      <c r="F1827" s="66">
        <f t="shared" ca="1" si="3601"/>
        <v>2015</v>
      </c>
      <c r="G1827" s="66">
        <f t="shared" ref="G1827" ca="1" si="3744">VLOOKUP(INDIRECT(CHAR(39)&amp;$A1827&amp;CHAR(39)&amp;"!r2c"&amp;$C1827,0),variables,2,0)</f>
        <v>10949</v>
      </c>
      <c r="H1827" s="71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Yes</v>
      </c>
    </row>
    <row r="1828" spans="1:8" x14ac:dyDescent="0.2">
      <c r="A1828" s="66" t="s">
        <v>1045</v>
      </c>
      <c r="B1828" s="66">
        <f t="shared" si="3684"/>
        <v>18</v>
      </c>
      <c r="C1828" s="66">
        <f t="shared" si="3619"/>
        <v>33</v>
      </c>
      <c r="E1828" s="66">
        <f t="shared" ref="E1828" si="3745">plan_id</f>
        <v>1952</v>
      </c>
      <c r="F1828" s="66">
        <f t="shared" ca="1" si="3601"/>
        <v>2015</v>
      </c>
      <c r="G1828" s="66">
        <f t="shared" ref="G1828" ca="1" si="3746">VLOOKUP(INDIRECT(CHAR(39)&amp;$A1828&amp;CHAR(39)&amp;"!r2c"&amp;$C1828,0),variables,2,0)</f>
        <v>10951</v>
      </c>
      <c r="H1828" s="71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2">
      <c r="A1829" s="66" t="s">
        <v>1045</v>
      </c>
      <c r="B1829" s="66">
        <f t="shared" si="3684"/>
        <v>18</v>
      </c>
      <c r="C1829" s="66">
        <f t="shared" si="3619"/>
        <v>34</v>
      </c>
      <c r="E1829" s="66">
        <f t="shared" ref="E1829" si="3747">plan_id</f>
        <v>1952</v>
      </c>
      <c r="F1829" s="66">
        <f t="shared" ca="1" si="3601"/>
        <v>2015</v>
      </c>
      <c r="G1829" s="66">
        <f t="shared" ref="G1829" ca="1" si="3748">VLOOKUP(INDIRECT(CHAR(39)&amp;$A1829&amp;CHAR(39)&amp;"!r2c"&amp;$C1829,0),variables,2,0)</f>
        <v>10950</v>
      </c>
      <c r="H1829" s="71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2">
      <c r="A1830" s="66" t="s">
        <v>1045</v>
      </c>
      <c r="B1830" s="66">
        <f t="shared" si="3684"/>
        <v>18</v>
      </c>
      <c r="C1830" s="66">
        <f t="shared" si="3619"/>
        <v>35</v>
      </c>
      <c r="E1830" s="66">
        <f t="shared" ref="E1830" si="3749">plan_id</f>
        <v>1952</v>
      </c>
      <c r="F1830" s="66">
        <f t="shared" ca="1" si="3601"/>
        <v>2015</v>
      </c>
      <c r="G1830" s="66">
        <f t="shared" ref="G1830" ca="1" si="3750">VLOOKUP(INDIRECT(CHAR(39)&amp;$A1830&amp;CHAR(39)&amp;"!r2c"&amp;$C1830,0),variables,2,0)</f>
        <v>10954</v>
      </c>
      <c r="H1830" s="71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2">
      <c r="A1831" s="66" t="s">
        <v>1045</v>
      </c>
      <c r="B1831" s="66">
        <f t="shared" si="3684"/>
        <v>18</v>
      </c>
      <c r="C1831" s="66">
        <f t="shared" ref="C1831:C1894" si="3751">C1740</f>
        <v>36</v>
      </c>
      <c r="E1831" s="66">
        <f t="shared" ref="E1831" si="3752">plan_id</f>
        <v>1952</v>
      </c>
      <c r="F1831" s="66">
        <f t="shared" ca="1" si="3601"/>
        <v>2015</v>
      </c>
      <c r="G1831" s="66">
        <f t="shared" ref="G1831" ca="1" si="3753">VLOOKUP(INDIRECT(CHAR(39)&amp;$A1831&amp;CHAR(39)&amp;"!r2c"&amp;$C1831,0),variables,2,0)</f>
        <v>10955</v>
      </c>
      <c r="H1831" s="71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2">
      <c r="A1832" s="66" t="s">
        <v>1045</v>
      </c>
      <c r="B1832" s="66">
        <f t="shared" si="3684"/>
        <v>18</v>
      </c>
      <c r="C1832" s="66">
        <f t="shared" si="3751"/>
        <v>37</v>
      </c>
      <c r="E1832" s="66">
        <f t="shared" ref="E1832" si="3754">plan_id</f>
        <v>1952</v>
      </c>
      <c r="F1832" s="66">
        <f t="shared" ref="F1832:F2086" ca="1" si="3755">INDIRECT(CHAR(39)&amp;$A1832&amp;CHAR(39)&amp;"!r"&amp;$B1832&amp;"c2",0)</f>
        <v>2015</v>
      </c>
      <c r="G1832" s="66">
        <f t="shared" ref="G1832" ca="1" si="3756">VLOOKUP(INDIRECT(CHAR(39)&amp;$A1832&amp;CHAR(39)&amp;"!r2c"&amp;$C1832,0),variables,2,0)</f>
        <v>10956</v>
      </c>
      <c r="H1832" s="71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x14ac:dyDescent="0.2">
      <c r="A1833" s="66" t="s">
        <v>1045</v>
      </c>
      <c r="B1833" s="66">
        <f t="shared" si="3684"/>
        <v>18</v>
      </c>
      <c r="C1833" s="66">
        <f t="shared" si="3751"/>
        <v>38</v>
      </c>
      <c r="E1833" s="66">
        <f t="shared" ref="E1833" si="3757">plan_id</f>
        <v>1952</v>
      </c>
      <c r="F1833" s="66">
        <f t="shared" ca="1" si="3755"/>
        <v>2015</v>
      </c>
      <c r="G1833" s="66">
        <f t="shared" ref="G1833" ca="1" si="3758">VLOOKUP(INDIRECT(CHAR(39)&amp;$A1833&amp;CHAR(39)&amp;"!r2c"&amp;$C1833,0),variables,2,0)</f>
        <v>10959</v>
      </c>
      <c r="H1833" s="71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SE-3.50% to 5.35% &amp; Teach 3.50% to 5.95%</v>
      </c>
    </row>
    <row r="1834" spans="1:8" x14ac:dyDescent="0.2">
      <c r="A1834" s="66" t="s">
        <v>1045</v>
      </c>
      <c r="B1834" s="66">
        <f t="shared" si="3684"/>
        <v>18</v>
      </c>
      <c r="C1834" s="66">
        <f t="shared" si="3751"/>
        <v>39</v>
      </c>
      <c r="E1834" s="66">
        <f t="shared" ref="E1834" si="3759">plan_id</f>
        <v>1952</v>
      </c>
      <c r="F1834" s="66">
        <f t="shared" ca="1" si="3755"/>
        <v>2015</v>
      </c>
      <c r="G1834" s="66">
        <f t="shared" ref="G1834" ca="1" si="3760">VLOOKUP(INDIRECT(CHAR(39)&amp;$A1834&amp;CHAR(39)&amp;"!r2c"&amp;$C1834,0),variables,2,0)</f>
        <v>10962</v>
      </c>
      <c r="H1834" s="71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56 &amp; 63</v>
      </c>
    </row>
    <row r="1835" spans="1:8" x14ac:dyDescent="0.2">
      <c r="A1835" s="66" t="s">
        <v>1045</v>
      </c>
      <c r="B1835" s="66">
        <f t="shared" si="3684"/>
        <v>18</v>
      </c>
      <c r="C1835" s="66">
        <f t="shared" si="3751"/>
        <v>40</v>
      </c>
      <c r="E1835" s="66">
        <f t="shared" ref="E1835" si="3761">plan_id</f>
        <v>1952</v>
      </c>
      <c r="F1835" s="66">
        <f t="shared" ca="1" si="3755"/>
        <v>2015</v>
      </c>
      <c r="G1835" s="66">
        <f t="shared" ref="G1835" ca="1" si="3762">VLOOKUP(INDIRECT(CHAR(39)&amp;$A1835&amp;CHAR(39)&amp;"!r2c"&amp;$C1835,0),variables,2,0)</f>
        <v>10964</v>
      </c>
      <c r="H1835" s="71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Pg.52-54 &amp; 59-61</v>
      </c>
    </row>
    <row r="1836" spans="1:8" x14ac:dyDescent="0.2">
      <c r="A1836" s="66" t="s">
        <v>1045</v>
      </c>
      <c r="B1836" s="66">
        <f t="shared" si="3684"/>
        <v>18</v>
      </c>
      <c r="C1836" s="66">
        <f t="shared" si="3751"/>
        <v>41</v>
      </c>
      <c r="E1836" s="66">
        <f t="shared" ref="E1836" si="3763">plan_id</f>
        <v>1952</v>
      </c>
      <c r="F1836" s="66">
        <f t="shared" ca="1" si="3755"/>
        <v>2015</v>
      </c>
      <c r="G1836" s="66">
        <f t="shared" ref="G1836" ca="1" si="3764">VLOOKUP(INDIRECT(CHAR(39)&amp;$A1836&amp;CHAR(39)&amp;"!r2c"&amp;$C1836,0),variables,2,0)</f>
        <v>10967</v>
      </c>
      <c r="H1836" s="71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Employee Mortality Table; RP-2000 Combined Mortality Table</v>
      </c>
    </row>
    <row r="1837" spans="1:8" x14ac:dyDescent="0.2">
      <c r="A1837" s="66" t="s">
        <v>1045</v>
      </c>
      <c r="B1837" s="66">
        <f t="shared" si="3684"/>
        <v>18</v>
      </c>
      <c r="C1837" s="66">
        <f t="shared" si="3751"/>
        <v>42</v>
      </c>
      <c r="E1837" s="66">
        <f t="shared" ref="E1837" si="3765">plan_id</f>
        <v>1952</v>
      </c>
      <c r="F1837" s="66">
        <f t="shared" ca="1" si="3755"/>
        <v>2015</v>
      </c>
      <c r="G1837" s="66">
        <f t="shared" ref="G1837" ca="1" si="3766">VLOOKUP(INDIRECT(CHAR(39)&amp;$A1837&amp;CHAR(39)&amp;"!r2c"&amp;$C1837,0),variables,2,0)</f>
        <v>10968</v>
      </c>
      <c r="H1837" s="71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2">
      <c r="A1838" s="66" t="s">
        <v>1045</v>
      </c>
      <c r="B1838" s="66">
        <f t="shared" si="3684"/>
        <v>18</v>
      </c>
      <c r="C1838" s="66">
        <f t="shared" si="3751"/>
        <v>43</v>
      </c>
      <c r="E1838" s="66">
        <f t="shared" ref="E1838" si="3767">plan_id</f>
        <v>1952</v>
      </c>
      <c r="F1838" s="66">
        <f t="shared" ca="1" si="3755"/>
        <v>2015</v>
      </c>
      <c r="G1838" s="66">
        <f t="shared" ref="G1838" ca="1" si="3768">VLOOKUP(INDIRECT(CHAR(39)&amp;$A1838&amp;CHAR(39)&amp;"!r2c"&amp;$C1838,0),variables,2,0)</f>
        <v>10969</v>
      </c>
      <c r="H1838" s="71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 xml:space="preserve">Scale AA  </v>
      </c>
    </row>
    <row r="1839" spans="1:8" x14ac:dyDescent="0.2">
      <c r="A1839" s="66" t="s">
        <v>1045</v>
      </c>
      <c r="B1839" s="66">
        <f t="shared" si="3684"/>
        <v>18</v>
      </c>
      <c r="C1839" s="66">
        <f t="shared" si="3751"/>
        <v>44</v>
      </c>
      <c r="E1839" s="66">
        <f t="shared" ref="E1839" si="3769">plan_id</f>
        <v>1952</v>
      </c>
      <c r="F1839" s="66">
        <f t="shared" ca="1" si="3755"/>
        <v>2015</v>
      </c>
      <c r="G1839" s="66">
        <f t="shared" ref="G1839" ca="1" si="3770">VLOOKUP(INDIRECT(CHAR(39)&amp;$A1839&amp;CHAR(39)&amp;"!r2c"&amp;$C1839,0),variables,2,0)</f>
        <v>10970</v>
      </c>
      <c r="H1839" s="71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State Females: Pre-3 Years; Post- 1 Year; Teachers: Pre- Males: 3 Years, Females: 5 Years; Post- Males: 2 Years; Females: 3 Years</v>
      </c>
    </row>
    <row r="1840" spans="1:8" x14ac:dyDescent="0.2">
      <c r="A1840" s="66" t="s">
        <v>1045</v>
      </c>
      <c r="B1840" s="66">
        <f t="shared" si="3684"/>
        <v>18</v>
      </c>
      <c r="C1840" s="66">
        <f t="shared" si="3751"/>
        <v>45</v>
      </c>
      <c r="E1840" s="66">
        <f t="shared" ref="E1840" si="3771">plan_id</f>
        <v>1952</v>
      </c>
      <c r="F1840" s="66">
        <f t="shared" ca="1" si="3755"/>
        <v>2015</v>
      </c>
      <c r="G1840" s="66">
        <f t="shared" ref="G1840" ca="1" si="3772">VLOOKUP(INDIRECT(CHAR(39)&amp;$A1840&amp;CHAR(39)&amp;"!r2c"&amp;$C1840,0),variables,2,0)</f>
        <v>10971</v>
      </c>
      <c r="H1840" s="71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State-Males: Pre- 2 Years</v>
      </c>
    </row>
    <row r="1841" spans="1:8" x14ac:dyDescent="0.2">
      <c r="A1841" s="66" t="s">
        <v>1045</v>
      </c>
      <c r="B1841" s="66">
        <f t="shared" si="3684"/>
        <v>18</v>
      </c>
      <c r="C1841" s="66">
        <f t="shared" si="3751"/>
        <v>46</v>
      </c>
      <c r="E1841" s="66">
        <f t="shared" ref="E1841" si="3773">plan_id</f>
        <v>1952</v>
      </c>
      <c r="F1841" s="66">
        <f t="shared" ca="1" si="3755"/>
        <v>2015</v>
      </c>
      <c r="G1841" s="66">
        <f t="shared" ref="G1841" ca="1" si="3774">VLOOKUP(INDIRECT(CHAR(39)&amp;$A1841&amp;CHAR(39)&amp;"!r2c"&amp;$C1841,0),variables,2,0)</f>
        <v>10972</v>
      </c>
      <c r="H1841" s="71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Payroll, Closed</v>
      </c>
    </row>
    <row r="1842" spans="1:8" x14ac:dyDescent="0.2">
      <c r="A1842" s="66" t="s">
        <v>1045</v>
      </c>
      <c r="B1842" s="66">
        <f t="shared" si="3684"/>
        <v>18</v>
      </c>
      <c r="C1842" s="66">
        <f t="shared" si="3751"/>
        <v>47</v>
      </c>
      <c r="E1842" s="66">
        <f t="shared" ref="E1842" si="3775">plan_id</f>
        <v>1952</v>
      </c>
      <c r="F1842" s="66">
        <f t="shared" ca="1" si="3755"/>
        <v>2015</v>
      </c>
      <c r="G1842" s="66">
        <f t="shared" ref="G1842" ca="1" si="3776">VLOOKUP(INDIRECT(CHAR(39)&amp;$A1842&amp;CHAR(39)&amp;"!r2c"&amp;$C1842,0),variables,2,0)</f>
        <v>10973</v>
      </c>
      <c r="H1842" s="71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28 Years</v>
      </c>
    </row>
    <row r="1843" spans="1:8" x14ac:dyDescent="0.2">
      <c r="A1843" s="66" t="s">
        <v>1045</v>
      </c>
      <c r="B1843" s="66">
        <f t="shared" si="3684"/>
        <v>18</v>
      </c>
      <c r="C1843" s="66">
        <f t="shared" si="3751"/>
        <v>48</v>
      </c>
      <c r="E1843" s="66">
        <f t="shared" ref="E1843" si="3777">plan_id</f>
        <v>1952</v>
      </c>
      <c r="F1843" s="66">
        <f t="shared" ca="1" si="3755"/>
        <v>2015</v>
      </c>
      <c r="G1843" s="66">
        <f t="shared" ref="G1843" ca="1" si="3778">VLOOKUP(INDIRECT(CHAR(39)&amp;$A1843&amp;CHAR(39)&amp;"!r2c"&amp;$C1843,0),variables,2,0)</f>
        <v>10975</v>
      </c>
      <c r="H1843" s="71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2">
      <c r="A1844" s="66" t="s">
        <v>1045</v>
      </c>
      <c r="B1844" s="66">
        <f t="shared" si="3684"/>
        <v>18</v>
      </c>
      <c r="C1844" s="66">
        <f t="shared" si="3751"/>
        <v>49</v>
      </c>
      <c r="E1844" s="66">
        <f t="shared" ref="E1844" si="3779">plan_id</f>
        <v>1952</v>
      </c>
      <c r="F1844" s="66">
        <f t="shared" ca="1" si="3755"/>
        <v>2015</v>
      </c>
      <c r="G1844" s="66">
        <f t="shared" ref="G1844" ca="1" si="3780">VLOOKUP(INDIRECT(CHAR(39)&amp;$A1844&amp;CHAR(39)&amp;"!r2c"&amp;$C1844,0),variables,2,0)</f>
        <v>10976</v>
      </c>
      <c r="H1844" s="71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7.0000000000000007E-2</v>
      </c>
    </row>
    <row r="1845" spans="1:8" x14ac:dyDescent="0.2">
      <c r="A1845" s="66" t="s">
        <v>1045</v>
      </c>
      <c r="B1845" s="66">
        <f t="shared" si="3684"/>
        <v>18</v>
      </c>
      <c r="C1845" s="66">
        <f t="shared" si="3751"/>
        <v>50</v>
      </c>
      <c r="E1845" s="66">
        <f t="shared" ref="E1845" si="3781">plan_id</f>
        <v>1952</v>
      </c>
      <c r="F1845" s="66">
        <f t="shared" ca="1" si="3755"/>
        <v>2015</v>
      </c>
      <c r="G1845" s="66">
        <f t="shared" ref="G1845" ca="1" si="3782">VLOOKUP(INDIRECT(CHAR(39)&amp;$A1845&amp;CHAR(39)&amp;"!r2c"&amp;$C1845,0),variables,2,0)</f>
        <v>10977</v>
      </c>
      <c r="H1845" s="71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66" t="s">
        <v>1045</v>
      </c>
      <c r="B1846" s="66">
        <f t="shared" si="3684"/>
        <v>18</v>
      </c>
      <c r="C1846" s="66">
        <f t="shared" si="3751"/>
        <v>51</v>
      </c>
      <c r="E1846" s="66">
        <f t="shared" ref="E1846" si="3783">plan_id</f>
        <v>1952</v>
      </c>
      <c r="F1846" s="66">
        <f t="shared" ca="1" si="3755"/>
        <v>2015</v>
      </c>
      <c r="G1846" s="66">
        <f t="shared" ref="G1846" ca="1" si="3784">VLOOKUP(INDIRECT(CHAR(39)&amp;$A1846&amp;CHAR(39)&amp;"!r2c"&amp;$C1846,0),variables,2,0)</f>
        <v>10978</v>
      </c>
      <c r="H1846" s="71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7.0000000000000007E-2</v>
      </c>
    </row>
    <row r="1847" spans="1:8" x14ac:dyDescent="0.2">
      <c r="A1847" s="66" t="s">
        <v>1045</v>
      </c>
      <c r="B1847" s="66">
        <f t="shared" si="3684"/>
        <v>18</v>
      </c>
      <c r="C1847" s="66">
        <f t="shared" si="3751"/>
        <v>52</v>
      </c>
      <c r="E1847" s="66">
        <f t="shared" ref="E1847" si="3785">plan_id</f>
        <v>1952</v>
      </c>
      <c r="F1847" s="66">
        <f t="shared" ca="1" si="3755"/>
        <v>2015</v>
      </c>
      <c r="G1847" s="66">
        <f t="shared" ref="G1847" ca="1" si="3786">VLOOKUP(INDIRECT(CHAR(39)&amp;$A1847&amp;CHAR(39)&amp;"!r2c"&amp;$C1847,0),variables,2,0)</f>
        <v>10979</v>
      </c>
      <c r="H1847" s="71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2">
      <c r="A1848" s="66" t="s">
        <v>1045</v>
      </c>
      <c r="B1848" s="66">
        <f t="shared" si="3684"/>
        <v>18</v>
      </c>
      <c r="C1848" s="66">
        <f t="shared" si="3751"/>
        <v>53</v>
      </c>
      <c r="E1848" s="66">
        <f t="shared" ref="E1848" si="3787">plan_id</f>
        <v>1952</v>
      </c>
      <c r="F1848" s="66">
        <f t="shared" ca="1" si="3755"/>
        <v>2015</v>
      </c>
      <c r="G1848" s="66">
        <f t="shared" ref="G1848" ca="1" si="3788">VLOOKUP(INDIRECT(CHAR(39)&amp;$A1848&amp;CHAR(39)&amp;"!r2c"&amp;$C1848,0),variables,2,0)</f>
        <v>10980</v>
      </c>
      <c r="H1848" s="71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2">
      <c r="A1849" s="66" t="s">
        <v>1045</v>
      </c>
      <c r="B1849" s="66">
        <f t="shared" si="3684"/>
        <v>18</v>
      </c>
      <c r="C1849" s="66">
        <f t="shared" si="3751"/>
        <v>54</v>
      </c>
      <c r="E1849" s="66">
        <f t="shared" ref="E1849" si="3789">plan_id</f>
        <v>1952</v>
      </c>
      <c r="F1849" s="66">
        <f t="shared" ca="1" si="3755"/>
        <v>2015</v>
      </c>
      <c r="G1849" s="66">
        <f t="shared" ref="G1849" ca="1" si="3790">VLOOKUP(INDIRECT(CHAR(39)&amp;$A1849&amp;CHAR(39)&amp;"!r2c"&amp;$C1849,0),variables,2,0)</f>
        <v>10981</v>
      </c>
      <c r="H1849" s="71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2">
      <c r="A1850" s="66" t="s">
        <v>1045</v>
      </c>
      <c r="B1850" s="66">
        <f t="shared" si="3684"/>
        <v>18</v>
      </c>
      <c r="C1850" s="66">
        <f t="shared" si="3751"/>
        <v>55</v>
      </c>
      <c r="E1850" s="66">
        <f t="shared" ref="E1850" si="3791">plan_id</f>
        <v>1952</v>
      </c>
      <c r="F1850" s="66">
        <f t="shared" ca="1" si="3755"/>
        <v>2015</v>
      </c>
      <c r="G1850" s="66">
        <f t="shared" ref="G1850" ca="1" si="3792">VLOOKUP(INDIRECT(CHAR(39)&amp;$A1850&amp;CHAR(39)&amp;"!r2c"&amp;$C1850,0),variables,2,0)</f>
        <v>10706</v>
      </c>
      <c r="H1850" s="71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6.0753758945552899E-4</v>
      </c>
    </row>
    <row r="1851" spans="1:8" x14ac:dyDescent="0.2">
      <c r="A1851" s="66" t="s">
        <v>1045</v>
      </c>
      <c r="B1851" s="66">
        <f t="shared" si="3684"/>
        <v>18</v>
      </c>
      <c r="C1851" s="66">
        <f t="shared" si="3751"/>
        <v>56</v>
      </c>
      <c r="E1851" s="66">
        <f t="shared" ref="E1851" si="3793">plan_id</f>
        <v>1952</v>
      </c>
      <c r="F1851" s="66">
        <f t="shared" ca="1" si="3755"/>
        <v>2015</v>
      </c>
      <c r="G1851" s="66">
        <f t="shared" ref="G1851" ca="1" si="3794">VLOOKUP(INDIRECT(CHAR(39)&amp;$A1851&amp;CHAR(39)&amp;"!r2c"&amp;$C1851,0),variables,2,0)</f>
        <v>10983</v>
      </c>
      <c r="H1851" s="71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66" t="s">
        <v>1045</v>
      </c>
      <c r="B1852" s="66">
        <f t="shared" si="3684"/>
        <v>18</v>
      </c>
      <c r="C1852" s="66">
        <f t="shared" si="3751"/>
        <v>57</v>
      </c>
      <c r="E1852" s="66">
        <f t="shared" ref="E1852" si="3795">plan_id</f>
        <v>1952</v>
      </c>
      <c r="F1852" s="66">
        <f t="shared" ca="1" si="3755"/>
        <v>2015</v>
      </c>
      <c r="G1852" s="66">
        <f t="shared" ref="G1852" ca="1" si="3796">VLOOKUP(INDIRECT(CHAR(39)&amp;$A1852&amp;CHAR(39)&amp;"!r2c"&amp;$C1852,0),variables,2,0)</f>
        <v>10989</v>
      </c>
      <c r="H1852" s="7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62083601000</v>
      </c>
    </row>
    <row r="1853" spans="1:8" x14ac:dyDescent="0.2">
      <c r="A1853" s="66" t="s">
        <v>1045</v>
      </c>
      <c r="B1853" s="66">
        <f t="shared" si="3684"/>
        <v>18</v>
      </c>
      <c r="C1853" s="66">
        <f t="shared" si="3751"/>
        <v>58</v>
      </c>
      <c r="E1853" s="66">
        <f t="shared" ref="E1853" si="3797">plan_id</f>
        <v>1952</v>
      </c>
      <c r="F1853" s="66">
        <f t="shared" ca="1" si="3755"/>
        <v>2015</v>
      </c>
      <c r="G1853" s="66">
        <f t="shared" ref="G1853" ca="1" si="3798">VLOOKUP(INDIRECT(CHAR(39)&amp;$A1853&amp;CHAR(39)&amp;"!r2c"&amp;$C1853,0),variables,2,0)</f>
        <v>10990</v>
      </c>
      <c r="H1853" s="7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84711142000</v>
      </c>
    </row>
    <row r="1854" spans="1:8" x14ac:dyDescent="0.2">
      <c r="A1854" s="66" t="s">
        <v>1045</v>
      </c>
      <c r="B1854" s="66">
        <f t="shared" si="3684"/>
        <v>18</v>
      </c>
      <c r="C1854" s="66">
        <f t="shared" si="3751"/>
        <v>59</v>
      </c>
      <c r="E1854" s="66">
        <f t="shared" ref="E1854" si="3799">plan_id</f>
        <v>1952</v>
      </c>
      <c r="F1854" s="66">
        <f t="shared" ca="1" si="3755"/>
        <v>2015</v>
      </c>
      <c r="G1854" s="66">
        <f t="shared" ref="G1854" ca="1" si="3800">VLOOKUP(INDIRECT(CHAR(39)&amp;$A1854&amp;CHAR(39)&amp;"!r2c"&amp;$C1854,0),variables,2,0)</f>
        <v>10991</v>
      </c>
      <c r="H1854" s="7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22627541000</v>
      </c>
    </row>
    <row r="1855" spans="1:8" x14ac:dyDescent="0.2">
      <c r="A1855" s="66" t="s">
        <v>1045</v>
      </c>
      <c r="B1855" s="66">
        <f t="shared" si="3684"/>
        <v>18</v>
      </c>
      <c r="C1855" s="66">
        <f t="shared" si="3751"/>
        <v>60</v>
      </c>
      <c r="E1855" s="66">
        <f t="shared" ref="E1855" si="3801">plan_id</f>
        <v>1952</v>
      </c>
      <c r="F1855" s="66">
        <f t="shared" ca="1" si="3755"/>
        <v>2015</v>
      </c>
      <c r="G1855" s="66">
        <f t="shared" ref="G1855" ca="1" si="3802">VLOOKUP(INDIRECT(CHAR(39)&amp;$A1855&amp;CHAR(39)&amp;"!r2c"&amp;$C1855,0),variables,2,0)</f>
        <v>10992</v>
      </c>
      <c r="H1855" s="71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</v>
      </c>
    </row>
    <row r="1856" spans="1:8" x14ac:dyDescent="0.2">
      <c r="A1856" s="66" t="s">
        <v>1045</v>
      </c>
      <c r="B1856" s="66">
        <f t="shared" si="3684"/>
        <v>18</v>
      </c>
      <c r="C1856" s="66">
        <f t="shared" si="3751"/>
        <v>61</v>
      </c>
      <c r="E1856" s="66">
        <f t="shared" ref="E1856" si="3803">plan_id</f>
        <v>1952</v>
      </c>
      <c r="F1856" s="66">
        <f t="shared" ca="1" si="3755"/>
        <v>2015</v>
      </c>
      <c r="G1856" s="66">
        <f t="shared" ref="G1856" ca="1" si="3804">VLOOKUP(INDIRECT(CHAR(39)&amp;$A1856&amp;CHAR(39)&amp;"!r2c"&amp;$C1856,0),variables,2,0)</f>
        <v>10993</v>
      </c>
      <c r="H1856" s="71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15901380000</v>
      </c>
    </row>
    <row r="1857" spans="1:8" x14ac:dyDescent="0.2">
      <c r="A1857" s="66" t="s">
        <v>1045</v>
      </c>
      <c r="B1857" s="66">
        <f t="shared" si="3684"/>
        <v>18</v>
      </c>
      <c r="C1857" s="66">
        <f t="shared" si="3751"/>
        <v>62</v>
      </c>
      <c r="E1857" s="66">
        <f t="shared" ref="E1857" si="3805">plan_id</f>
        <v>1952</v>
      </c>
      <c r="F1857" s="66">
        <f t="shared" ca="1" si="3755"/>
        <v>2015</v>
      </c>
      <c r="G1857" s="66">
        <f t="shared" ref="G1857" ca="1" si="3806">VLOOKUP(INDIRECT(CHAR(39)&amp;$A1857&amp;CHAR(39)&amp;"!r2c"&amp;$C1857,0),variables,2,0)</f>
        <v>10801</v>
      </c>
      <c r="H1857" s="71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-1931500000</v>
      </c>
    </row>
    <row r="1858" spans="1:8" x14ac:dyDescent="0.2">
      <c r="A1858" s="66" t="s">
        <v>1045</v>
      </c>
      <c r="B1858" s="66">
        <f t="shared" si="3684"/>
        <v>18</v>
      </c>
      <c r="C1858" s="66">
        <f t="shared" si="3751"/>
        <v>63</v>
      </c>
      <c r="E1858" s="66">
        <f t="shared" ref="E1858" si="3807">plan_id</f>
        <v>1952</v>
      </c>
      <c r="F1858" s="66">
        <f t="shared" ca="1" si="3755"/>
        <v>2015</v>
      </c>
      <c r="G1858" s="66">
        <f t="shared" ref="G1858" ca="1" si="3808">VLOOKUP(INDIRECT(CHAR(39)&amp;$A1858&amp;CHAR(39)&amp;"!r2c"&amp;$C1858,0),variables,2,0)</f>
        <v>10802</v>
      </c>
      <c r="H1858" s="7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-139900000.00000003</v>
      </c>
    </row>
    <row r="1859" spans="1:8" x14ac:dyDescent="0.2">
      <c r="A1859" s="66" t="s">
        <v>1045</v>
      </c>
      <c r="B1859" s="66">
        <f t="shared" si="3684"/>
        <v>18</v>
      </c>
      <c r="C1859" s="66">
        <f t="shared" si="3751"/>
        <v>64</v>
      </c>
      <c r="E1859" s="66">
        <f t="shared" ref="E1859" si="3809">plan_id</f>
        <v>1952</v>
      </c>
      <c r="F1859" s="66">
        <f t="shared" ca="1" si="3755"/>
        <v>2015</v>
      </c>
      <c r="G1859" s="66">
        <f t="shared" ref="G1859" ca="1" si="3810">VLOOKUP(INDIRECT(CHAR(39)&amp;$A1859&amp;CHAR(39)&amp;"!r2c"&amp;$C1859,0),variables,2,0)</f>
        <v>10803</v>
      </c>
      <c r="H1859" s="71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66" t="s">
        <v>1045</v>
      </c>
      <c r="B1860" s="66">
        <f t="shared" si="3684"/>
        <v>18</v>
      </c>
      <c r="C1860" s="66">
        <f t="shared" si="3751"/>
        <v>65</v>
      </c>
      <c r="E1860" s="66">
        <f t="shared" ref="E1860" si="3811">plan_id</f>
        <v>1952</v>
      </c>
      <c r="F1860" s="66">
        <f t="shared" ca="1" si="3755"/>
        <v>2015</v>
      </c>
      <c r="G1860" s="66">
        <f t="shared" ref="G1860" ca="1" si="3812">VLOOKUP(INDIRECT(CHAR(39)&amp;$A1860&amp;CHAR(39)&amp;"!r2c"&amp;$C1860,0),variables,2,0)</f>
        <v>10804</v>
      </c>
      <c r="H1860" s="7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66" t="s">
        <v>1045</v>
      </c>
      <c r="B1861" s="66">
        <f t="shared" si="3684"/>
        <v>18</v>
      </c>
      <c r="C1861" s="66">
        <f t="shared" si="3751"/>
        <v>66</v>
      </c>
      <c r="E1861" s="66">
        <f t="shared" ref="E1861" si="3813">plan_id</f>
        <v>1952</v>
      </c>
      <c r="F1861" s="66">
        <f t="shared" ca="1" si="3755"/>
        <v>2015</v>
      </c>
      <c r="G1861" s="66">
        <f t="shared" ref="G1861" ca="1" si="3814">VLOOKUP(INDIRECT(CHAR(39)&amp;$A1861&amp;CHAR(39)&amp;"!r2c"&amp;$C1861,0),variables,2,0)</f>
        <v>10805</v>
      </c>
      <c r="H1861" s="7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66" t="s">
        <v>1045</v>
      </c>
      <c r="B1862" s="66">
        <f t="shared" ref="B1862" si="3815">B1797+1</f>
        <v>18</v>
      </c>
      <c r="C1862" s="66">
        <f t="shared" si="3751"/>
        <v>67</v>
      </c>
      <c r="E1862" s="66">
        <f t="shared" ref="E1862" si="3816">plan_id</f>
        <v>1952</v>
      </c>
      <c r="F1862" s="66">
        <f t="shared" ca="1" si="3755"/>
        <v>2015</v>
      </c>
      <c r="G1862" s="66">
        <f t="shared" ref="G1862" ca="1" si="3817">VLOOKUP(INDIRECT(CHAR(39)&amp;$A1862&amp;CHAR(39)&amp;"!r2c"&amp;$C1862,0),variables,2,0)</f>
        <v>10806</v>
      </c>
      <c r="H1862" s="7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-9500000</v>
      </c>
    </row>
    <row r="1863" spans="1:8" x14ac:dyDescent="0.2">
      <c r="A1863" s="66" t="s">
        <v>1045</v>
      </c>
      <c r="B1863" s="66">
        <f>B1862</f>
        <v>18</v>
      </c>
      <c r="C1863" s="66">
        <f t="shared" si="3751"/>
        <v>68</v>
      </c>
      <c r="E1863" s="66">
        <f t="shared" ref="E1863" si="3818">plan_id</f>
        <v>1952</v>
      </c>
      <c r="F1863" s="66">
        <f t="shared" ca="1" si="3755"/>
        <v>2015</v>
      </c>
      <c r="G1863" s="66">
        <f t="shared" ref="G1863" ca="1" si="3819">VLOOKUP(INDIRECT(CHAR(39)&amp;$A1863&amp;CHAR(39)&amp;"!r2c"&amp;$C1863,0),variables,2,0)</f>
        <v>10807</v>
      </c>
      <c r="H1863" s="7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66" t="s">
        <v>1045</v>
      </c>
      <c r="B1864" s="66">
        <f t="shared" ref="B1864:B1888" si="3820">B1863</f>
        <v>18</v>
      </c>
      <c r="C1864" s="66">
        <f t="shared" si="3751"/>
        <v>69</v>
      </c>
      <c r="E1864" s="66">
        <f t="shared" ref="E1864" si="3821">plan_id</f>
        <v>1952</v>
      </c>
      <c r="F1864" s="66">
        <f t="shared" ca="1" si="3755"/>
        <v>2015</v>
      </c>
      <c r="G1864" s="66">
        <f t="shared" ref="G1864" ca="1" si="3822">VLOOKUP(INDIRECT(CHAR(39)&amp;$A1864&amp;CHAR(39)&amp;"!r2c"&amp;$C1864,0),variables,2,0)</f>
        <v>10808</v>
      </c>
      <c r="H1864" s="7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66" t="s">
        <v>1045</v>
      </c>
      <c r="B1865" s="66">
        <f t="shared" si="3820"/>
        <v>18</v>
      </c>
      <c r="C1865" s="66">
        <f t="shared" si="3751"/>
        <v>70</v>
      </c>
      <c r="E1865" s="66">
        <f t="shared" ref="E1865" si="3823">plan_id</f>
        <v>1952</v>
      </c>
      <c r="F1865" s="66">
        <f t="shared" ca="1" si="3755"/>
        <v>2015</v>
      </c>
      <c r="G1865" s="66">
        <f t="shared" ref="G1865" ca="1" si="3824">VLOOKUP(INDIRECT(CHAR(39)&amp;$A1865&amp;CHAR(39)&amp;"!r2c"&amp;$C1865,0),variables,2,0)</f>
        <v>10809</v>
      </c>
      <c r="H1865" s="7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66" t="s">
        <v>1045</v>
      </c>
      <c r="B1866" s="66">
        <f t="shared" si="3820"/>
        <v>18</v>
      </c>
      <c r="C1866" s="66">
        <f t="shared" si="3751"/>
        <v>71</v>
      </c>
      <c r="E1866" s="66">
        <f t="shared" ref="E1866" si="3825">plan_id</f>
        <v>1952</v>
      </c>
      <c r="F1866" s="66">
        <f t="shared" ca="1" si="3755"/>
        <v>2015</v>
      </c>
      <c r="G1866" s="66">
        <f t="shared" ref="G1866" ca="1" si="3826">VLOOKUP(INDIRECT(CHAR(39)&amp;$A1866&amp;CHAR(39)&amp;"!r2c"&amp;$C1866,0),variables,2,0)</f>
        <v>10810</v>
      </c>
      <c r="H1866" s="71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8400000</v>
      </c>
    </row>
    <row r="1867" spans="1:8" x14ac:dyDescent="0.2">
      <c r="A1867" s="66" t="s">
        <v>1045</v>
      </c>
      <c r="B1867" s="66">
        <f t="shared" si="3820"/>
        <v>18</v>
      </c>
      <c r="C1867" s="66">
        <f t="shared" si="3751"/>
        <v>72</v>
      </c>
      <c r="E1867" s="66">
        <f t="shared" ref="E1867" si="3827">plan_id</f>
        <v>1952</v>
      </c>
      <c r="F1867" s="66">
        <f t="shared" ca="1" si="3755"/>
        <v>2015</v>
      </c>
      <c r="G1867" s="66">
        <f t="shared" ref="G1867" ca="1" si="3828">VLOOKUP(INDIRECT(CHAR(39)&amp;$A1867&amp;CHAR(39)&amp;"!r2c"&amp;$C1867,0),variables,2,0)</f>
        <v>10811</v>
      </c>
      <c r="H1867" s="7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66" t="s">
        <v>1045</v>
      </c>
      <c r="B1868" s="66">
        <f t="shared" si="3820"/>
        <v>18</v>
      </c>
      <c r="C1868" s="66">
        <f t="shared" si="3751"/>
        <v>73</v>
      </c>
      <c r="E1868" s="66">
        <f t="shared" ref="E1868" si="3829">plan_id</f>
        <v>1952</v>
      </c>
      <c r="F1868" s="66">
        <f t="shared" ca="1" si="3755"/>
        <v>2015</v>
      </c>
      <c r="G1868" s="66">
        <f t="shared" ref="G1868" ca="1" si="3830">VLOOKUP(INDIRECT(CHAR(39)&amp;$A1868&amp;CHAR(39)&amp;"!r2c"&amp;$C1868,0),variables,2,0)</f>
        <v>10812</v>
      </c>
      <c r="H1868" s="7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66" t="s">
        <v>1045</v>
      </c>
      <c r="B1869" s="66">
        <f t="shared" si="3820"/>
        <v>18</v>
      </c>
      <c r="C1869" s="66">
        <f t="shared" si="3751"/>
        <v>74</v>
      </c>
      <c r="E1869" s="66">
        <f t="shared" ref="E1869" si="3831">plan_id</f>
        <v>1952</v>
      </c>
      <c r="F1869" s="66">
        <f t="shared" ca="1" si="3755"/>
        <v>2015</v>
      </c>
      <c r="G1869" s="66">
        <f t="shared" ref="G1869" ca="1" si="3832">VLOOKUP(INDIRECT(CHAR(39)&amp;$A1869&amp;CHAR(39)&amp;"!r2c"&amp;$C1869,0),variables,2,0)</f>
        <v>10813</v>
      </c>
      <c r="H1869" s="71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66" t="s">
        <v>1045</v>
      </c>
      <c r="B1870" s="66">
        <f t="shared" si="3820"/>
        <v>18</v>
      </c>
      <c r="C1870" s="66">
        <f t="shared" si="3751"/>
        <v>75</v>
      </c>
      <c r="E1870" s="66">
        <f t="shared" ref="E1870" si="3833">plan_id</f>
        <v>1952</v>
      </c>
      <c r="F1870" s="66">
        <f t="shared" ca="1" si="3755"/>
        <v>2015</v>
      </c>
      <c r="G1870" s="66">
        <f t="shared" ref="G1870" ca="1" si="3834">VLOOKUP(INDIRECT(CHAR(39)&amp;$A1870&amp;CHAR(39)&amp;"!r2c"&amp;$C1870,0),variables,2,0)</f>
        <v>10814</v>
      </c>
      <c r="H1870" s="71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599999.99999999965</v>
      </c>
    </row>
    <row r="1871" spans="1:8" x14ac:dyDescent="0.2">
      <c r="A1871" s="66" t="s">
        <v>1045</v>
      </c>
      <c r="B1871" s="66">
        <f t="shared" si="3820"/>
        <v>18</v>
      </c>
      <c r="C1871" s="66">
        <f t="shared" si="3751"/>
        <v>76</v>
      </c>
      <c r="E1871" s="66">
        <f t="shared" ref="E1871" si="3835">plan_id</f>
        <v>1952</v>
      </c>
      <c r="F1871" s="66">
        <f t="shared" ca="1" si="3755"/>
        <v>2015</v>
      </c>
      <c r="G1871" s="66">
        <f t="shared" ref="G1871" ca="1" si="3836">VLOOKUP(INDIRECT(CHAR(39)&amp;$A1871&amp;CHAR(39)&amp;"!r2c"&amp;$C1871,0),variables,2,0)</f>
        <v>10815</v>
      </c>
      <c r="H1871" s="71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148100000.00000003</v>
      </c>
    </row>
    <row r="1872" spans="1:8" x14ac:dyDescent="0.2">
      <c r="A1872" s="66" t="s">
        <v>1045</v>
      </c>
      <c r="B1872" s="66">
        <f t="shared" si="3820"/>
        <v>18</v>
      </c>
      <c r="C1872" s="66">
        <f t="shared" si="3751"/>
        <v>77</v>
      </c>
      <c r="E1872" s="66">
        <f t="shared" ref="E1872" si="3837">plan_id</f>
        <v>1952</v>
      </c>
      <c r="F1872" s="66">
        <f t="shared" ca="1" si="3755"/>
        <v>2015</v>
      </c>
      <c r="G1872" s="66">
        <f t="shared" ref="G1872" ca="1" si="3838">VLOOKUP(INDIRECT(CHAR(39)&amp;$A1872&amp;CHAR(39)&amp;"!r2c"&amp;$C1872,0),variables,2,0)</f>
        <v>10816</v>
      </c>
      <c r="H1872" s="7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-463500000</v>
      </c>
    </row>
    <row r="1873" spans="1:8" x14ac:dyDescent="0.2">
      <c r="A1873" s="66" t="s">
        <v>1045</v>
      </c>
      <c r="B1873" s="66">
        <f t="shared" si="3820"/>
        <v>18</v>
      </c>
      <c r="C1873" s="66">
        <f t="shared" si="3751"/>
        <v>78</v>
      </c>
      <c r="E1873" s="66">
        <f t="shared" ref="E1873" si="3839">plan_id</f>
        <v>1952</v>
      </c>
      <c r="F1873" s="66">
        <f t="shared" ca="1" si="3755"/>
        <v>2015</v>
      </c>
      <c r="G1873" s="66">
        <f t="shared" ref="G1873" ca="1" si="3840">VLOOKUP(INDIRECT(CHAR(39)&amp;$A1873&amp;CHAR(39)&amp;"!r2c"&amp;$C1873,0),variables,2,0)</f>
        <v>10817</v>
      </c>
      <c r="H1873" s="7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66" t="s">
        <v>1045</v>
      </c>
      <c r="B1874" s="66">
        <f t="shared" si="3820"/>
        <v>18</v>
      </c>
      <c r="C1874" s="66">
        <f t="shared" si="3751"/>
        <v>79</v>
      </c>
      <c r="E1874" s="66">
        <f t="shared" ref="E1874" si="3841">plan_id</f>
        <v>1952</v>
      </c>
      <c r="F1874" s="66">
        <f t="shared" ca="1" si="3755"/>
        <v>2015</v>
      </c>
      <c r="G1874" s="66">
        <f t="shared" ref="G1874" ca="1" si="3842">VLOOKUP(INDIRECT(CHAR(39)&amp;$A1874&amp;CHAR(39)&amp;"!r2c"&amp;$C1874,0),variables,2,0)</f>
        <v>10818</v>
      </c>
      <c r="H1874" s="71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36800000</v>
      </c>
    </row>
    <row r="1875" spans="1:8" x14ac:dyDescent="0.2">
      <c r="A1875" s="66" t="s">
        <v>1045</v>
      </c>
      <c r="B1875" s="66">
        <f t="shared" si="3820"/>
        <v>18</v>
      </c>
      <c r="C1875" s="66">
        <f t="shared" si="3751"/>
        <v>80</v>
      </c>
      <c r="E1875" s="66">
        <f t="shared" ref="E1875" si="3843">plan_id</f>
        <v>1952</v>
      </c>
      <c r="F1875" s="66">
        <f t="shared" ca="1" si="3755"/>
        <v>2015</v>
      </c>
      <c r="G1875" s="66">
        <f t="shared" ref="G1875" ca="1" si="3844">VLOOKUP(INDIRECT(CHAR(39)&amp;$A1875&amp;CHAR(39)&amp;"!r2c"&amp;$C1875,0),variables,2,0)</f>
        <v>10819</v>
      </c>
      <c r="H1875" s="71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66" t="s">
        <v>1045</v>
      </c>
      <c r="B1876" s="66">
        <f t="shared" si="3820"/>
        <v>18</v>
      </c>
      <c r="C1876" s="66">
        <f t="shared" si="3751"/>
        <v>81</v>
      </c>
      <c r="E1876" s="66">
        <f t="shared" ref="E1876" si="3845">plan_id</f>
        <v>1952</v>
      </c>
      <c r="F1876" s="66">
        <f t="shared" ca="1" si="3755"/>
        <v>2015</v>
      </c>
      <c r="G1876" s="66">
        <f t="shared" ref="G1876" ca="1" si="3846">VLOOKUP(INDIRECT(CHAR(39)&amp;$A1876&amp;CHAR(39)&amp;"!r2c"&amp;$C1876,0),variables,2,0)</f>
        <v>10820</v>
      </c>
      <c r="H1876" s="71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76600000</v>
      </c>
    </row>
    <row r="1877" spans="1:8" x14ac:dyDescent="0.2">
      <c r="A1877" s="66" t="s">
        <v>1045</v>
      </c>
      <c r="B1877" s="66">
        <f t="shared" si="3820"/>
        <v>18</v>
      </c>
      <c r="C1877" s="66">
        <f t="shared" si="3751"/>
        <v>82</v>
      </c>
      <c r="E1877" s="66">
        <f t="shared" ref="E1877" si="3847">plan_id</f>
        <v>1952</v>
      </c>
      <c r="F1877" s="66">
        <f t="shared" ca="1" si="3755"/>
        <v>2015</v>
      </c>
      <c r="G1877" s="66">
        <f t="shared" ref="G1877" ca="1" si="3848">VLOOKUP(INDIRECT(CHAR(39)&amp;$A1877&amp;CHAR(39)&amp;"!r2c"&amp;$C1877,0),variables,2,0)</f>
        <v>10821</v>
      </c>
      <c r="H1877" s="71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66" t="s">
        <v>1045</v>
      </c>
      <c r="B1878" s="66">
        <f t="shared" si="3820"/>
        <v>18</v>
      </c>
      <c r="C1878" s="66">
        <f t="shared" si="3751"/>
        <v>83</v>
      </c>
      <c r="E1878" s="66">
        <f t="shared" ref="E1878" si="3849">plan_id</f>
        <v>1952</v>
      </c>
      <c r="F1878" s="66">
        <f t="shared" ca="1" si="3755"/>
        <v>2015</v>
      </c>
      <c r="G1878" s="66">
        <f t="shared" ref="G1878" ca="1" si="3850">VLOOKUP(INDIRECT(CHAR(39)&amp;$A1878&amp;CHAR(39)&amp;"!r2c"&amp;$C1878,0),variables,2,0)</f>
        <v>10822</v>
      </c>
      <c r="H1878" s="71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66" t="s">
        <v>1045</v>
      </c>
      <c r="B1879" s="66">
        <f t="shared" si="3820"/>
        <v>18</v>
      </c>
      <c r="C1879" s="66">
        <f t="shared" si="3751"/>
        <v>84</v>
      </c>
      <c r="E1879" s="66">
        <f t="shared" ref="E1879" si="3851">plan_id</f>
        <v>1952</v>
      </c>
      <c r="F1879" s="66">
        <f t="shared" ca="1" si="3755"/>
        <v>2015</v>
      </c>
      <c r="G1879" s="66">
        <f t="shared" ref="G1879" ca="1" si="3852">VLOOKUP(INDIRECT(CHAR(39)&amp;$A1879&amp;CHAR(39)&amp;"!r2c"&amp;$C1879,0),variables,2,0)</f>
        <v>10829</v>
      </c>
      <c r="H1879" s="71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1621490000</v>
      </c>
    </row>
    <row r="1880" spans="1:8" x14ac:dyDescent="0.2">
      <c r="A1880" s="66" t="s">
        <v>1045</v>
      </c>
      <c r="B1880" s="66">
        <f t="shared" si="3820"/>
        <v>18</v>
      </c>
      <c r="C1880" s="66">
        <f t="shared" si="3751"/>
        <v>85</v>
      </c>
      <c r="E1880" s="66">
        <f t="shared" ref="E1880" si="3853">plan_id</f>
        <v>1952</v>
      </c>
      <c r="F1880" s="66">
        <f t="shared" ca="1" si="3755"/>
        <v>2015</v>
      </c>
      <c r="G1880" s="66">
        <f t="shared" ref="G1880" ca="1" si="3854">VLOOKUP(INDIRECT(CHAR(39)&amp;$A1880&amp;CHAR(39)&amp;"!r2c"&amp;$C1880,0),variables,2,0)</f>
        <v>10823</v>
      </c>
      <c r="H1880" s="71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-2311276000</v>
      </c>
    </row>
    <row r="1881" spans="1:8" x14ac:dyDescent="0.2">
      <c r="A1881" s="66" t="s">
        <v>1045</v>
      </c>
      <c r="B1881" s="66">
        <f t="shared" si="3820"/>
        <v>18</v>
      </c>
      <c r="C1881" s="66">
        <f t="shared" si="3751"/>
        <v>86</v>
      </c>
      <c r="E1881" s="66">
        <f t="shared" ref="E1881" si="3855">plan_id</f>
        <v>1952</v>
      </c>
      <c r="F1881" s="66">
        <f t="shared" ca="1" si="3755"/>
        <v>2015</v>
      </c>
      <c r="G1881" s="66">
        <f t="shared" ref="G1881" ca="1" si="3856">VLOOKUP(INDIRECT(CHAR(39)&amp;$A1881&amp;CHAR(39)&amp;"!r2c"&amp;$C1881,0),variables,2,0)</f>
        <v>10798</v>
      </c>
      <c r="H1881" s="71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21600000</v>
      </c>
    </row>
    <row r="1882" spans="1:8" x14ac:dyDescent="0.2">
      <c r="A1882" s="66" t="s">
        <v>1045</v>
      </c>
      <c r="B1882" s="66">
        <f t="shared" si="3820"/>
        <v>18</v>
      </c>
      <c r="C1882" s="66">
        <f t="shared" si="3751"/>
        <v>87</v>
      </c>
      <c r="E1882" s="66">
        <f t="shared" ref="E1882" si="3857">plan_id</f>
        <v>1952</v>
      </c>
      <c r="F1882" s="66">
        <f t="shared" ca="1" si="3755"/>
        <v>2015</v>
      </c>
      <c r="G1882" s="66">
        <f t="shared" ref="G1882" ca="1" si="3858">VLOOKUP(INDIRECT(CHAR(39)&amp;$A1882&amp;CHAR(39)&amp;"!r2c"&amp;$C1882,0),variables,2,0)</f>
        <v>10799</v>
      </c>
      <c r="H1882" s="7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-356700000</v>
      </c>
    </row>
    <row r="1883" spans="1:8" x14ac:dyDescent="0.2">
      <c r="A1883" s="66" t="s">
        <v>1045</v>
      </c>
      <c r="B1883" s="66">
        <f t="shared" si="3820"/>
        <v>18</v>
      </c>
      <c r="C1883" s="66">
        <f t="shared" si="3751"/>
        <v>88</v>
      </c>
      <c r="E1883" s="66">
        <f t="shared" ref="E1883" si="3859">plan_id</f>
        <v>1952</v>
      </c>
      <c r="F1883" s="66">
        <f t="shared" ca="1" si="3755"/>
        <v>2015</v>
      </c>
      <c r="G1883" s="66">
        <f t="shared" ref="G1883" ca="1" si="3860">VLOOKUP(INDIRECT(CHAR(39)&amp;$A1883&amp;CHAR(39)&amp;"!r2c"&amp;$C1883,0),variables,2,0)</f>
        <v>10800</v>
      </c>
      <c r="H1883" s="7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66" t="s">
        <v>1045</v>
      </c>
      <c r="B1884" s="66">
        <f t="shared" si="3820"/>
        <v>18</v>
      </c>
      <c r="C1884" s="66">
        <f t="shared" si="3751"/>
        <v>89</v>
      </c>
      <c r="E1884" s="66">
        <f t="shared" ref="E1884" si="3861">plan_id</f>
        <v>1952</v>
      </c>
      <c r="F1884" s="66">
        <f t="shared" ca="1" si="3755"/>
        <v>2015</v>
      </c>
      <c r="G1884" s="66">
        <f t="shared" ref="G1884" ca="1" si="3862">VLOOKUP(INDIRECT(CHAR(39)&amp;$A1884&amp;CHAR(39)&amp;"!r2c"&amp;$C1884,0),variables,2,0)</f>
        <v>10824</v>
      </c>
      <c r="H1884" s="7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66" t="s">
        <v>1045</v>
      </c>
      <c r="B1885" s="66">
        <f t="shared" si="3820"/>
        <v>18</v>
      </c>
      <c r="C1885" s="66">
        <f t="shared" si="3751"/>
        <v>90</v>
      </c>
      <c r="E1885" s="66">
        <f t="shared" ref="E1885" si="3863">plan_id</f>
        <v>1952</v>
      </c>
      <c r="F1885" s="66">
        <f t="shared" ca="1" si="3755"/>
        <v>2015</v>
      </c>
      <c r="G1885" s="66">
        <f t="shared" ref="G1885" ca="1" si="3864">VLOOKUP(INDIRECT(CHAR(39)&amp;$A1885&amp;CHAR(39)&amp;"!r2c"&amp;$C1885,0),variables,2,0)</f>
        <v>10825</v>
      </c>
      <c r="H1885" s="7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2100000</v>
      </c>
    </row>
    <row r="1886" spans="1:8" x14ac:dyDescent="0.2">
      <c r="A1886" s="66" t="s">
        <v>1045</v>
      </c>
      <c r="B1886" s="66">
        <f t="shared" si="3820"/>
        <v>18</v>
      </c>
      <c r="C1886" s="66">
        <f t="shared" si="3751"/>
        <v>91</v>
      </c>
      <c r="E1886" s="66">
        <f t="shared" ref="E1886" si="3865">plan_id</f>
        <v>1952</v>
      </c>
      <c r="F1886" s="66">
        <f t="shared" ca="1" si="3755"/>
        <v>2015</v>
      </c>
      <c r="G1886" s="66">
        <f t="shared" ref="G1886" ca="1" si="3866">VLOOKUP(INDIRECT(CHAR(39)&amp;$A1886&amp;CHAR(39)&amp;"!r2c"&amp;$C1886,0),variables,2,0)</f>
        <v>10826</v>
      </c>
      <c r="H1886" s="71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1751515000</v>
      </c>
    </row>
    <row r="1887" spans="1:8" x14ac:dyDescent="0.2">
      <c r="A1887" s="66" t="s">
        <v>1045</v>
      </c>
      <c r="B1887" s="66">
        <f t="shared" si="3820"/>
        <v>18</v>
      </c>
      <c r="C1887" s="66">
        <f t="shared" si="3751"/>
        <v>92</v>
      </c>
      <c r="E1887" s="66">
        <f t="shared" ref="E1887" si="3867">plan_id</f>
        <v>1952</v>
      </c>
      <c r="F1887" s="66">
        <f t="shared" ca="1" si="3755"/>
        <v>2015</v>
      </c>
      <c r="G1887" s="66">
        <f t="shared" ref="G1887" ca="1" si="3868">VLOOKUP(INDIRECT(CHAR(39)&amp;$A1887&amp;CHAR(39)&amp;"!r2c"&amp;$C1887,0),variables,2,0)</f>
        <v>10828</v>
      </c>
      <c r="H1887" s="71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66" t="s">
        <v>1045</v>
      </c>
      <c r="B1888" s="66">
        <f t="shared" si="3820"/>
        <v>18</v>
      </c>
      <c r="C1888" s="66">
        <f t="shared" si="3751"/>
        <v>93</v>
      </c>
      <c r="E1888" s="66">
        <f t="shared" ref="E1888" si="3869">plan_id</f>
        <v>1952</v>
      </c>
      <c r="F1888" s="66">
        <f t="shared" ca="1" si="3755"/>
        <v>2015</v>
      </c>
      <c r="G1888" s="66">
        <f t="shared" ref="G1888" ca="1" si="3870">VLOOKUP(INDIRECT(CHAR(39)&amp;$A1888&amp;CHAR(39)&amp;"!r2c"&amp;$C1888,0),variables,2,0)</f>
        <v>10827</v>
      </c>
      <c r="H1888" s="71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170700000</v>
      </c>
    </row>
    <row r="1889" spans="1:8" x14ac:dyDescent="0.2">
      <c r="A1889" s="66" t="s">
        <v>1045</v>
      </c>
      <c r="B1889" s="66">
        <f t="shared" ref="B1889:B1952" si="3871">B1824+1</f>
        <v>19</v>
      </c>
      <c r="C1889" s="66">
        <f t="shared" si="3751"/>
        <v>3</v>
      </c>
      <c r="E1889" s="66">
        <f t="shared" ref="E1889" si="3872">plan_id</f>
        <v>1952</v>
      </c>
      <c r="F1889" s="66">
        <f t="shared" ca="1" si="3755"/>
        <v>2016</v>
      </c>
      <c r="G1889" s="66">
        <f t="shared" ref="G1889" ca="1" si="3873">VLOOKUP(INDIRECT(CHAR(39)&amp;$A1889&amp;CHAR(39)&amp;"!r2c"&amp;$C1889,0),variables,2,0)</f>
        <v>10703</v>
      </c>
      <c r="H1889" s="71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N/A</v>
      </c>
    </row>
    <row r="1890" spans="1:8" x14ac:dyDescent="0.2">
      <c r="A1890" s="66" t="s">
        <v>1045</v>
      </c>
      <c r="B1890" s="66">
        <f t="shared" si="3871"/>
        <v>19</v>
      </c>
      <c r="C1890" s="66">
        <f t="shared" si="3751"/>
        <v>4</v>
      </c>
      <c r="E1890" s="66">
        <f t="shared" ref="E1890" si="3874">plan_id</f>
        <v>1952</v>
      </c>
      <c r="F1890" s="66">
        <f t="shared" ca="1" si="3755"/>
        <v>2016</v>
      </c>
      <c r="G1890" s="66">
        <f t="shared" ref="G1890" ca="1" si="3875">VLOOKUP(INDIRECT(CHAR(39)&amp;$A1890&amp;CHAR(39)&amp;"!r2c"&amp;$C1890,0),variables,2,0)</f>
        <v>10845</v>
      </c>
      <c r="H1890" s="71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,LLC</v>
      </c>
    </row>
    <row r="1891" spans="1:8" x14ac:dyDescent="0.2">
      <c r="A1891" s="66" t="s">
        <v>1045</v>
      </c>
      <c r="B1891" s="66">
        <f t="shared" si="3871"/>
        <v>19</v>
      </c>
      <c r="C1891" s="66">
        <f t="shared" si="3751"/>
        <v>5</v>
      </c>
      <c r="E1891" s="66">
        <f t="shared" ref="E1891" si="3876">plan_id</f>
        <v>1952</v>
      </c>
      <c r="F1891" s="66">
        <f t="shared" ca="1" si="3755"/>
        <v>2016</v>
      </c>
      <c r="G1891" s="66">
        <f t="shared" ref="G1891" ca="1" si="3877">VLOOKUP(INDIRECT(CHAR(39)&amp;$A1891&amp;CHAR(39)&amp;"!r2c"&amp;$C1891,0),variables,2,0)</f>
        <v>10924</v>
      </c>
      <c r="H1891" s="71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(i)9.07%; (ii)10.57%</v>
      </c>
    </row>
    <row r="1892" spans="1:8" x14ac:dyDescent="0.2">
      <c r="A1892" s="66" t="s">
        <v>1045</v>
      </c>
      <c r="B1892" s="66">
        <f t="shared" si="3871"/>
        <v>19</v>
      </c>
      <c r="C1892" s="66">
        <f t="shared" si="3751"/>
        <v>6</v>
      </c>
      <c r="E1892" s="66">
        <f t="shared" ref="E1892" si="3878">plan_id</f>
        <v>1952</v>
      </c>
      <c r="F1892" s="66">
        <f t="shared" ca="1" si="3755"/>
        <v>2016</v>
      </c>
      <c r="G1892" s="66">
        <f t="shared" ref="G1892" ca="1" si="3879">VLOOKUP(INDIRECT(CHAR(39)&amp;$A1892&amp;CHAR(39)&amp;"!r2c"&amp;$C1892,0),variables,2,0)</f>
        <v>10925</v>
      </c>
      <c r="H1892" s="71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(i)4.21%; (ii)5.68%</v>
      </c>
    </row>
    <row r="1893" spans="1:8" x14ac:dyDescent="0.2">
      <c r="A1893" s="66" t="s">
        <v>1045</v>
      </c>
      <c r="B1893" s="66">
        <f t="shared" si="3871"/>
        <v>19</v>
      </c>
      <c r="C1893" s="66">
        <f t="shared" si="3751"/>
        <v>7</v>
      </c>
      <c r="E1893" s="66">
        <f t="shared" ref="E1893" si="3880">plan_id</f>
        <v>1952</v>
      </c>
      <c r="F1893" s="66">
        <f t="shared" ca="1" si="3755"/>
        <v>2016</v>
      </c>
      <c r="G1893" s="66">
        <f t="shared" ref="G1893" ca="1" si="3881">VLOOKUP(INDIRECT(CHAR(39)&amp;$A1893&amp;CHAR(39)&amp;"!r2c"&amp;$C1893,0),variables,2,0)</f>
        <v>10926</v>
      </c>
      <c r="H1893" s="71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(i)4.86%; (ii)4.89%</v>
      </c>
    </row>
    <row r="1894" spans="1:8" x14ac:dyDescent="0.2">
      <c r="A1894" s="66" t="s">
        <v>1045</v>
      </c>
      <c r="B1894" s="66">
        <f t="shared" si="3871"/>
        <v>19</v>
      </c>
      <c r="C1894" s="66">
        <f t="shared" si="3751"/>
        <v>8</v>
      </c>
      <c r="E1894" s="66">
        <f t="shared" ref="E1894" si="3882">plan_id</f>
        <v>1952</v>
      </c>
      <c r="F1894" s="66">
        <f t="shared" ca="1" si="3755"/>
        <v>2016</v>
      </c>
      <c r="G1894" s="66">
        <f t="shared" ref="G1894" ca="1" si="3883">VLOOKUP(INDIRECT(CHAR(39)&amp;$A1894&amp;CHAR(39)&amp;"!r2c"&amp;$C1894,0),variables,2,0)</f>
        <v>10704</v>
      </c>
      <c r="H1894" s="71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1099031174</v>
      </c>
    </row>
    <row r="1895" spans="1:8" x14ac:dyDescent="0.2">
      <c r="A1895" s="66" t="s">
        <v>1045</v>
      </c>
      <c r="B1895" s="66">
        <f t="shared" si="3871"/>
        <v>19</v>
      </c>
      <c r="C1895" s="66">
        <f t="shared" ref="C1895:C1958" si="3884">C1804</f>
        <v>9</v>
      </c>
      <c r="E1895" s="66">
        <f t="shared" ref="E1895" si="3885">plan_id</f>
        <v>1952</v>
      </c>
      <c r="F1895" s="66">
        <f t="shared" ca="1" si="3755"/>
        <v>2016</v>
      </c>
      <c r="G1895" s="66">
        <f t="shared" ref="G1895" ca="1" si="3886">VLOOKUP(INDIRECT(CHAR(39)&amp;$A1895&amp;CHAR(39)&amp;"!r2c"&amp;$C1895,0),variables,2,0)</f>
        <v>10928</v>
      </c>
      <c r="H1895" s="71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(i)8.76%; (ii)10.04%</v>
      </c>
    </row>
    <row r="1896" spans="1:8" x14ac:dyDescent="0.2">
      <c r="A1896" s="66" t="s">
        <v>1045</v>
      </c>
      <c r="B1896" s="66">
        <f t="shared" si="3871"/>
        <v>19</v>
      </c>
      <c r="C1896" s="66">
        <f t="shared" si="3884"/>
        <v>10</v>
      </c>
      <c r="E1896" s="66">
        <f t="shared" ref="E1896" si="3887">plan_id</f>
        <v>1952</v>
      </c>
      <c r="F1896" s="66">
        <f t="shared" ca="1" si="3755"/>
        <v>2016</v>
      </c>
      <c r="G1896" s="66">
        <f t="shared" ref="G1896" ca="1" si="3888">VLOOKUP(INDIRECT(CHAR(39)&amp;$A1896&amp;CHAR(39)&amp;"!r2c"&amp;$C1896,0),variables,2,0)</f>
        <v>10929</v>
      </c>
      <c r="H1896" s="71" t="str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(i)8.76%; (ii)10.04%</v>
      </c>
    </row>
    <row r="1897" spans="1:8" x14ac:dyDescent="0.2">
      <c r="A1897" s="66" t="s">
        <v>1045</v>
      </c>
      <c r="B1897" s="66">
        <f t="shared" si="3871"/>
        <v>19</v>
      </c>
      <c r="C1897" s="66">
        <f t="shared" si="3884"/>
        <v>11</v>
      </c>
      <c r="E1897" s="66">
        <f t="shared" ref="E1897" si="3889">plan_id</f>
        <v>1952</v>
      </c>
      <c r="F1897" s="66">
        <f t="shared" ca="1" si="3755"/>
        <v>2016</v>
      </c>
      <c r="G1897" s="66">
        <f t="shared" ref="G1897" ca="1" si="3890">VLOOKUP(INDIRECT(CHAR(39)&amp;$A1897&amp;CHAR(39)&amp;"!r2c"&amp;$C1897,0),variables,2,0)</f>
        <v>10930</v>
      </c>
      <c r="H1897" s="71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66" t="s">
        <v>1045</v>
      </c>
      <c r="B1898" s="66">
        <f t="shared" si="3871"/>
        <v>19</v>
      </c>
      <c r="C1898" s="66">
        <f t="shared" si="3884"/>
        <v>12</v>
      </c>
      <c r="E1898" s="66">
        <f t="shared" ref="E1898" si="3891">plan_id</f>
        <v>1952</v>
      </c>
      <c r="F1898" s="66">
        <f t="shared" ca="1" si="3755"/>
        <v>2016</v>
      </c>
      <c r="G1898" s="66">
        <f t="shared" ref="G1898" ca="1" si="3892">VLOOKUP(INDIRECT(CHAR(39)&amp;$A1898&amp;CHAR(39)&amp;"!r2c"&amp;$C1898,0),variables,2,0)</f>
        <v>10705</v>
      </c>
      <c r="H1898" s="7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812432000</v>
      </c>
    </row>
    <row r="1899" spans="1:8" x14ac:dyDescent="0.2">
      <c r="A1899" s="66" t="s">
        <v>1045</v>
      </c>
      <c r="B1899" s="66">
        <f t="shared" si="3871"/>
        <v>19</v>
      </c>
      <c r="C1899" s="66">
        <f t="shared" si="3884"/>
        <v>13</v>
      </c>
      <c r="E1899" s="66">
        <f t="shared" ref="E1899" si="3893">plan_id</f>
        <v>1952</v>
      </c>
      <c r="F1899" s="66">
        <f t="shared" ca="1" si="3755"/>
        <v>2016</v>
      </c>
      <c r="G1899" s="66">
        <f t="shared" ref="G1899" ca="1" si="3894">VLOOKUP(INDIRECT(CHAR(39)&amp;$A1899&amp;CHAR(39)&amp;"!r2c"&amp;$C1899,0),variables,2,0)</f>
        <v>10842</v>
      </c>
      <c r="H1899" s="71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66" t="s">
        <v>1045</v>
      </c>
      <c r="B1900" s="66">
        <f t="shared" si="3871"/>
        <v>19</v>
      </c>
      <c r="C1900" s="66">
        <f t="shared" si="3884"/>
        <v>14</v>
      </c>
      <c r="E1900" s="66">
        <f t="shared" ref="E1900" si="3895">plan_id</f>
        <v>1952</v>
      </c>
      <c r="F1900" s="66">
        <f t="shared" ca="1" si="3755"/>
        <v>2016</v>
      </c>
      <c r="G1900" s="66">
        <f t="shared" ref="G1900" ca="1" si="3896">VLOOKUP(INDIRECT(CHAR(39)&amp;$A1900&amp;CHAR(39)&amp;"!r2c"&amp;$C1900,0),variables,2,0)</f>
        <v>10843</v>
      </c>
      <c r="H1900" s="71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66" t="s">
        <v>1045</v>
      </c>
      <c r="B1901" s="66">
        <f t="shared" si="3871"/>
        <v>19</v>
      </c>
      <c r="C1901" s="66">
        <f t="shared" si="3884"/>
        <v>15</v>
      </c>
      <c r="E1901" s="66">
        <f t="shared" ref="E1901" si="3897">plan_id</f>
        <v>1952</v>
      </c>
      <c r="F1901" s="66">
        <f t="shared" ca="1" si="3755"/>
        <v>2016</v>
      </c>
      <c r="G1901" s="66">
        <f t="shared" ref="G1901" ca="1" si="3898">VLOOKUP(INDIRECT(CHAR(39)&amp;$A1901&amp;CHAR(39)&amp;"!r2c"&amp;$C1901,0),variables,2,0)</f>
        <v>10931</v>
      </c>
      <c r="H1901" s="7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66" t="s">
        <v>1045</v>
      </c>
      <c r="B1902" s="66">
        <f t="shared" si="3871"/>
        <v>19</v>
      </c>
      <c r="C1902" s="66">
        <f t="shared" si="3884"/>
        <v>16</v>
      </c>
      <c r="E1902" s="66">
        <f t="shared" ref="E1902" si="3899">plan_id</f>
        <v>1952</v>
      </c>
      <c r="F1902" s="66">
        <f t="shared" ca="1" si="3755"/>
        <v>2016</v>
      </c>
      <c r="G1902" s="66">
        <f t="shared" ref="G1902" ca="1" si="3900">VLOOKUP(INDIRECT(CHAR(39)&amp;$A1902&amp;CHAR(39)&amp;"!r2c"&amp;$C1902,0),variables,2,0)</f>
        <v>10932</v>
      </c>
      <c r="H1902" s="7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66" t="s">
        <v>1045</v>
      </c>
      <c r="B1903" s="66">
        <f t="shared" si="3871"/>
        <v>19</v>
      </c>
      <c r="C1903" s="66">
        <f t="shared" si="3884"/>
        <v>17</v>
      </c>
      <c r="E1903" s="66">
        <f t="shared" ref="E1903" si="3901">plan_id</f>
        <v>1952</v>
      </c>
      <c r="F1903" s="66">
        <f t="shared" ca="1" si="3755"/>
        <v>2016</v>
      </c>
      <c r="G1903" s="66">
        <f t="shared" ref="G1903" ca="1" si="3902">VLOOKUP(INDIRECT(CHAR(39)&amp;$A1903&amp;CHAR(39)&amp;"!r2c"&amp;$C1903,0),variables,2,0)</f>
        <v>10933</v>
      </c>
      <c r="H1903" s="71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(i)12.97%; (ii)15.72%</v>
      </c>
    </row>
    <row r="1904" spans="1:8" x14ac:dyDescent="0.2">
      <c r="A1904" s="66" t="s">
        <v>1045</v>
      </c>
      <c r="B1904" s="66">
        <f t="shared" si="3871"/>
        <v>19</v>
      </c>
      <c r="C1904" s="66">
        <f t="shared" si="3884"/>
        <v>18</v>
      </c>
      <c r="E1904" s="66">
        <f t="shared" ref="E1904" si="3903">plan_id</f>
        <v>1952</v>
      </c>
      <c r="F1904" s="66">
        <f t="shared" ca="1" si="3755"/>
        <v>2016</v>
      </c>
      <c r="G1904" s="66">
        <f t="shared" ref="G1904" ca="1" si="3904">VLOOKUP(INDIRECT(CHAR(39)&amp;$A1904&amp;CHAR(39)&amp;"!r2c"&amp;$C1904,0),variables,2,0)</f>
        <v>10934</v>
      </c>
      <c r="H1904" s="71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(i)4.86%; (ii)4.89%</v>
      </c>
    </row>
    <row r="1905" spans="1:8" x14ac:dyDescent="0.2">
      <c r="A1905" s="66" t="s">
        <v>1045</v>
      </c>
      <c r="B1905" s="66">
        <f t="shared" si="3871"/>
        <v>19</v>
      </c>
      <c r="C1905" s="66">
        <f t="shared" si="3884"/>
        <v>19</v>
      </c>
      <c r="E1905" s="66">
        <f t="shared" ref="E1905" si="3905">plan_id</f>
        <v>1952</v>
      </c>
      <c r="F1905" s="66">
        <f t="shared" ca="1" si="3755"/>
        <v>2016</v>
      </c>
      <c r="G1905" s="66">
        <f t="shared" ref="G1905" ca="1" si="3906">VLOOKUP(INDIRECT(CHAR(39)&amp;$A1905&amp;CHAR(39)&amp;"!r2c"&amp;$C1905,0),variables,2,0)</f>
        <v>10935</v>
      </c>
      <c r="H1905" s="71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66" t="s">
        <v>1045</v>
      </c>
      <c r="B1906" s="66">
        <f t="shared" si="3871"/>
        <v>19</v>
      </c>
      <c r="C1906" s="66">
        <f t="shared" si="3884"/>
        <v>20</v>
      </c>
      <c r="E1906" s="66">
        <f t="shared" ref="E1906" si="3907">plan_id</f>
        <v>1952</v>
      </c>
      <c r="F1906" s="66">
        <f t="shared" ca="1" si="3755"/>
        <v>2016</v>
      </c>
      <c r="G1906" s="66">
        <f t="shared" ref="G1906" ca="1" si="3908">VLOOKUP(INDIRECT(CHAR(39)&amp;$A1906&amp;CHAR(39)&amp;"!r2c"&amp;$C1906,0),variables,2,0)</f>
        <v>10937</v>
      </c>
      <c r="H1906" s="71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66" t="s">
        <v>1045</v>
      </c>
      <c r="B1907" s="66">
        <f t="shared" si="3871"/>
        <v>19</v>
      </c>
      <c r="C1907" s="66">
        <f t="shared" si="3884"/>
        <v>21</v>
      </c>
      <c r="E1907" s="66">
        <f t="shared" ref="E1907" si="3909">plan_id</f>
        <v>1952</v>
      </c>
      <c r="F1907" s="66">
        <f t="shared" ca="1" si="3755"/>
        <v>2016</v>
      </c>
      <c r="G1907" s="66">
        <f t="shared" ref="G1907" ca="1" si="3910">VLOOKUP(INDIRECT(CHAR(39)&amp;$A1907&amp;CHAR(39)&amp;"!r2c"&amp;$C1907,0),variables,2,0)</f>
        <v>10938</v>
      </c>
      <c r="H1907" s="7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66" t="s">
        <v>1045</v>
      </c>
      <c r="B1908" s="66">
        <f t="shared" si="3871"/>
        <v>19</v>
      </c>
      <c r="C1908" s="66">
        <f t="shared" si="3884"/>
        <v>22</v>
      </c>
      <c r="E1908" s="66">
        <f t="shared" ref="E1908" si="3911">plan_id</f>
        <v>1952</v>
      </c>
      <c r="F1908" s="66">
        <f t="shared" ca="1" si="3755"/>
        <v>2016</v>
      </c>
      <c r="G1908" s="66">
        <f t="shared" ref="G1908" ca="1" si="3912">VLOOKUP(INDIRECT(CHAR(39)&amp;$A1908&amp;CHAR(39)&amp;"!r2c"&amp;$C1908,0),variables,2,0)</f>
        <v>11007</v>
      </c>
      <c r="H1908" s="71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 xml:space="preserve">Plan 1: 1.7% of AFC times years of service; Plan 2: 1.7% AFC times years of service up to 1/1/13 + 1.65% AFC times years of service from 1/1/13; Hybrid: 1% AFC times years of service </v>
      </c>
    </row>
    <row r="1909" spans="1:8" x14ac:dyDescent="0.2">
      <c r="A1909" s="66" t="s">
        <v>1045</v>
      </c>
      <c r="B1909" s="66">
        <f t="shared" si="3871"/>
        <v>19</v>
      </c>
      <c r="C1909" s="66">
        <f t="shared" si="3884"/>
        <v>23</v>
      </c>
      <c r="E1909" s="66">
        <f t="shared" ref="E1909" si="3913">plan_id</f>
        <v>1952</v>
      </c>
      <c r="F1909" s="66">
        <f t="shared" ca="1" si="3755"/>
        <v>2016</v>
      </c>
      <c r="G1909" s="66">
        <f t="shared" ref="G1909" ca="1" si="3914">VLOOKUP(INDIRECT(CHAR(39)&amp;$A1909&amp;CHAR(39)&amp;"!r2c"&amp;$C1909,0),variables,2,0)</f>
        <v>10941</v>
      </c>
      <c r="H1909" s="71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66" t="s">
        <v>1045</v>
      </c>
      <c r="B1910" s="66">
        <f t="shared" si="3871"/>
        <v>19</v>
      </c>
      <c r="C1910" s="66">
        <f t="shared" si="3884"/>
        <v>24</v>
      </c>
      <c r="E1910" s="66">
        <f t="shared" ref="E1910" si="3915">plan_id</f>
        <v>1952</v>
      </c>
      <c r="F1910" s="66">
        <f t="shared" ca="1" si="3755"/>
        <v>2016</v>
      </c>
      <c r="G1910" s="66">
        <f t="shared" ref="G1910" ca="1" si="3916">VLOOKUP(INDIRECT(CHAR(39)&amp;$A1910&amp;CHAR(39)&amp;"!r2c"&amp;$C1910,0),variables,2,0)</f>
        <v>10942</v>
      </c>
      <c r="H1910" s="71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2">
      <c r="A1911" s="66" t="s">
        <v>1045</v>
      </c>
      <c r="B1911" s="66">
        <f t="shared" si="3871"/>
        <v>19</v>
      </c>
      <c r="C1911" s="66">
        <f t="shared" si="3884"/>
        <v>25</v>
      </c>
      <c r="E1911" s="66">
        <f t="shared" ref="E1911" si="3917">plan_id</f>
        <v>1952</v>
      </c>
      <c r="F1911" s="66">
        <f t="shared" ca="1" si="3755"/>
        <v>2016</v>
      </c>
      <c r="G1911" s="66">
        <f t="shared" ref="G1911" ca="1" si="3918">VLOOKUP(INDIRECT(CHAR(39)&amp;$A1911&amp;CHAR(39)&amp;"!r2c"&amp;$C1911,0),variables,2,0)</f>
        <v>10701</v>
      </c>
      <c r="H1911" s="71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2">
      <c r="A1912" s="66" t="s">
        <v>1045</v>
      </c>
      <c r="B1912" s="66">
        <f t="shared" si="3871"/>
        <v>19</v>
      </c>
      <c r="C1912" s="66">
        <f t="shared" si="3884"/>
        <v>26</v>
      </c>
      <c r="E1912" s="66">
        <f t="shared" ref="E1912" si="3919">plan_id</f>
        <v>1952</v>
      </c>
      <c r="F1912" s="66">
        <f t="shared" ca="1" si="3755"/>
        <v>2016</v>
      </c>
      <c r="G1912" s="66">
        <f t="shared" ref="G1912" ca="1" si="3920">VLOOKUP(INDIRECT(CHAR(39)&amp;$A1912&amp;CHAR(39)&amp;"!r2c"&amp;$C1912,0),variables,2,0)</f>
        <v>10702</v>
      </c>
      <c r="H1912" s="71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66" t="s">
        <v>1045</v>
      </c>
      <c r="B1913" s="66">
        <f t="shared" si="3871"/>
        <v>19</v>
      </c>
      <c r="C1913" s="66">
        <f t="shared" si="3884"/>
        <v>27</v>
      </c>
      <c r="E1913" s="66">
        <f t="shared" ref="E1913" si="3921">plan_id</f>
        <v>1952</v>
      </c>
      <c r="F1913" s="66">
        <f t="shared" ca="1" si="3755"/>
        <v>2016</v>
      </c>
      <c r="G1913" s="66">
        <f t="shared" ref="G1913" ca="1" si="3922">VLOOKUP(INDIRECT(CHAR(39)&amp;$A1913&amp;CHAR(39)&amp;"!r2c"&amp;$C1913,0),variables,2,0)</f>
        <v>10943</v>
      </c>
      <c r="H1913" s="71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Plan 1: 2.50%; Plan 2: 2.25%</v>
      </c>
    </row>
    <row r="1914" spans="1:8" x14ac:dyDescent="0.2">
      <c r="A1914" s="66" t="s">
        <v>1045</v>
      </c>
      <c r="B1914" s="66">
        <f t="shared" si="3871"/>
        <v>19</v>
      </c>
      <c r="C1914" s="66">
        <f t="shared" si="3884"/>
        <v>28</v>
      </c>
      <c r="E1914" s="66">
        <f t="shared" ref="E1914" si="3923">plan_id</f>
        <v>1952</v>
      </c>
      <c r="F1914" s="66">
        <f t="shared" ca="1" si="3755"/>
        <v>2016</v>
      </c>
      <c r="G1914" s="66">
        <f t="shared" ref="G1914" ca="1" si="3924">VLOOKUP(INDIRECT(CHAR(39)&amp;$A1914&amp;CHAR(39)&amp;"!r2c"&amp;$C1914,0),variables,2,0)</f>
        <v>10944</v>
      </c>
      <c r="H1914" s="71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66" t="s">
        <v>1045</v>
      </c>
      <c r="B1915" s="66">
        <f t="shared" si="3871"/>
        <v>19</v>
      </c>
      <c r="C1915" s="66">
        <f t="shared" si="3884"/>
        <v>29</v>
      </c>
      <c r="E1915" s="66">
        <f t="shared" ref="E1915" si="3925">plan_id</f>
        <v>1952</v>
      </c>
      <c r="F1915" s="66">
        <f t="shared" ca="1" si="3755"/>
        <v>2016</v>
      </c>
      <c r="G1915" s="66">
        <f t="shared" ref="G1915" ca="1" si="3926">VLOOKUP(INDIRECT(CHAR(39)&amp;$A1915&amp;CHAR(39)&amp;"!r2c"&amp;$C1915,0),variables,2,0)</f>
        <v>10945</v>
      </c>
      <c r="H1915" s="71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66" t="s">
        <v>1045</v>
      </c>
      <c r="B1916" s="66">
        <f t="shared" si="3871"/>
        <v>19</v>
      </c>
      <c r="C1916" s="66">
        <f t="shared" si="3884"/>
        <v>30</v>
      </c>
      <c r="E1916" s="66">
        <f t="shared" ref="E1916" si="3927">plan_id</f>
        <v>1952</v>
      </c>
      <c r="F1916" s="66">
        <f t="shared" ca="1" si="3755"/>
        <v>2016</v>
      </c>
      <c r="G1916" s="66">
        <f t="shared" ref="G1916" ca="1" si="3928">VLOOKUP(INDIRECT(CHAR(39)&amp;$A1916&amp;CHAR(39)&amp;"!r2c"&amp;$C1916,0),variables,2,0)</f>
        <v>10947</v>
      </c>
      <c r="H1916" s="71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66" t="s">
        <v>1045</v>
      </c>
      <c r="B1917" s="66">
        <f t="shared" si="3871"/>
        <v>19</v>
      </c>
      <c r="C1917" s="66">
        <f t="shared" si="3884"/>
        <v>31</v>
      </c>
      <c r="E1917" s="66">
        <f t="shared" ref="E1917" si="3929">plan_id</f>
        <v>1952</v>
      </c>
      <c r="F1917" s="66">
        <f t="shared" ca="1" si="3755"/>
        <v>2016</v>
      </c>
      <c r="G1917" s="66">
        <f t="shared" ref="G1917" ca="1" si="3930">VLOOKUP(INDIRECT(CHAR(39)&amp;$A1917&amp;CHAR(39)&amp;"!r2c"&amp;$C1917,0),variables,2,0)</f>
        <v>10948</v>
      </c>
      <c r="H1917" s="71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2">
      <c r="A1918" s="66" t="s">
        <v>1045</v>
      </c>
      <c r="B1918" s="66">
        <f t="shared" si="3871"/>
        <v>19</v>
      </c>
      <c r="C1918" s="66">
        <f t="shared" si="3884"/>
        <v>32</v>
      </c>
      <c r="E1918" s="66">
        <f t="shared" ref="E1918" si="3931">plan_id</f>
        <v>1952</v>
      </c>
      <c r="F1918" s="66">
        <f t="shared" ca="1" si="3755"/>
        <v>2016</v>
      </c>
      <c r="G1918" s="66">
        <f t="shared" ref="G1918" ca="1" si="3932">VLOOKUP(INDIRECT(CHAR(39)&amp;$A1918&amp;CHAR(39)&amp;"!r2c"&amp;$C1918,0),variables,2,0)</f>
        <v>10949</v>
      </c>
      <c r="H1918" s="71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Yes</v>
      </c>
    </row>
    <row r="1919" spans="1:8" x14ac:dyDescent="0.2">
      <c r="A1919" s="66" t="s">
        <v>1045</v>
      </c>
      <c r="B1919" s="66">
        <f t="shared" si="3871"/>
        <v>19</v>
      </c>
      <c r="C1919" s="66">
        <f t="shared" si="3884"/>
        <v>33</v>
      </c>
      <c r="E1919" s="66">
        <f t="shared" ref="E1919" si="3933">plan_id</f>
        <v>1952</v>
      </c>
      <c r="F1919" s="66">
        <f t="shared" ca="1" si="3755"/>
        <v>2016</v>
      </c>
      <c r="G1919" s="66">
        <f t="shared" ref="G1919" ca="1" si="3934">VLOOKUP(INDIRECT(CHAR(39)&amp;$A1919&amp;CHAR(39)&amp;"!r2c"&amp;$C1919,0),variables,2,0)</f>
        <v>10951</v>
      </c>
      <c r="H1919" s="71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2">
      <c r="A1920" s="66" t="s">
        <v>1045</v>
      </c>
      <c r="B1920" s="66">
        <f t="shared" si="3871"/>
        <v>19</v>
      </c>
      <c r="C1920" s="66">
        <f t="shared" si="3884"/>
        <v>34</v>
      </c>
      <c r="E1920" s="66">
        <f t="shared" ref="E1920" si="3935">plan_id</f>
        <v>1952</v>
      </c>
      <c r="F1920" s="66">
        <f t="shared" ca="1" si="3755"/>
        <v>2016</v>
      </c>
      <c r="G1920" s="66">
        <f t="shared" ref="G1920" ca="1" si="3936">VLOOKUP(INDIRECT(CHAR(39)&amp;$A1920&amp;CHAR(39)&amp;"!r2c"&amp;$C1920,0),variables,2,0)</f>
        <v>10950</v>
      </c>
      <c r="H1920" s="71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2">
      <c r="A1921" s="66" t="s">
        <v>1045</v>
      </c>
      <c r="B1921" s="66">
        <f t="shared" si="3871"/>
        <v>19</v>
      </c>
      <c r="C1921" s="66">
        <f t="shared" si="3884"/>
        <v>35</v>
      </c>
      <c r="E1921" s="66">
        <f t="shared" ref="E1921" si="3937">plan_id</f>
        <v>1952</v>
      </c>
      <c r="F1921" s="66">
        <f t="shared" ca="1" si="3755"/>
        <v>2016</v>
      </c>
      <c r="G1921" s="66">
        <f t="shared" ref="G1921" ca="1" si="3938">VLOOKUP(INDIRECT(CHAR(39)&amp;$A1921&amp;CHAR(39)&amp;"!r2c"&amp;$C1921,0),variables,2,0)</f>
        <v>10954</v>
      </c>
      <c r="H1921" s="71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2">
      <c r="A1922" s="66" t="s">
        <v>1045</v>
      </c>
      <c r="B1922" s="66">
        <f t="shared" si="3871"/>
        <v>19</v>
      </c>
      <c r="C1922" s="66">
        <f t="shared" si="3884"/>
        <v>36</v>
      </c>
      <c r="E1922" s="66">
        <f t="shared" ref="E1922" si="3939">plan_id</f>
        <v>1952</v>
      </c>
      <c r="F1922" s="66">
        <f t="shared" ca="1" si="3755"/>
        <v>2016</v>
      </c>
      <c r="G1922" s="66">
        <f t="shared" ref="G1922" ca="1" si="3940">VLOOKUP(INDIRECT(CHAR(39)&amp;$A1922&amp;CHAR(39)&amp;"!r2c"&amp;$C1922,0),variables,2,0)</f>
        <v>10955</v>
      </c>
      <c r="H1922" s="71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7.0000000000000007E-2</v>
      </c>
    </row>
    <row r="1923" spans="1:8" x14ac:dyDescent="0.2">
      <c r="A1923" s="66" t="s">
        <v>1045</v>
      </c>
      <c r="B1923" s="66">
        <f t="shared" si="3871"/>
        <v>19</v>
      </c>
      <c r="C1923" s="66">
        <f t="shared" si="3884"/>
        <v>37</v>
      </c>
      <c r="E1923" s="66">
        <f t="shared" ref="E1923" si="3941">plan_id</f>
        <v>1952</v>
      </c>
      <c r="F1923" s="66">
        <f t="shared" ca="1" si="3755"/>
        <v>2016</v>
      </c>
      <c r="G1923" s="66">
        <f t="shared" ref="G1923" ca="1" si="3942">VLOOKUP(INDIRECT(CHAR(39)&amp;$A1923&amp;CHAR(39)&amp;"!r2c"&amp;$C1923,0),variables,2,0)</f>
        <v>10956</v>
      </c>
      <c r="H1923" s="71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x14ac:dyDescent="0.2">
      <c r="A1924" s="66" t="s">
        <v>1045</v>
      </c>
      <c r="B1924" s="66">
        <f t="shared" si="3871"/>
        <v>19</v>
      </c>
      <c r="C1924" s="66">
        <f t="shared" si="3884"/>
        <v>38</v>
      </c>
      <c r="E1924" s="66">
        <f t="shared" ref="E1924" si="3943">plan_id</f>
        <v>1952</v>
      </c>
      <c r="F1924" s="66">
        <f t="shared" ca="1" si="3755"/>
        <v>2016</v>
      </c>
      <c r="G1924" s="66">
        <f t="shared" ref="G1924" ca="1" si="3944">VLOOKUP(INDIRECT(CHAR(39)&amp;$A1924&amp;CHAR(39)&amp;"!r2c"&amp;$C1924,0),variables,2,0)</f>
        <v>10959</v>
      </c>
      <c r="H1924" s="71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SE-3.50% to 5.35% &amp; Teach 3.50% to 5.95%</v>
      </c>
    </row>
    <row r="1925" spans="1:8" x14ac:dyDescent="0.2">
      <c r="A1925" s="66" t="s">
        <v>1045</v>
      </c>
      <c r="B1925" s="66">
        <f t="shared" si="3871"/>
        <v>19</v>
      </c>
      <c r="C1925" s="66">
        <f t="shared" si="3884"/>
        <v>39</v>
      </c>
      <c r="E1925" s="66">
        <f t="shared" ref="E1925" si="3945">plan_id</f>
        <v>1952</v>
      </c>
      <c r="F1925" s="66">
        <f t="shared" ca="1" si="3755"/>
        <v>2016</v>
      </c>
      <c r="G1925" s="66">
        <f t="shared" ref="G1925" ca="1" si="3946">VLOOKUP(INDIRECT(CHAR(39)&amp;$A1925&amp;CHAR(39)&amp;"!r2c"&amp;$C1925,0),variables,2,0)</f>
        <v>10962</v>
      </c>
      <c r="H1925" s="71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55 &amp; 62</v>
      </c>
    </row>
    <row r="1926" spans="1:8" x14ac:dyDescent="0.2">
      <c r="A1926" s="66" t="s">
        <v>1045</v>
      </c>
      <c r="B1926" s="66">
        <f t="shared" si="3871"/>
        <v>19</v>
      </c>
      <c r="C1926" s="66">
        <f t="shared" si="3884"/>
        <v>40</v>
      </c>
      <c r="E1926" s="66">
        <f t="shared" ref="E1926" si="3947">plan_id</f>
        <v>1952</v>
      </c>
      <c r="F1926" s="66">
        <f t="shared" ca="1" si="3755"/>
        <v>2016</v>
      </c>
      <c r="G1926" s="66">
        <f t="shared" ref="G1926" ca="1" si="3948">VLOOKUP(INDIRECT(CHAR(39)&amp;$A1926&amp;CHAR(39)&amp;"!r2c"&amp;$C1926,0),variables,2,0)</f>
        <v>10964</v>
      </c>
      <c r="H1926" s="71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51-53 &amp; 58-60</v>
      </c>
    </row>
    <row r="1927" spans="1:8" x14ac:dyDescent="0.2">
      <c r="A1927" s="66" t="s">
        <v>1045</v>
      </c>
      <c r="B1927" s="66">
        <f t="shared" si="3871"/>
        <v>19</v>
      </c>
      <c r="C1927" s="66">
        <f t="shared" si="3884"/>
        <v>41</v>
      </c>
      <c r="E1927" s="66">
        <f t="shared" ref="E1927" si="3949">plan_id</f>
        <v>1952</v>
      </c>
      <c r="F1927" s="66">
        <f t="shared" ca="1" si="3755"/>
        <v>2016</v>
      </c>
      <c r="G1927" s="66">
        <f t="shared" ref="G1927" ca="1" si="3950">VLOOKUP(INDIRECT(CHAR(39)&amp;$A1927&amp;CHAR(39)&amp;"!r2c"&amp;$C1927,0),variables,2,0)</f>
        <v>10967</v>
      </c>
      <c r="H1927" s="71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Employee Mortality Table; RP-2000 Combined Mortality Table</v>
      </c>
    </row>
    <row r="1928" spans="1:8" x14ac:dyDescent="0.2">
      <c r="A1928" s="66" t="s">
        <v>1045</v>
      </c>
      <c r="B1928" s="66">
        <f t="shared" si="3871"/>
        <v>19</v>
      </c>
      <c r="C1928" s="66">
        <f t="shared" si="3884"/>
        <v>42</v>
      </c>
      <c r="E1928" s="66">
        <f t="shared" ref="E1928" si="3951">plan_id</f>
        <v>1952</v>
      </c>
      <c r="F1928" s="66">
        <f t="shared" ca="1" si="3755"/>
        <v>2016</v>
      </c>
      <c r="G1928" s="66">
        <f t="shared" ref="G1928" ca="1" si="3952">VLOOKUP(INDIRECT(CHAR(39)&amp;$A1928&amp;CHAR(39)&amp;"!r2c"&amp;$C1928,0),variables,2,0)</f>
        <v>10968</v>
      </c>
      <c r="H1928" s="71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2">
      <c r="A1929" s="66" t="s">
        <v>1045</v>
      </c>
      <c r="B1929" s="66">
        <f t="shared" si="3871"/>
        <v>19</v>
      </c>
      <c r="C1929" s="66">
        <f t="shared" si="3884"/>
        <v>43</v>
      </c>
      <c r="E1929" s="66">
        <f t="shared" ref="E1929" si="3953">plan_id</f>
        <v>1952</v>
      </c>
      <c r="F1929" s="66">
        <f t="shared" ca="1" si="3755"/>
        <v>2016</v>
      </c>
      <c r="G1929" s="66">
        <f t="shared" ref="G1929" ca="1" si="3954">VLOOKUP(INDIRECT(CHAR(39)&amp;$A1929&amp;CHAR(39)&amp;"!r2c"&amp;$C1929,0),variables,2,0)</f>
        <v>10969</v>
      </c>
      <c r="H1929" s="71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 xml:space="preserve">Scale AA  </v>
      </c>
    </row>
    <row r="1930" spans="1:8" x14ac:dyDescent="0.2">
      <c r="A1930" s="66" t="s">
        <v>1045</v>
      </c>
      <c r="B1930" s="66">
        <f t="shared" si="3871"/>
        <v>19</v>
      </c>
      <c r="C1930" s="66">
        <f t="shared" si="3884"/>
        <v>44</v>
      </c>
      <c r="E1930" s="66">
        <f t="shared" ref="E1930" si="3955">plan_id</f>
        <v>1952</v>
      </c>
      <c r="F1930" s="66">
        <f t="shared" ca="1" si="3755"/>
        <v>2016</v>
      </c>
      <c r="G1930" s="66">
        <f t="shared" ref="G1930" ca="1" si="3956">VLOOKUP(INDIRECT(CHAR(39)&amp;$A1930&amp;CHAR(39)&amp;"!r2c"&amp;$C1930,0),variables,2,0)</f>
        <v>10970</v>
      </c>
      <c r="H1930" s="71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State Females: Pre-3 Years; Post- 1 Year; Teachers: Pre- Males: 3 Years, Females: 5 Years; Post- Males: 2 Years; Females: 3 Years</v>
      </c>
    </row>
    <row r="1931" spans="1:8" x14ac:dyDescent="0.2">
      <c r="A1931" s="66" t="s">
        <v>1045</v>
      </c>
      <c r="B1931" s="66">
        <f t="shared" si="3871"/>
        <v>19</v>
      </c>
      <c r="C1931" s="66">
        <f t="shared" si="3884"/>
        <v>45</v>
      </c>
      <c r="E1931" s="66">
        <f t="shared" ref="E1931" si="3957">plan_id</f>
        <v>1952</v>
      </c>
      <c r="F1931" s="66">
        <f t="shared" ca="1" si="3755"/>
        <v>2016</v>
      </c>
      <c r="G1931" s="66">
        <f t="shared" ref="G1931" ca="1" si="3958">VLOOKUP(INDIRECT(CHAR(39)&amp;$A1931&amp;CHAR(39)&amp;"!r2c"&amp;$C1931,0),variables,2,0)</f>
        <v>10971</v>
      </c>
      <c r="H1931" s="71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State-Males: Pre- 2 Years</v>
      </c>
    </row>
    <row r="1932" spans="1:8" x14ac:dyDescent="0.2">
      <c r="A1932" s="66" t="s">
        <v>1045</v>
      </c>
      <c r="B1932" s="66">
        <f t="shared" si="3871"/>
        <v>19</v>
      </c>
      <c r="C1932" s="66">
        <f t="shared" si="3884"/>
        <v>46</v>
      </c>
      <c r="E1932" s="66">
        <f t="shared" ref="E1932" si="3959">plan_id</f>
        <v>1952</v>
      </c>
      <c r="F1932" s="66">
        <f t="shared" ca="1" si="3755"/>
        <v>2016</v>
      </c>
      <c r="G1932" s="66">
        <f t="shared" ref="G1932" ca="1" si="3960">VLOOKUP(INDIRECT(CHAR(39)&amp;$A1932&amp;CHAR(39)&amp;"!r2c"&amp;$C1932,0),variables,2,0)</f>
        <v>10972</v>
      </c>
      <c r="H1932" s="71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Payroll, Closed</v>
      </c>
    </row>
    <row r="1933" spans="1:8" x14ac:dyDescent="0.2">
      <c r="A1933" s="66" t="s">
        <v>1045</v>
      </c>
      <c r="B1933" s="66">
        <f t="shared" si="3871"/>
        <v>19</v>
      </c>
      <c r="C1933" s="66">
        <f t="shared" si="3884"/>
        <v>47</v>
      </c>
      <c r="E1933" s="66">
        <f t="shared" ref="E1933" si="3961">plan_id</f>
        <v>1952</v>
      </c>
      <c r="F1933" s="66">
        <f t="shared" ca="1" si="3755"/>
        <v>2016</v>
      </c>
      <c r="G1933" s="66">
        <f t="shared" ref="G1933" ca="1" si="3962">VLOOKUP(INDIRECT(CHAR(39)&amp;$A1933&amp;CHAR(39)&amp;"!r2c"&amp;$C1933,0),variables,2,0)</f>
        <v>10973</v>
      </c>
      <c r="H1933" s="71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27 Years</v>
      </c>
    </row>
    <row r="1934" spans="1:8" x14ac:dyDescent="0.2">
      <c r="A1934" s="66" t="s">
        <v>1045</v>
      </c>
      <c r="B1934" s="66">
        <f t="shared" si="3871"/>
        <v>19</v>
      </c>
      <c r="C1934" s="66">
        <f t="shared" si="3884"/>
        <v>48</v>
      </c>
      <c r="E1934" s="66">
        <f t="shared" ref="E1934" si="3963">plan_id</f>
        <v>1952</v>
      </c>
      <c r="F1934" s="66">
        <f t="shared" ca="1" si="3755"/>
        <v>2016</v>
      </c>
      <c r="G1934" s="66">
        <f t="shared" ref="G1934" ca="1" si="3964">VLOOKUP(INDIRECT(CHAR(39)&amp;$A1934&amp;CHAR(39)&amp;"!r2c"&amp;$C1934,0),variables,2,0)</f>
        <v>10975</v>
      </c>
      <c r="H1934" s="71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2">
      <c r="A1935" s="66" t="s">
        <v>1045</v>
      </c>
      <c r="B1935" s="66">
        <f t="shared" si="3871"/>
        <v>19</v>
      </c>
      <c r="C1935" s="66">
        <f t="shared" si="3884"/>
        <v>49</v>
      </c>
      <c r="E1935" s="66">
        <f t="shared" ref="E1935" si="3965">plan_id</f>
        <v>1952</v>
      </c>
      <c r="F1935" s="66">
        <f t="shared" ca="1" si="3755"/>
        <v>2016</v>
      </c>
      <c r="G1935" s="66">
        <f t="shared" ref="G1935" ca="1" si="3966">VLOOKUP(INDIRECT(CHAR(39)&amp;$A1935&amp;CHAR(39)&amp;"!r2c"&amp;$C1935,0),variables,2,0)</f>
        <v>10976</v>
      </c>
      <c r="H1935" s="71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7.0000000000000007E-2</v>
      </c>
    </row>
    <row r="1936" spans="1:8" x14ac:dyDescent="0.2">
      <c r="A1936" s="66" t="s">
        <v>1045</v>
      </c>
      <c r="B1936" s="66">
        <f t="shared" si="3871"/>
        <v>19</v>
      </c>
      <c r="C1936" s="66">
        <f t="shared" si="3884"/>
        <v>50</v>
      </c>
      <c r="E1936" s="66">
        <f t="shared" ref="E1936" si="3967">plan_id</f>
        <v>1952</v>
      </c>
      <c r="F1936" s="66">
        <f t="shared" ca="1" si="3755"/>
        <v>2016</v>
      </c>
      <c r="G1936" s="66">
        <f t="shared" ref="G1936" ca="1" si="3968">VLOOKUP(INDIRECT(CHAR(39)&amp;$A1936&amp;CHAR(39)&amp;"!r2c"&amp;$C1936,0),variables,2,0)</f>
        <v>10977</v>
      </c>
      <c r="H1936" s="71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66" t="s">
        <v>1045</v>
      </c>
      <c r="B1937" s="66">
        <f t="shared" si="3871"/>
        <v>19</v>
      </c>
      <c r="C1937" s="66">
        <f t="shared" si="3884"/>
        <v>51</v>
      </c>
      <c r="E1937" s="66">
        <f t="shared" ref="E1937" si="3969">plan_id</f>
        <v>1952</v>
      </c>
      <c r="F1937" s="66">
        <f t="shared" ca="1" si="3755"/>
        <v>2016</v>
      </c>
      <c r="G1937" s="66">
        <f t="shared" ref="G1937" ca="1" si="3970">VLOOKUP(INDIRECT(CHAR(39)&amp;$A1937&amp;CHAR(39)&amp;"!r2c"&amp;$C1937,0),variables,2,0)</f>
        <v>10978</v>
      </c>
      <c r="H1937" s="71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7.0000000000000007E-2</v>
      </c>
    </row>
    <row r="1938" spans="1:8" x14ac:dyDescent="0.2">
      <c r="A1938" s="66" t="s">
        <v>1045</v>
      </c>
      <c r="B1938" s="66">
        <f t="shared" si="3871"/>
        <v>19</v>
      </c>
      <c r="C1938" s="66">
        <f t="shared" si="3884"/>
        <v>52</v>
      </c>
      <c r="E1938" s="66">
        <f t="shared" ref="E1938" si="3971">plan_id</f>
        <v>1952</v>
      </c>
      <c r="F1938" s="66">
        <f t="shared" ca="1" si="3755"/>
        <v>2016</v>
      </c>
      <c r="G1938" s="66">
        <f t="shared" ref="G1938" ca="1" si="3972">VLOOKUP(INDIRECT(CHAR(39)&amp;$A1938&amp;CHAR(39)&amp;"!r2c"&amp;$C1938,0),variables,2,0)</f>
        <v>10979</v>
      </c>
      <c r="H1938" s="71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2">
      <c r="A1939" s="66" t="s">
        <v>1045</v>
      </c>
      <c r="B1939" s="66">
        <f t="shared" si="3871"/>
        <v>19</v>
      </c>
      <c r="C1939" s="66">
        <f t="shared" si="3884"/>
        <v>53</v>
      </c>
      <c r="E1939" s="66">
        <f t="shared" ref="E1939" si="3973">plan_id</f>
        <v>1952</v>
      </c>
      <c r="F1939" s="66">
        <f t="shared" ca="1" si="3755"/>
        <v>2016</v>
      </c>
      <c r="G1939" s="66">
        <f t="shared" ref="G1939" ca="1" si="3974">VLOOKUP(INDIRECT(CHAR(39)&amp;$A1939&amp;CHAR(39)&amp;"!r2c"&amp;$C1939,0),variables,2,0)</f>
        <v>10980</v>
      </c>
      <c r="H1939" s="71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2">
      <c r="A1940" s="66" t="s">
        <v>1045</v>
      </c>
      <c r="B1940" s="66">
        <f t="shared" si="3871"/>
        <v>19</v>
      </c>
      <c r="C1940" s="66">
        <f t="shared" si="3884"/>
        <v>54</v>
      </c>
      <c r="E1940" s="66">
        <f t="shared" ref="E1940" si="3975">plan_id</f>
        <v>1952</v>
      </c>
      <c r="F1940" s="66">
        <f t="shared" ca="1" si="3755"/>
        <v>2016</v>
      </c>
      <c r="G1940" s="66">
        <f t="shared" ref="G1940" ca="1" si="3976">VLOOKUP(INDIRECT(CHAR(39)&amp;$A1940&amp;CHAR(39)&amp;"!r2c"&amp;$C1940,0),variables,2,0)</f>
        <v>10981</v>
      </c>
      <c r="H1940" s="71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2">
      <c r="A1941" s="66" t="s">
        <v>1045</v>
      </c>
      <c r="B1941" s="66">
        <f t="shared" si="3871"/>
        <v>19</v>
      </c>
      <c r="C1941" s="66">
        <f t="shared" si="3884"/>
        <v>55</v>
      </c>
      <c r="E1941" s="66">
        <f t="shared" ref="E1941" si="3977">plan_id</f>
        <v>1952</v>
      </c>
      <c r="F1941" s="66">
        <f t="shared" ca="1" si="3755"/>
        <v>2016</v>
      </c>
      <c r="G1941" s="66">
        <f t="shared" ref="G1941" ca="1" si="3978">VLOOKUP(INDIRECT(CHAR(39)&amp;$A1941&amp;CHAR(39)&amp;"!r2c"&amp;$C1941,0),variables,2,0)</f>
        <v>10706</v>
      </c>
      <c r="H1941" s="71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6.206789459931761E-4</v>
      </c>
    </row>
    <row r="1942" spans="1:8" x14ac:dyDescent="0.2">
      <c r="A1942" s="66" t="s">
        <v>1045</v>
      </c>
      <c r="B1942" s="66">
        <f t="shared" si="3871"/>
        <v>19</v>
      </c>
      <c r="C1942" s="66">
        <f t="shared" si="3884"/>
        <v>56</v>
      </c>
      <c r="E1942" s="66">
        <f t="shared" ref="E1942" si="3979">plan_id</f>
        <v>1952</v>
      </c>
      <c r="F1942" s="66">
        <f t="shared" ca="1" si="3755"/>
        <v>2016</v>
      </c>
      <c r="G1942" s="66">
        <f t="shared" ref="G1942" ca="1" si="3980">VLOOKUP(INDIRECT(CHAR(39)&amp;$A1942&amp;CHAR(39)&amp;"!r2c"&amp;$C1942,0),variables,2,0)</f>
        <v>10983</v>
      </c>
      <c r="H1942" s="71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66" t="s">
        <v>1045</v>
      </c>
      <c r="B1943" s="66">
        <f t="shared" si="3871"/>
        <v>19</v>
      </c>
      <c r="C1943" s="66">
        <f t="shared" si="3884"/>
        <v>57</v>
      </c>
      <c r="E1943" s="66">
        <f t="shared" ref="E1943" si="3981">plan_id</f>
        <v>1952</v>
      </c>
      <c r="F1943" s="66">
        <f t="shared" ca="1" si="3755"/>
        <v>2016</v>
      </c>
      <c r="G1943" s="66">
        <f t="shared" ref="G1943" ca="1" si="3982">VLOOKUP(INDIRECT(CHAR(39)&amp;$A1943&amp;CHAR(39)&amp;"!r2c"&amp;$C1943,0),variables,2,0)</f>
        <v>10989</v>
      </c>
      <c r="H1943" s="7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65203736000</v>
      </c>
    </row>
    <row r="1944" spans="1:8" x14ac:dyDescent="0.2">
      <c r="A1944" s="66" t="s">
        <v>1045</v>
      </c>
      <c r="B1944" s="66">
        <f t="shared" si="3871"/>
        <v>19</v>
      </c>
      <c r="C1944" s="66">
        <f t="shared" si="3884"/>
        <v>58</v>
      </c>
      <c r="E1944" s="66">
        <f t="shared" ref="E1944" si="3983">plan_id</f>
        <v>1952</v>
      </c>
      <c r="F1944" s="66">
        <f t="shared" ca="1" si="3755"/>
        <v>2016</v>
      </c>
      <c r="G1944" s="66">
        <f t="shared" ref="G1944" ca="1" si="3984">VLOOKUP(INDIRECT(CHAR(39)&amp;$A1944&amp;CHAR(39)&amp;"!r2c"&amp;$C1944,0),variables,2,0)</f>
        <v>10990</v>
      </c>
      <c r="H1944" s="7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87118992000</v>
      </c>
    </row>
    <row r="1945" spans="1:8" x14ac:dyDescent="0.2">
      <c r="A1945" s="66" t="s">
        <v>1045</v>
      </c>
      <c r="B1945" s="66">
        <f t="shared" si="3871"/>
        <v>19</v>
      </c>
      <c r="C1945" s="66">
        <f t="shared" si="3884"/>
        <v>59</v>
      </c>
      <c r="E1945" s="66">
        <f t="shared" ref="E1945" si="3985">plan_id</f>
        <v>1952</v>
      </c>
      <c r="F1945" s="66">
        <f t="shared" ca="1" si="3755"/>
        <v>2016</v>
      </c>
      <c r="G1945" s="66">
        <f t="shared" ref="G1945" ca="1" si="3986">VLOOKUP(INDIRECT(CHAR(39)&amp;$A1945&amp;CHAR(39)&amp;"!r2c"&amp;$C1945,0),variables,2,0)</f>
        <v>10991</v>
      </c>
      <c r="H1945" s="7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21915256000</v>
      </c>
    </row>
    <row r="1946" spans="1:8" x14ac:dyDescent="0.2">
      <c r="A1946" s="66" t="s">
        <v>1045</v>
      </c>
      <c r="B1946" s="66">
        <f t="shared" si="3871"/>
        <v>19</v>
      </c>
      <c r="C1946" s="66">
        <f t="shared" si="3884"/>
        <v>60</v>
      </c>
      <c r="E1946" s="66">
        <f t="shared" ref="E1946" si="3987">plan_id</f>
        <v>1952</v>
      </c>
      <c r="F1946" s="66">
        <f t="shared" ca="1" si="3755"/>
        <v>2016</v>
      </c>
      <c r="G1946" s="66">
        <f t="shared" ref="G1946" ca="1" si="3988">VLOOKUP(INDIRECT(CHAR(39)&amp;$A1946&amp;CHAR(39)&amp;"!r2c"&amp;$C1946,0),variables,2,0)</f>
        <v>10992</v>
      </c>
      <c r="H1946" s="71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</v>
      </c>
    </row>
    <row r="1947" spans="1:8" x14ac:dyDescent="0.2">
      <c r="A1947" s="66" t="s">
        <v>1045</v>
      </c>
      <c r="B1947" s="66">
        <f t="shared" si="3871"/>
        <v>19</v>
      </c>
      <c r="C1947" s="66">
        <f t="shared" si="3884"/>
        <v>61</v>
      </c>
      <c r="E1947" s="66">
        <f t="shared" ref="E1947" si="3989">plan_id</f>
        <v>1952</v>
      </c>
      <c r="F1947" s="66">
        <f t="shared" ca="1" si="3755"/>
        <v>2016</v>
      </c>
      <c r="G1947" s="66">
        <f t="shared" ref="G1947" ca="1" si="3990">VLOOKUP(INDIRECT(CHAR(39)&amp;$A1947&amp;CHAR(39)&amp;"!r2c"&amp;$C1947,0),variables,2,0)</f>
        <v>10993</v>
      </c>
      <c r="H1947" s="71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16325998000</v>
      </c>
    </row>
    <row r="1948" spans="1:8" x14ac:dyDescent="0.2">
      <c r="A1948" s="66" t="s">
        <v>1045</v>
      </c>
      <c r="B1948" s="66">
        <f t="shared" si="3871"/>
        <v>19</v>
      </c>
      <c r="C1948" s="66">
        <f t="shared" si="3884"/>
        <v>62</v>
      </c>
      <c r="E1948" s="66">
        <f t="shared" ref="E1948" si="3991">plan_id</f>
        <v>1952</v>
      </c>
      <c r="F1948" s="66">
        <f t="shared" ca="1" si="3755"/>
        <v>2016</v>
      </c>
      <c r="G1948" s="66">
        <f t="shared" ref="G1948" ca="1" si="3992">VLOOKUP(INDIRECT(CHAR(39)&amp;$A1948&amp;CHAR(39)&amp;"!r2c"&amp;$C1948,0),variables,2,0)</f>
        <v>10801</v>
      </c>
      <c r="H1948" s="71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18599999.999999996</v>
      </c>
    </row>
    <row r="1949" spans="1:8" x14ac:dyDescent="0.2">
      <c r="A1949" s="66" t="s">
        <v>1045</v>
      </c>
      <c r="B1949" s="66">
        <f t="shared" si="3871"/>
        <v>19</v>
      </c>
      <c r="C1949" s="66">
        <f t="shared" si="3884"/>
        <v>63</v>
      </c>
      <c r="E1949" s="66">
        <f t="shared" ref="E1949" si="3993">plan_id</f>
        <v>1952</v>
      </c>
      <c r="F1949" s="66">
        <f t="shared" ca="1" si="3755"/>
        <v>2016</v>
      </c>
      <c r="G1949" s="66">
        <f t="shared" ref="G1949" ca="1" si="3994">VLOOKUP(INDIRECT(CHAR(39)&amp;$A1949&amp;CHAR(39)&amp;"!r2c"&amp;$C1949,0),variables,2,0)</f>
        <v>10802</v>
      </c>
      <c r="H1949" s="7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-45300000.000000007</v>
      </c>
    </row>
    <row r="1950" spans="1:8" x14ac:dyDescent="0.2">
      <c r="A1950" s="66" t="s">
        <v>1045</v>
      </c>
      <c r="B1950" s="66">
        <f t="shared" si="3871"/>
        <v>19</v>
      </c>
      <c r="C1950" s="66">
        <f t="shared" si="3884"/>
        <v>64</v>
      </c>
      <c r="E1950" s="66">
        <f t="shared" ref="E1950" si="3995">plan_id</f>
        <v>1952</v>
      </c>
      <c r="F1950" s="66">
        <f t="shared" ca="1" si="3755"/>
        <v>2016</v>
      </c>
      <c r="G1950" s="66">
        <f t="shared" ref="G1950" ca="1" si="3996">VLOOKUP(INDIRECT(CHAR(39)&amp;$A1950&amp;CHAR(39)&amp;"!r2c"&amp;$C1950,0),variables,2,0)</f>
        <v>10803</v>
      </c>
      <c r="H1950" s="71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66" t="s">
        <v>1045</v>
      </c>
      <c r="B1951" s="66">
        <f t="shared" si="3871"/>
        <v>19</v>
      </c>
      <c r="C1951" s="66">
        <f t="shared" si="3884"/>
        <v>65</v>
      </c>
      <c r="E1951" s="66">
        <f t="shared" ref="E1951" si="3997">plan_id</f>
        <v>1952</v>
      </c>
      <c r="F1951" s="66">
        <f t="shared" ca="1" si="3755"/>
        <v>2016</v>
      </c>
      <c r="G1951" s="66">
        <f t="shared" ref="G1951" ca="1" si="3998">VLOOKUP(INDIRECT(CHAR(39)&amp;$A1951&amp;CHAR(39)&amp;"!r2c"&amp;$C1951,0),variables,2,0)</f>
        <v>10804</v>
      </c>
      <c r="H1951" s="7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66" t="s">
        <v>1045</v>
      </c>
      <c r="B1952" s="66">
        <f t="shared" si="3871"/>
        <v>19</v>
      </c>
      <c r="C1952" s="66">
        <f t="shared" si="3884"/>
        <v>66</v>
      </c>
      <c r="E1952" s="66">
        <f t="shared" ref="E1952" si="3999">plan_id</f>
        <v>1952</v>
      </c>
      <c r="F1952" s="66">
        <f t="shared" ca="1" si="3755"/>
        <v>2016</v>
      </c>
      <c r="G1952" s="66">
        <f t="shared" ref="G1952" ca="1" si="4000">VLOOKUP(INDIRECT(CHAR(39)&amp;$A1952&amp;CHAR(39)&amp;"!r2c"&amp;$C1952,0),variables,2,0)</f>
        <v>10805</v>
      </c>
      <c r="H1952" s="7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66" t="s">
        <v>1045</v>
      </c>
      <c r="B1953" s="66">
        <f t="shared" ref="B1953" si="4001">B1888+1</f>
        <v>19</v>
      </c>
      <c r="C1953" s="66">
        <f t="shared" si="3884"/>
        <v>67</v>
      </c>
      <c r="E1953" s="66">
        <f t="shared" ref="E1953" si="4002">plan_id</f>
        <v>1952</v>
      </c>
      <c r="F1953" s="66">
        <f t="shared" ca="1" si="3755"/>
        <v>2016</v>
      </c>
      <c r="G1953" s="66">
        <f t="shared" ref="G1953" ca="1" si="4003">VLOOKUP(INDIRECT(CHAR(39)&amp;$A1953&amp;CHAR(39)&amp;"!r2c"&amp;$C1953,0),variables,2,0)</f>
        <v>10806</v>
      </c>
      <c r="H1953" s="7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-1599999.9999999998</v>
      </c>
    </row>
    <row r="1954" spans="1:8" x14ac:dyDescent="0.2">
      <c r="A1954" s="66" t="s">
        <v>1045</v>
      </c>
      <c r="B1954" s="66">
        <f>B1953</f>
        <v>19</v>
      </c>
      <c r="C1954" s="66">
        <f t="shared" si="3884"/>
        <v>68</v>
      </c>
      <c r="E1954" s="66">
        <f t="shared" ref="E1954" si="4004">plan_id</f>
        <v>1952</v>
      </c>
      <c r="F1954" s="66">
        <f t="shared" ca="1" si="3755"/>
        <v>2016</v>
      </c>
      <c r="G1954" s="66">
        <f t="shared" ref="G1954" ca="1" si="4005">VLOOKUP(INDIRECT(CHAR(39)&amp;$A1954&amp;CHAR(39)&amp;"!r2c"&amp;$C1954,0),variables,2,0)</f>
        <v>10807</v>
      </c>
      <c r="H1954" s="7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66" t="s">
        <v>1045</v>
      </c>
      <c r="B1955" s="66">
        <f t="shared" ref="B1955:B1979" si="4006">B1954</f>
        <v>19</v>
      </c>
      <c r="C1955" s="66">
        <f t="shared" si="3884"/>
        <v>69</v>
      </c>
      <c r="E1955" s="66">
        <f t="shared" ref="E1955" si="4007">plan_id</f>
        <v>1952</v>
      </c>
      <c r="F1955" s="66">
        <f t="shared" ca="1" si="3755"/>
        <v>2016</v>
      </c>
      <c r="G1955" s="66">
        <f t="shared" ref="G1955" ca="1" si="4008">VLOOKUP(INDIRECT(CHAR(39)&amp;$A1955&amp;CHAR(39)&amp;"!r2c"&amp;$C1955,0),variables,2,0)</f>
        <v>10808</v>
      </c>
      <c r="H1955" s="7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66" t="s">
        <v>1045</v>
      </c>
      <c r="B1956" s="66">
        <f t="shared" si="4006"/>
        <v>19</v>
      </c>
      <c r="C1956" s="66">
        <f t="shared" si="3884"/>
        <v>70</v>
      </c>
      <c r="E1956" s="66">
        <f t="shared" ref="E1956" si="4009">plan_id</f>
        <v>1952</v>
      </c>
      <c r="F1956" s="66">
        <f t="shared" ca="1" si="3755"/>
        <v>2016</v>
      </c>
      <c r="G1956" s="66">
        <f t="shared" ref="G1956" ca="1" si="4010">VLOOKUP(INDIRECT(CHAR(39)&amp;$A1956&amp;CHAR(39)&amp;"!r2c"&amp;$C1956,0),variables,2,0)</f>
        <v>10809</v>
      </c>
      <c r="H1956" s="7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66" t="s">
        <v>1045</v>
      </c>
      <c r="B1957" s="66">
        <f t="shared" si="4006"/>
        <v>19</v>
      </c>
      <c r="C1957" s="66">
        <f t="shared" si="3884"/>
        <v>71</v>
      </c>
      <c r="E1957" s="66">
        <f t="shared" ref="E1957" si="4011">plan_id</f>
        <v>1952</v>
      </c>
      <c r="F1957" s="66">
        <f t="shared" ca="1" si="3755"/>
        <v>2016</v>
      </c>
      <c r="G1957" s="66">
        <f t="shared" ref="G1957" ca="1" si="4012">VLOOKUP(INDIRECT(CHAR(39)&amp;$A1957&amp;CHAR(39)&amp;"!r2c"&amp;$C1957,0),variables,2,0)</f>
        <v>10810</v>
      </c>
      <c r="H1957" s="71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35300000</v>
      </c>
    </row>
    <row r="1958" spans="1:8" x14ac:dyDescent="0.2">
      <c r="A1958" s="66" t="s">
        <v>1045</v>
      </c>
      <c r="B1958" s="66">
        <f t="shared" si="4006"/>
        <v>19</v>
      </c>
      <c r="C1958" s="66">
        <f t="shared" si="3884"/>
        <v>72</v>
      </c>
      <c r="E1958" s="66">
        <f t="shared" ref="E1958" si="4013">plan_id</f>
        <v>1952</v>
      </c>
      <c r="F1958" s="66">
        <f t="shared" ca="1" si="3755"/>
        <v>2016</v>
      </c>
      <c r="G1958" s="66">
        <f t="shared" ref="G1958" ca="1" si="4014">VLOOKUP(INDIRECT(CHAR(39)&amp;$A1958&amp;CHAR(39)&amp;"!r2c"&amp;$C1958,0),variables,2,0)</f>
        <v>10811</v>
      </c>
      <c r="H1958" s="7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66" t="s">
        <v>1045</v>
      </c>
      <c r="B1959" s="66">
        <f t="shared" si="4006"/>
        <v>19</v>
      </c>
      <c r="C1959" s="66">
        <f t="shared" ref="C1959:C2022" si="4015">C1868</f>
        <v>73</v>
      </c>
      <c r="E1959" s="66">
        <f t="shared" ref="E1959" si="4016">plan_id</f>
        <v>1952</v>
      </c>
      <c r="F1959" s="66">
        <f t="shared" ca="1" si="3755"/>
        <v>2016</v>
      </c>
      <c r="G1959" s="66">
        <f t="shared" ref="G1959" ca="1" si="4017">VLOOKUP(INDIRECT(CHAR(39)&amp;$A1959&amp;CHAR(39)&amp;"!r2c"&amp;$C1959,0),variables,2,0)</f>
        <v>10812</v>
      </c>
      <c r="H1959" s="7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66" t="s">
        <v>1045</v>
      </c>
      <c r="B1960" s="66">
        <f t="shared" si="4006"/>
        <v>19</v>
      </c>
      <c r="C1960" s="66">
        <f t="shared" si="4015"/>
        <v>74</v>
      </c>
      <c r="E1960" s="66">
        <f t="shared" ref="E1960" si="4018">plan_id</f>
        <v>1952</v>
      </c>
      <c r="F1960" s="66">
        <f t="shared" ca="1" si="3755"/>
        <v>2016</v>
      </c>
      <c r="G1960" s="66">
        <f t="shared" ref="G1960" ca="1" si="4019">VLOOKUP(INDIRECT(CHAR(39)&amp;$A1960&amp;CHAR(39)&amp;"!r2c"&amp;$C1960,0),variables,2,0)</f>
        <v>10813</v>
      </c>
      <c r="H1960" s="71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66" t="s">
        <v>1045</v>
      </c>
      <c r="B1961" s="66">
        <f t="shared" si="4006"/>
        <v>19</v>
      </c>
      <c r="C1961" s="66">
        <f t="shared" si="4015"/>
        <v>75</v>
      </c>
      <c r="E1961" s="66">
        <f t="shared" ref="E1961" si="4020">plan_id</f>
        <v>1952</v>
      </c>
      <c r="F1961" s="66">
        <f t="shared" ca="1" si="3755"/>
        <v>2016</v>
      </c>
      <c r="G1961" s="66">
        <f t="shared" ref="G1961" ca="1" si="4021">VLOOKUP(INDIRECT(CHAR(39)&amp;$A1961&amp;CHAR(39)&amp;"!r2c"&amp;$C1961,0),variables,2,0)</f>
        <v>10814</v>
      </c>
      <c r="H1961" s="71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-27799999.999999996</v>
      </c>
    </row>
    <row r="1962" spans="1:8" x14ac:dyDescent="0.2">
      <c r="A1962" s="66" t="s">
        <v>1045</v>
      </c>
      <c r="B1962" s="66">
        <f t="shared" si="4006"/>
        <v>19</v>
      </c>
      <c r="C1962" s="66">
        <f t="shared" si="4015"/>
        <v>76</v>
      </c>
      <c r="E1962" s="66">
        <f t="shared" ref="E1962" si="4022">plan_id</f>
        <v>1952</v>
      </c>
      <c r="F1962" s="66">
        <f t="shared" ca="1" si="3755"/>
        <v>2016</v>
      </c>
      <c r="G1962" s="66">
        <f t="shared" ref="G1962" ca="1" si="4023">VLOOKUP(INDIRECT(CHAR(39)&amp;$A1962&amp;CHAR(39)&amp;"!r2c"&amp;$C1962,0),variables,2,0)</f>
        <v>10815</v>
      </c>
      <c r="H1962" s="71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156200000.00000003</v>
      </c>
    </row>
    <row r="1963" spans="1:8" x14ac:dyDescent="0.2">
      <c r="A1963" s="66" t="s">
        <v>1045</v>
      </c>
      <c r="B1963" s="66">
        <f t="shared" si="4006"/>
        <v>19</v>
      </c>
      <c r="C1963" s="66">
        <f t="shared" si="4015"/>
        <v>77</v>
      </c>
      <c r="E1963" s="66">
        <f t="shared" ref="E1963" si="4024">plan_id</f>
        <v>1952</v>
      </c>
      <c r="F1963" s="66">
        <f t="shared" ca="1" si="3755"/>
        <v>2016</v>
      </c>
      <c r="G1963" s="66">
        <f t="shared" ref="G1963" ca="1" si="4025">VLOOKUP(INDIRECT(CHAR(39)&amp;$A1963&amp;CHAR(39)&amp;"!r2c"&amp;$C1963,0),variables,2,0)</f>
        <v>10816</v>
      </c>
      <c r="H1963" s="7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-55900000.000000007</v>
      </c>
    </row>
    <row r="1964" spans="1:8" x14ac:dyDescent="0.2">
      <c r="A1964" s="66" t="s">
        <v>1045</v>
      </c>
      <c r="B1964" s="66">
        <f t="shared" si="4006"/>
        <v>19</v>
      </c>
      <c r="C1964" s="66">
        <f t="shared" si="4015"/>
        <v>78</v>
      </c>
      <c r="E1964" s="66">
        <f t="shared" ref="E1964" si="4026">plan_id</f>
        <v>1952</v>
      </c>
      <c r="F1964" s="66">
        <f t="shared" ca="1" si="3755"/>
        <v>2016</v>
      </c>
      <c r="G1964" s="66">
        <f t="shared" ref="G1964" ca="1" si="4027">VLOOKUP(INDIRECT(CHAR(39)&amp;$A1964&amp;CHAR(39)&amp;"!r2c"&amp;$C1964,0),variables,2,0)</f>
        <v>10817</v>
      </c>
      <c r="H1964" s="7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66" t="s">
        <v>1045</v>
      </c>
      <c r="B1965" s="66">
        <f t="shared" si="4006"/>
        <v>19</v>
      </c>
      <c r="C1965" s="66">
        <f t="shared" si="4015"/>
        <v>79</v>
      </c>
      <c r="E1965" s="66">
        <f t="shared" ref="E1965" si="4028">plan_id</f>
        <v>1952</v>
      </c>
      <c r="F1965" s="66">
        <f t="shared" ca="1" si="3755"/>
        <v>2016</v>
      </c>
      <c r="G1965" s="66">
        <f t="shared" ref="G1965" ca="1" si="4029">VLOOKUP(INDIRECT(CHAR(39)&amp;$A1965&amp;CHAR(39)&amp;"!r2c"&amp;$C1965,0),variables,2,0)</f>
        <v>10818</v>
      </c>
      <c r="H1965" s="71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37100000</v>
      </c>
    </row>
    <row r="1966" spans="1:8" x14ac:dyDescent="0.2">
      <c r="A1966" s="66" t="s">
        <v>1045</v>
      </c>
      <c r="B1966" s="66">
        <f t="shared" si="4006"/>
        <v>19</v>
      </c>
      <c r="C1966" s="66">
        <f t="shared" si="4015"/>
        <v>80</v>
      </c>
      <c r="E1966" s="66">
        <f t="shared" ref="E1966" si="4030">plan_id</f>
        <v>1952</v>
      </c>
      <c r="F1966" s="66">
        <f t="shared" ca="1" si="3755"/>
        <v>2016</v>
      </c>
      <c r="G1966" s="66">
        <f t="shared" ref="G1966" ca="1" si="4031">VLOOKUP(INDIRECT(CHAR(39)&amp;$A1966&amp;CHAR(39)&amp;"!r2c"&amp;$C1966,0),variables,2,0)</f>
        <v>10819</v>
      </c>
      <c r="H1966" s="71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66" t="s">
        <v>1045</v>
      </c>
      <c r="B1967" s="66">
        <f t="shared" si="4006"/>
        <v>19</v>
      </c>
      <c r="C1967" s="66">
        <f t="shared" si="4015"/>
        <v>81</v>
      </c>
      <c r="E1967" s="66">
        <f t="shared" ref="E1967" si="4032">plan_id</f>
        <v>1952</v>
      </c>
      <c r="F1967" s="66">
        <f t="shared" ca="1" si="3755"/>
        <v>2016</v>
      </c>
      <c r="G1967" s="66">
        <f t="shared" ref="G1967" ca="1" si="4033">VLOOKUP(INDIRECT(CHAR(39)&amp;$A1967&amp;CHAR(39)&amp;"!r2c"&amp;$C1967,0),variables,2,0)</f>
        <v>10820</v>
      </c>
      <c r="H1967" s="71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37300000</v>
      </c>
    </row>
    <row r="1968" spans="1:8" x14ac:dyDescent="0.2">
      <c r="A1968" s="66" t="s">
        <v>1045</v>
      </c>
      <c r="B1968" s="66">
        <f t="shared" si="4006"/>
        <v>19</v>
      </c>
      <c r="C1968" s="66">
        <f t="shared" si="4015"/>
        <v>82</v>
      </c>
      <c r="E1968" s="66">
        <f t="shared" ref="E1968" si="4034">plan_id</f>
        <v>1952</v>
      </c>
      <c r="F1968" s="66">
        <f t="shared" ca="1" si="3755"/>
        <v>2016</v>
      </c>
      <c r="G1968" s="66">
        <f t="shared" ref="G1968" ca="1" si="4035">VLOOKUP(INDIRECT(CHAR(39)&amp;$A1968&amp;CHAR(39)&amp;"!r2c"&amp;$C1968,0),variables,2,0)</f>
        <v>10821</v>
      </c>
      <c r="H1968" s="71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66" t="s">
        <v>1045</v>
      </c>
      <c r="B1969" s="66">
        <f t="shared" si="4006"/>
        <v>19</v>
      </c>
      <c r="C1969" s="66">
        <f t="shared" si="4015"/>
        <v>83</v>
      </c>
      <c r="E1969" s="66">
        <f t="shared" ref="E1969" si="4036">plan_id</f>
        <v>1952</v>
      </c>
      <c r="F1969" s="66">
        <f t="shared" ca="1" si="3755"/>
        <v>2016</v>
      </c>
      <c r="G1969" s="66">
        <f t="shared" ref="G1969" ca="1" si="4037">VLOOKUP(INDIRECT(CHAR(39)&amp;$A1969&amp;CHAR(39)&amp;"!r2c"&amp;$C1969,0),variables,2,0)</f>
        <v>10822</v>
      </c>
      <c r="H1969" s="71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66" t="s">
        <v>1045</v>
      </c>
      <c r="B1970" s="66">
        <f t="shared" si="4006"/>
        <v>19</v>
      </c>
      <c r="C1970" s="66">
        <f t="shared" si="4015"/>
        <v>84</v>
      </c>
      <c r="E1970" s="66">
        <f t="shared" ref="E1970" si="4038">plan_id</f>
        <v>1952</v>
      </c>
      <c r="F1970" s="66">
        <f t="shared" ca="1" si="3755"/>
        <v>2016</v>
      </c>
      <c r="G1970" s="66">
        <f t="shared" ref="G1970" ca="1" si="4039">VLOOKUP(INDIRECT(CHAR(39)&amp;$A1970&amp;CHAR(39)&amp;"!r2c"&amp;$C1970,0),variables,2,0)</f>
        <v>10829</v>
      </c>
      <c r="H1970" s="71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1620521000</v>
      </c>
    </row>
    <row r="1971" spans="1:8" x14ac:dyDescent="0.2">
      <c r="A1971" s="66" t="s">
        <v>1045</v>
      </c>
      <c r="B1971" s="66">
        <f t="shared" si="4006"/>
        <v>19</v>
      </c>
      <c r="C1971" s="66">
        <f t="shared" si="4015"/>
        <v>85</v>
      </c>
      <c r="E1971" s="66">
        <f t="shared" ref="E1971" si="4040">plan_id</f>
        <v>1952</v>
      </c>
      <c r="F1971" s="66">
        <f t="shared" ca="1" si="3755"/>
        <v>2016</v>
      </c>
      <c r="G1971" s="66">
        <f t="shared" ref="G1971" ca="1" si="4041">VLOOKUP(INDIRECT(CHAR(39)&amp;$A1971&amp;CHAR(39)&amp;"!r2c"&amp;$C1971,0),variables,2,0)</f>
        <v>10823</v>
      </c>
      <c r="H1971" s="71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-712285000</v>
      </c>
    </row>
    <row r="1972" spans="1:8" x14ac:dyDescent="0.2">
      <c r="A1972" s="66" t="s">
        <v>1045</v>
      </c>
      <c r="B1972" s="66">
        <f t="shared" si="4006"/>
        <v>19</v>
      </c>
      <c r="C1972" s="66">
        <f t="shared" si="4015"/>
        <v>86</v>
      </c>
      <c r="E1972" s="66">
        <f t="shared" ref="E1972" si="4042">plan_id</f>
        <v>1952</v>
      </c>
      <c r="F1972" s="66">
        <f t="shared" ca="1" si="3755"/>
        <v>2016</v>
      </c>
      <c r="G1972" s="66">
        <f t="shared" ref="G1972" ca="1" si="4043">VLOOKUP(INDIRECT(CHAR(39)&amp;$A1972&amp;CHAR(39)&amp;"!r2c"&amp;$C1972,0),variables,2,0)</f>
        <v>10798</v>
      </c>
      <c r="H1972" s="71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9400000.0000000019</v>
      </c>
    </row>
    <row r="1973" spans="1:8" x14ac:dyDescent="0.2">
      <c r="A1973" s="66" t="s">
        <v>1045</v>
      </c>
      <c r="B1973" s="66">
        <f t="shared" si="4006"/>
        <v>19</v>
      </c>
      <c r="C1973" s="66">
        <f t="shared" si="4015"/>
        <v>87</v>
      </c>
      <c r="E1973" s="66">
        <f t="shared" ref="E1973" si="4044">plan_id</f>
        <v>1952</v>
      </c>
      <c r="F1973" s="66">
        <f t="shared" ca="1" si="3755"/>
        <v>2016</v>
      </c>
      <c r="G1973" s="66">
        <f t="shared" ref="G1973" ca="1" si="4045">VLOOKUP(INDIRECT(CHAR(39)&amp;$A1973&amp;CHAR(39)&amp;"!r2c"&amp;$C1973,0),variables,2,0)</f>
        <v>10799</v>
      </c>
      <c r="H1973" s="7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-1016700000</v>
      </c>
    </row>
    <row r="1974" spans="1:8" x14ac:dyDescent="0.2">
      <c r="A1974" s="66" t="s">
        <v>1045</v>
      </c>
      <c r="B1974" s="66">
        <f t="shared" si="4006"/>
        <v>19</v>
      </c>
      <c r="C1974" s="66">
        <f t="shared" si="4015"/>
        <v>88</v>
      </c>
      <c r="E1974" s="66">
        <f t="shared" ref="E1974" si="4046">plan_id</f>
        <v>1952</v>
      </c>
      <c r="F1974" s="66">
        <f t="shared" ca="1" si="3755"/>
        <v>2016</v>
      </c>
      <c r="G1974" s="66">
        <f t="shared" ref="G1974" ca="1" si="4047">VLOOKUP(INDIRECT(CHAR(39)&amp;$A1974&amp;CHAR(39)&amp;"!r2c"&amp;$C1974,0),variables,2,0)</f>
        <v>10800</v>
      </c>
      <c r="H1974" s="7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66" t="s">
        <v>1045</v>
      </c>
      <c r="B1975" s="66">
        <f t="shared" si="4006"/>
        <v>19</v>
      </c>
      <c r="C1975" s="66">
        <f t="shared" si="4015"/>
        <v>89</v>
      </c>
      <c r="E1975" s="66">
        <f t="shared" ref="E1975" si="4048">plan_id</f>
        <v>1952</v>
      </c>
      <c r="F1975" s="66">
        <f t="shared" ca="1" si="3755"/>
        <v>2016</v>
      </c>
      <c r="G1975" s="66">
        <f t="shared" ref="G1975" ca="1" si="4049">VLOOKUP(INDIRECT(CHAR(39)&amp;$A1975&amp;CHAR(39)&amp;"!r2c"&amp;$C1975,0),variables,2,0)</f>
        <v>10824</v>
      </c>
      <c r="H1975" s="7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66" t="s">
        <v>1045</v>
      </c>
      <c r="B1976" s="66">
        <f t="shared" si="4006"/>
        <v>19</v>
      </c>
      <c r="C1976" s="66">
        <f t="shared" si="4015"/>
        <v>90</v>
      </c>
      <c r="E1976" s="66">
        <f t="shared" ref="E1976" si="4050">plan_id</f>
        <v>1952</v>
      </c>
      <c r="F1976" s="66">
        <f t="shared" ca="1" si="3755"/>
        <v>2016</v>
      </c>
      <c r="G1976" s="66">
        <f t="shared" ref="G1976" ca="1" si="4051">VLOOKUP(INDIRECT(CHAR(39)&amp;$A1976&amp;CHAR(39)&amp;"!r2c"&amp;$C1976,0),variables,2,0)</f>
        <v>10825</v>
      </c>
      <c r="H1976" s="7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32900000</v>
      </c>
    </row>
    <row r="1977" spans="1:8" x14ac:dyDescent="0.2">
      <c r="A1977" s="66" t="s">
        <v>1045</v>
      </c>
      <c r="B1977" s="66">
        <f t="shared" si="4006"/>
        <v>19</v>
      </c>
      <c r="C1977" s="66">
        <f t="shared" si="4015"/>
        <v>91</v>
      </c>
      <c r="E1977" s="66">
        <f t="shared" ref="E1977" si="4052">plan_id</f>
        <v>1952</v>
      </c>
      <c r="F1977" s="66">
        <f t="shared" ca="1" si="3755"/>
        <v>2016</v>
      </c>
      <c r="G1977" s="66">
        <f t="shared" ref="G1977" ca="1" si="4053">VLOOKUP(INDIRECT(CHAR(39)&amp;$A1977&amp;CHAR(39)&amp;"!r2c"&amp;$C1977,0),variables,2,0)</f>
        <v>10826</v>
      </c>
      <c r="H1977" s="71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1588823000</v>
      </c>
    </row>
    <row r="1978" spans="1:8" x14ac:dyDescent="0.2">
      <c r="A1978" s="66" t="s">
        <v>1045</v>
      </c>
      <c r="B1978" s="66">
        <f t="shared" si="4006"/>
        <v>19</v>
      </c>
      <c r="C1978" s="66">
        <f t="shared" si="4015"/>
        <v>92</v>
      </c>
      <c r="E1978" s="66">
        <f t="shared" ref="E1978" si="4054">plan_id</f>
        <v>1952</v>
      </c>
      <c r="F1978" s="66">
        <f t="shared" ca="1" si="3755"/>
        <v>2016</v>
      </c>
      <c r="G1978" s="66">
        <f t="shared" ref="G1978" ca="1" si="4055">VLOOKUP(INDIRECT(CHAR(39)&amp;$A1978&amp;CHAR(39)&amp;"!r2c"&amp;$C1978,0),variables,2,0)</f>
        <v>10828</v>
      </c>
      <c r="H1978" s="71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66" t="s">
        <v>1045</v>
      </c>
      <c r="B1979" s="66">
        <f t="shared" si="4006"/>
        <v>19</v>
      </c>
      <c r="C1979" s="66">
        <f t="shared" si="4015"/>
        <v>93</v>
      </c>
      <c r="E1979" s="66">
        <f t="shared" ref="E1979" si="4056">plan_id</f>
        <v>1952</v>
      </c>
      <c r="F1979" s="66">
        <f t="shared" ca="1" si="3755"/>
        <v>2016</v>
      </c>
      <c r="G1979" s="66">
        <f t="shared" ref="G1979" ca="1" si="4057">VLOOKUP(INDIRECT(CHAR(39)&amp;$A1979&amp;CHAR(39)&amp;"!r2c"&amp;$C1979,0),variables,2,0)</f>
        <v>10827</v>
      </c>
      <c r="H1979" s="71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-9599999.9999999944</v>
      </c>
    </row>
    <row r="1980" spans="1:8" x14ac:dyDescent="0.2">
      <c r="A1980" s="66" t="s">
        <v>1045</v>
      </c>
      <c r="B1980" s="66">
        <f t="shared" ref="B1980:B2043" si="4058">B1915+1</f>
        <v>20</v>
      </c>
      <c r="C1980" s="66">
        <f t="shared" si="4015"/>
        <v>3</v>
      </c>
      <c r="E1980" s="66">
        <f t="shared" ref="E1980" si="4059">plan_id</f>
        <v>1952</v>
      </c>
      <c r="F1980" s="66">
        <f t="shared" ca="1" si="3755"/>
        <v>2017</v>
      </c>
      <c r="G1980" s="66">
        <f t="shared" ref="G1980" ca="1" si="4060">VLOOKUP(INDIRECT(CHAR(39)&amp;$A1980&amp;CHAR(39)&amp;"!r2c"&amp;$C1980,0),variables,2,0)</f>
        <v>10703</v>
      </c>
      <c r="H1980" s="71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 &amp; 2020</v>
      </c>
    </row>
    <row r="1981" spans="1:8" x14ac:dyDescent="0.2">
      <c r="A1981" s="66" t="s">
        <v>1045</v>
      </c>
      <c r="B1981" s="66">
        <f t="shared" si="4058"/>
        <v>20</v>
      </c>
      <c r="C1981" s="66">
        <f t="shared" si="4015"/>
        <v>4</v>
      </c>
      <c r="E1981" s="66">
        <f t="shared" ref="E1981" si="4061">plan_id</f>
        <v>1952</v>
      </c>
      <c r="F1981" s="66">
        <f t="shared" ca="1" si="3755"/>
        <v>2017</v>
      </c>
      <c r="G1981" s="66">
        <f t="shared" ref="G1981" ca="1" si="4062">VLOOKUP(INDIRECT(CHAR(39)&amp;$A1981&amp;CHAR(39)&amp;"!r2c"&amp;$C1981,0),variables,2,0)</f>
        <v>10845</v>
      </c>
      <c r="H1981" s="71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,LLC</v>
      </c>
    </row>
    <row r="1982" spans="1:8" x14ac:dyDescent="0.2">
      <c r="A1982" s="66" t="s">
        <v>1045</v>
      </c>
      <c r="B1982" s="66">
        <f t="shared" si="4058"/>
        <v>20</v>
      </c>
      <c r="C1982" s="66">
        <f t="shared" si="4015"/>
        <v>5</v>
      </c>
      <c r="E1982" s="66">
        <f t="shared" ref="E1982" si="4063">plan_id</f>
        <v>1952</v>
      </c>
      <c r="F1982" s="66">
        <f t="shared" ca="1" si="3755"/>
        <v>2017</v>
      </c>
      <c r="G1982" s="66">
        <f t="shared" ref="G1982" ca="1" si="4064">VLOOKUP(INDIRECT(CHAR(39)&amp;$A1982&amp;CHAR(39)&amp;"!r2c"&amp;$C1982,0),variables,2,0)</f>
        <v>10924</v>
      </c>
      <c r="H1982" s="71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(i)9.58%; (ii)10.97%</v>
      </c>
    </row>
    <row r="1983" spans="1:8" x14ac:dyDescent="0.2">
      <c r="A1983" s="66" t="s">
        <v>1045</v>
      </c>
      <c r="B1983" s="66">
        <f t="shared" si="4058"/>
        <v>20</v>
      </c>
      <c r="C1983" s="66">
        <f t="shared" si="4015"/>
        <v>6</v>
      </c>
      <c r="E1983" s="66">
        <f t="shared" ref="E1983" si="4065">plan_id</f>
        <v>1952</v>
      </c>
      <c r="F1983" s="66">
        <f t="shared" ca="1" si="3755"/>
        <v>2017</v>
      </c>
      <c r="G1983" s="66">
        <f t="shared" ref="G1983" ca="1" si="4066">VLOOKUP(INDIRECT(CHAR(39)&amp;$A1983&amp;CHAR(39)&amp;"!r2c"&amp;$C1983,0),variables,2,0)</f>
        <v>10925</v>
      </c>
      <c r="H1983" s="71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(i)4.9%; (ii)6.22%</v>
      </c>
    </row>
    <row r="1984" spans="1:8" x14ac:dyDescent="0.2">
      <c r="A1984" s="66" t="s">
        <v>1045</v>
      </c>
      <c r="B1984" s="66">
        <f t="shared" si="4058"/>
        <v>20</v>
      </c>
      <c r="C1984" s="66">
        <f t="shared" si="4015"/>
        <v>7</v>
      </c>
      <c r="E1984" s="66">
        <f t="shared" ref="E1984" si="4067">plan_id</f>
        <v>1952</v>
      </c>
      <c r="F1984" s="66">
        <f t="shared" ca="1" si="3755"/>
        <v>2017</v>
      </c>
      <c r="G1984" s="66">
        <f t="shared" ref="G1984" ca="1" si="4068">VLOOKUP(INDIRECT(CHAR(39)&amp;$A1984&amp;CHAR(39)&amp;"!r2c"&amp;$C1984,0),variables,2,0)</f>
        <v>10926</v>
      </c>
      <c r="H1984" s="71" t="str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(i)4.68%; (ii)4.75%</v>
      </c>
    </row>
    <row r="1985" spans="1:8" x14ac:dyDescent="0.2">
      <c r="A1985" s="66" t="s">
        <v>1045</v>
      </c>
      <c r="B1985" s="66">
        <f t="shared" si="4058"/>
        <v>20</v>
      </c>
      <c r="C1985" s="66">
        <f t="shared" si="4015"/>
        <v>8</v>
      </c>
      <c r="E1985" s="66">
        <f t="shared" ref="E1985" si="4069">plan_id</f>
        <v>1952</v>
      </c>
      <c r="F1985" s="66">
        <f t="shared" ca="1" si="3755"/>
        <v>2017</v>
      </c>
      <c r="G1985" s="66">
        <f t="shared" ref="G1985" ca="1" si="4070">VLOOKUP(INDIRECT(CHAR(39)&amp;$A1985&amp;CHAR(39)&amp;"!r2c"&amp;$C1985,0),variables,2,0)</f>
        <v>10704</v>
      </c>
      <c r="H1985" s="71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1053800543</v>
      </c>
    </row>
    <row r="1986" spans="1:8" x14ac:dyDescent="0.2">
      <c r="A1986" s="66" t="s">
        <v>1045</v>
      </c>
      <c r="B1986" s="66">
        <f t="shared" si="4058"/>
        <v>20</v>
      </c>
      <c r="C1986" s="66">
        <f t="shared" si="4015"/>
        <v>9</v>
      </c>
      <c r="E1986" s="66">
        <f t="shared" ref="E1986" si="4071">plan_id</f>
        <v>1952</v>
      </c>
      <c r="F1986" s="66">
        <f t="shared" ca="1" si="3755"/>
        <v>2017</v>
      </c>
      <c r="G1986" s="66">
        <f t="shared" ref="G1986" ca="1" si="4072">VLOOKUP(INDIRECT(CHAR(39)&amp;$A1986&amp;CHAR(39)&amp;"!r2c"&amp;$C1986,0),variables,2,0)</f>
        <v>10928</v>
      </c>
      <c r="H1986" s="71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(i)8.04%; (ii)9.02%</v>
      </c>
    </row>
    <row r="1987" spans="1:8" x14ac:dyDescent="0.2">
      <c r="A1987" s="66" t="s">
        <v>1045</v>
      </c>
      <c r="B1987" s="66">
        <f t="shared" si="4058"/>
        <v>20</v>
      </c>
      <c r="C1987" s="66">
        <f t="shared" si="4015"/>
        <v>10</v>
      </c>
      <c r="E1987" s="66">
        <f t="shared" ref="E1987" si="4073">plan_id</f>
        <v>1952</v>
      </c>
      <c r="F1987" s="66">
        <f t="shared" ca="1" si="3755"/>
        <v>2017</v>
      </c>
      <c r="G1987" s="66">
        <f t="shared" ref="G1987" ca="1" si="4074">VLOOKUP(INDIRECT(CHAR(39)&amp;$A1987&amp;CHAR(39)&amp;"!r2c"&amp;$C1987,0),variables,2,0)</f>
        <v>10929</v>
      </c>
      <c r="H1987" s="71" t="str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(i)8.04%; (ii)9.02%</v>
      </c>
    </row>
    <row r="1988" spans="1:8" x14ac:dyDescent="0.2">
      <c r="A1988" s="66" t="s">
        <v>1045</v>
      </c>
      <c r="B1988" s="66">
        <f t="shared" si="4058"/>
        <v>20</v>
      </c>
      <c r="C1988" s="66">
        <f t="shared" si="4015"/>
        <v>11</v>
      </c>
      <c r="E1988" s="66">
        <f t="shared" ref="E1988" si="4075">plan_id</f>
        <v>1952</v>
      </c>
      <c r="F1988" s="66">
        <f t="shared" ca="1" si="3755"/>
        <v>2017</v>
      </c>
      <c r="G1988" s="66">
        <f t="shared" ref="G1988" ca="1" si="4076">VLOOKUP(INDIRECT(CHAR(39)&amp;$A1988&amp;CHAR(39)&amp;"!r2c"&amp;$C1988,0),variables,2,0)</f>
        <v>10930</v>
      </c>
      <c r="H1988" s="71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66" t="s">
        <v>1045</v>
      </c>
      <c r="B1989" s="66">
        <f t="shared" si="4058"/>
        <v>20</v>
      </c>
      <c r="C1989" s="66">
        <f t="shared" si="4015"/>
        <v>12</v>
      </c>
      <c r="E1989" s="66">
        <f t="shared" ref="E1989" si="4077">plan_id</f>
        <v>1952</v>
      </c>
      <c r="F1989" s="66">
        <f t="shared" ca="1" si="3755"/>
        <v>2017</v>
      </c>
      <c r="G1989" s="66">
        <f t="shared" ref="G1989" ca="1" si="4078">VLOOKUP(INDIRECT(CHAR(39)&amp;$A1989&amp;CHAR(39)&amp;"!r2c"&amp;$C1989,0),variables,2,0)</f>
        <v>10705</v>
      </c>
      <c r="H1989" s="7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832757000</v>
      </c>
    </row>
    <row r="1990" spans="1:8" x14ac:dyDescent="0.2">
      <c r="A1990" s="66" t="s">
        <v>1045</v>
      </c>
      <c r="B1990" s="66">
        <f t="shared" si="4058"/>
        <v>20</v>
      </c>
      <c r="C1990" s="66">
        <f t="shared" si="4015"/>
        <v>13</v>
      </c>
      <c r="E1990" s="66">
        <f t="shared" ref="E1990" si="4079">plan_id</f>
        <v>1952</v>
      </c>
      <c r="F1990" s="66">
        <f t="shared" ca="1" si="3755"/>
        <v>2017</v>
      </c>
      <c r="G1990" s="66">
        <f t="shared" ref="G1990" ca="1" si="4080">VLOOKUP(INDIRECT(CHAR(39)&amp;$A1990&amp;CHAR(39)&amp;"!r2c"&amp;$C1990,0),variables,2,0)</f>
        <v>10842</v>
      </c>
      <c r="H1990" s="71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66" t="s">
        <v>1045</v>
      </c>
      <c r="B1991" s="66">
        <f t="shared" si="4058"/>
        <v>20</v>
      </c>
      <c r="C1991" s="66">
        <f t="shared" si="4015"/>
        <v>14</v>
      </c>
      <c r="E1991" s="66">
        <f t="shared" ref="E1991" si="4081">plan_id</f>
        <v>1952</v>
      </c>
      <c r="F1991" s="66">
        <f t="shared" ca="1" si="3755"/>
        <v>2017</v>
      </c>
      <c r="G1991" s="66">
        <f t="shared" ref="G1991" ca="1" si="4082">VLOOKUP(INDIRECT(CHAR(39)&amp;$A1991&amp;CHAR(39)&amp;"!r2c"&amp;$C1991,0),variables,2,0)</f>
        <v>10843</v>
      </c>
      <c r="H1991" s="71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66" t="s">
        <v>1045</v>
      </c>
      <c r="B1992" s="66">
        <f t="shared" si="4058"/>
        <v>20</v>
      </c>
      <c r="C1992" s="66">
        <f t="shared" si="4015"/>
        <v>15</v>
      </c>
      <c r="E1992" s="66">
        <f t="shared" ref="E1992" si="4083">plan_id</f>
        <v>1952</v>
      </c>
      <c r="F1992" s="66">
        <f t="shared" ca="1" si="3755"/>
        <v>2017</v>
      </c>
      <c r="G1992" s="66">
        <f t="shared" ref="G1992" ca="1" si="4084">VLOOKUP(INDIRECT(CHAR(39)&amp;$A1992&amp;CHAR(39)&amp;"!r2c"&amp;$C1992,0),variables,2,0)</f>
        <v>10931</v>
      </c>
      <c r="H1992" s="7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66" t="s">
        <v>1045</v>
      </c>
      <c r="B1993" s="66">
        <f t="shared" si="4058"/>
        <v>20</v>
      </c>
      <c r="C1993" s="66">
        <f t="shared" si="4015"/>
        <v>16</v>
      </c>
      <c r="E1993" s="66">
        <f t="shared" ref="E1993" si="4085">plan_id</f>
        <v>1952</v>
      </c>
      <c r="F1993" s="66">
        <f t="shared" ca="1" si="3755"/>
        <v>2017</v>
      </c>
      <c r="G1993" s="66">
        <f t="shared" ref="G1993" ca="1" si="4086">VLOOKUP(INDIRECT(CHAR(39)&amp;$A1993&amp;CHAR(39)&amp;"!r2c"&amp;$C1993,0),variables,2,0)</f>
        <v>10932</v>
      </c>
      <c r="H1993" s="7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66" t="s">
        <v>1045</v>
      </c>
      <c r="B1994" s="66">
        <f t="shared" si="4058"/>
        <v>20</v>
      </c>
      <c r="C1994" s="66">
        <f t="shared" si="4015"/>
        <v>17</v>
      </c>
      <c r="E1994" s="66">
        <f t="shared" ref="E1994" si="4087">plan_id</f>
        <v>1952</v>
      </c>
      <c r="F1994" s="66">
        <f t="shared" ca="1" si="3755"/>
        <v>2017</v>
      </c>
      <c r="G1994" s="66">
        <f t="shared" ref="G1994" ca="1" si="4088">VLOOKUP(INDIRECT(CHAR(39)&amp;$A1994&amp;CHAR(39)&amp;"!r2c"&amp;$C1994,0),variables,2,0)</f>
        <v>10933</v>
      </c>
      <c r="H1994" s="71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(i)12.94%; (ii)15.24%</v>
      </c>
    </row>
    <row r="1995" spans="1:8" x14ac:dyDescent="0.2">
      <c r="A1995" s="66" t="s">
        <v>1045</v>
      </c>
      <c r="B1995" s="66">
        <f t="shared" si="4058"/>
        <v>20</v>
      </c>
      <c r="C1995" s="66">
        <f t="shared" si="4015"/>
        <v>18</v>
      </c>
      <c r="E1995" s="66">
        <f t="shared" ref="E1995" si="4089">plan_id</f>
        <v>1952</v>
      </c>
      <c r="F1995" s="66">
        <f t="shared" ca="1" si="3755"/>
        <v>2017</v>
      </c>
      <c r="G1995" s="66">
        <f t="shared" ref="G1995" ca="1" si="4090">VLOOKUP(INDIRECT(CHAR(39)&amp;$A1995&amp;CHAR(39)&amp;"!r2c"&amp;$C1995,0),variables,2,0)</f>
        <v>10934</v>
      </c>
      <c r="H1995" s="71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(i)4.68%; (ii)4.75%</v>
      </c>
    </row>
    <row r="1996" spans="1:8" x14ac:dyDescent="0.2">
      <c r="A1996" s="66" t="s">
        <v>1045</v>
      </c>
      <c r="B1996" s="66">
        <f t="shared" si="4058"/>
        <v>20</v>
      </c>
      <c r="C1996" s="66">
        <f t="shared" si="4015"/>
        <v>19</v>
      </c>
      <c r="E1996" s="66">
        <f t="shared" ref="E1996" si="4091">plan_id</f>
        <v>1952</v>
      </c>
      <c r="F1996" s="66">
        <f t="shared" ca="1" si="3755"/>
        <v>2017</v>
      </c>
      <c r="G1996" s="66">
        <f t="shared" ref="G1996" ca="1" si="4092">VLOOKUP(INDIRECT(CHAR(39)&amp;$A1996&amp;CHAR(39)&amp;"!r2c"&amp;$C1996,0),variables,2,0)</f>
        <v>10935</v>
      </c>
      <c r="H1996" s="71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66" t="s">
        <v>1045</v>
      </c>
      <c r="B1997" s="66">
        <f t="shared" si="4058"/>
        <v>20</v>
      </c>
      <c r="C1997" s="66">
        <f t="shared" si="4015"/>
        <v>20</v>
      </c>
      <c r="E1997" s="66">
        <f t="shared" ref="E1997" si="4093">plan_id</f>
        <v>1952</v>
      </c>
      <c r="F1997" s="66">
        <f t="shared" ca="1" si="3755"/>
        <v>2017</v>
      </c>
      <c r="G1997" s="66">
        <f t="shared" ref="G1997" ca="1" si="4094">VLOOKUP(INDIRECT(CHAR(39)&amp;$A1997&amp;CHAR(39)&amp;"!r2c"&amp;$C1997,0),variables,2,0)</f>
        <v>10937</v>
      </c>
      <c r="H1997" s="71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66" t="s">
        <v>1045</v>
      </c>
      <c r="B1998" s="66">
        <f t="shared" si="4058"/>
        <v>20</v>
      </c>
      <c r="C1998" s="66">
        <f t="shared" si="4015"/>
        <v>21</v>
      </c>
      <c r="E1998" s="66">
        <f t="shared" ref="E1998" si="4095">plan_id</f>
        <v>1952</v>
      </c>
      <c r="F1998" s="66">
        <f t="shared" ca="1" si="3755"/>
        <v>2017</v>
      </c>
      <c r="G1998" s="66">
        <f t="shared" ref="G1998" ca="1" si="4096">VLOOKUP(INDIRECT(CHAR(39)&amp;$A1998&amp;CHAR(39)&amp;"!r2c"&amp;$C1998,0),variables,2,0)</f>
        <v>10938</v>
      </c>
      <c r="H1998" s="7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66" t="s">
        <v>1045</v>
      </c>
      <c r="B1999" s="66">
        <f t="shared" si="4058"/>
        <v>20</v>
      </c>
      <c r="C1999" s="66">
        <f t="shared" si="4015"/>
        <v>22</v>
      </c>
      <c r="E1999" s="66">
        <f t="shared" ref="E1999" si="4097">plan_id</f>
        <v>1952</v>
      </c>
      <c r="F1999" s="66">
        <f t="shared" ca="1" si="3755"/>
        <v>2017</v>
      </c>
      <c r="G1999" s="66">
        <f t="shared" ref="G1999" ca="1" si="4098">VLOOKUP(INDIRECT(CHAR(39)&amp;$A1999&amp;CHAR(39)&amp;"!r2c"&amp;$C1999,0),variables,2,0)</f>
        <v>11007</v>
      </c>
      <c r="H1999" s="71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 xml:space="preserve">Plan 1: 1.7% of AFC times years of service; Plan 2: 1.7% AFC times years of service up to 1/1/13 + 1.65% AFC times years of service from 1/1/13; Hybrid: 1% AFC times years of service </v>
      </c>
    </row>
    <row r="2000" spans="1:8" x14ac:dyDescent="0.2">
      <c r="A2000" s="66" t="s">
        <v>1045</v>
      </c>
      <c r="B2000" s="66">
        <f t="shared" si="4058"/>
        <v>20</v>
      </c>
      <c r="C2000" s="66">
        <f t="shared" si="4015"/>
        <v>23</v>
      </c>
      <c r="E2000" s="66">
        <f t="shared" ref="E2000" si="4099">plan_id</f>
        <v>1952</v>
      </c>
      <c r="F2000" s="66">
        <f t="shared" ca="1" si="3755"/>
        <v>2017</v>
      </c>
      <c r="G2000" s="66">
        <f t="shared" ref="G2000" ca="1" si="4100">VLOOKUP(INDIRECT(CHAR(39)&amp;$A2000&amp;CHAR(39)&amp;"!r2c"&amp;$C2000,0),variables,2,0)</f>
        <v>10941</v>
      </c>
      <c r="H2000" s="71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66" t="s">
        <v>1045</v>
      </c>
      <c r="B2001" s="66">
        <f t="shared" si="4058"/>
        <v>20</v>
      </c>
      <c r="C2001" s="66">
        <f t="shared" si="4015"/>
        <v>24</v>
      </c>
      <c r="E2001" s="66">
        <f t="shared" ref="E2001" si="4101">plan_id</f>
        <v>1952</v>
      </c>
      <c r="F2001" s="66">
        <f t="shared" ca="1" si="3755"/>
        <v>2017</v>
      </c>
      <c r="G2001" s="66">
        <f t="shared" ref="G2001" ca="1" si="4102">VLOOKUP(INDIRECT(CHAR(39)&amp;$A2001&amp;CHAR(39)&amp;"!r2c"&amp;$C2001,0),variables,2,0)</f>
        <v>10942</v>
      </c>
      <c r="H2001" s="71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66" t="s">
        <v>1045</v>
      </c>
      <c r="B2002" s="66">
        <f t="shared" si="4058"/>
        <v>20</v>
      </c>
      <c r="C2002" s="66">
        <f t="shared" si="4015"/>
        <v>25</v>
      </c>
      <c r="E2002" s="66">
        <f t="shared" ref="E2002" si="4103">plan_id</f>
        <v>1952</v>
      </c>
      <c r="F2002" s="66">
        <f t="shared" ca="1" si="3755"/>
        <v>2017</v>
      </c>
      <c r="G2002" s="66">
        <f t="shared" ref="G2002" ca="1" si="4104">VLOOKUP(INDIRECT(CHAR(39)&amp;$A2002&amp;CHAR(39)&amp;"!r2c"&amp;$C2002,0),variables,2,0)</f>
        <v>10701</v>
      </c>
      <c r="H2002" s="71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2">
      <c r="A2003" s="66" t="s">
        <v>1045</v>
      </c>
      <c r="B2003" s="66">
        <f t="shared" si="4058"/>
        <v>20</v>
      </c>
      <c r="C2003" s="66">
        <f t="shared" si="4015"/>
        <v>26</v>
      </c>
      <c r="E2003" s="66">
        <f t="shared" ref="E2003" si="4105">plan_id</f>
        <v>1952</v>
      </c>
      <c r="F2003" s="66">
        <f t="shared" ca="1" si="3755"/>
        <v>2017</v>
      </c>
      <c r="G2003" s="66">
        <f t="shared" ref="G2003" ca="1" si="4106">VLOOKUP(INDIRECT(CHAR(39)&amp;$A2003&amp;CHAR(39)&amp;"!r2c"&amp;$C2003,0),variables,2,0)</f>
        <v>10702</v>
      </c>
      <c r="H2003" s="71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66" t="s">
        <v>1045</v>
      </c>
      <c r="B2004" s="66">
        <f t="shared" si="4058"/>
        <v>20</v>
      </c>
      <c r="C2004" s="66">
        <f t="shared" si="4015"/>
        <v>27</v>
      </c>
      <c r="E2004" s="66">
        <f t="shared" ref="E2004" si="4107">plan_id</f>
        <v>1952</v>
      </c>
      <c r="F2004" s="66">
        <f t="shared" ca="1" si="3755"/>
        <v>2017</v>
      </c>
      <c r="G2004" s="66">
        <f t="shared" ref="G2004" ca="1" si="4108">VLOOKUP(INDIRECT(CHAR(39)&amp;$A2004&amp;CHAR(39)&amp;"!r2c"&amp;$C2004,0),variables,2,0)</f>
        <v>10943</v>
      </c>
      <c r="H2004" s="71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Plan 1: 2.50%; Plan 2: 2.25%</v>
      </c>
    </row>
    <row r="2005" spans="1:8" x14ac:dyDescent="0.2">
      <c r="A2005" s="66" t="s">
        <v>1045</v>
      </c>
      <c r="B2005" s="66">
        <f t="shared" si="4058"/>
        <v>20</v>
      </c>
      <c r="C2005" s="66">
        <f t="shared" si="4015"/>
        <v>28</v>
      </c>
      <c r="E2005" s="66">
        <f t="shared" ref="E2005" si="4109">plan_id</f>
        <v>1952</v>
      </c>
      <c r="F2005" s="66">
        <f t="shared" ca="1" si="3755"/>
        <v>2017</v>
      </c>
      <c r="G2005" s="66">
        <f t="shared" ref="G2005" ca="1" si="4110">VLOOKUP(INDIRECT(CHAR(39)&amp;$A2005&amp;CHAR(39)&amp;"!r2c"&amp;$C2005,0),variables,2,0)</f>
        <v>10944</v>
      </c>
      <c r="H2005" s="71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66" t="s">
        <v>1045</v>
      </c>
      <c r="B2006" s="66">
        <f t="shared" si="4058"/>
        <v>20</v>
      </c>
      <c r="C2006" s="66">
        <f t="shared" si="4015"/>
        <v>29</v>
      </c>
      <c r="E2006" s="66">
        <f t="shared" ref="E2006" si="4111">plan_id</f>
        <v>1952</v>
      </c>
      <c r="F2006" s="66">
        <f t="shared" ca="1" si="3755"/>
        <v>2017</v>
      </c>
      <c r="G2006" s="66">
        <f t="shared" ref="G2006" ca="1" si="4112">VLOOKUP(INDIRECT(CHAR(39)&amp;$A2006&amp;CHAR(39)&amp;"!r2c"&amp;$C2006,0),variables,2,0)</f>
        <v>10945</v>
      </c>
      <c r="H2006" s="71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66" t="s">
        <v>1045</v>
      </c>
      <c r="B2007" s="66">
        <f t="shared" si="4058"/>
        <v>20</v>
      </c>
      <c r="C2007" s="66">
        <f t="shared" si="4015"/>
        <v>30</v>
      </c>
      <c r="E2007" s="66">
        <f t="shared" ref="E2007" si="4113">plan_id</f>
        <v>1952</v>
      </c>
      <c r="F2007" s="66">
        <f t="shared" ca="1" si="3755"/>
        <v>2017</v>
      </c>
      <c r="G2007" s="66">
        <f t="shared" ref="G2007" ca="1" si="4114">VLOOKUP(INDIRECT(CHAR(39)&amp;$A2007&amp;CHAR(39)&amp;"!r2c"&amp;$C2007,0),variables,2,0)</f>
        <v>10947</v>
      </c>
      <c r="H2007" s="71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66" t="s">
        <v>1045</v>
      </c>
      <c r="B2008" s="66">
        <f t="shared" si="4058"/>
        <v>20</v>
      </c>
      <c r="C2008" s="66">
        <f t="shared" si="4015"/>
        <v>31</v>
      </c>
      <c r="E2008" s="66">
        <f t="shared" ref="E2008" si="4115">plan_id</f>
        <v>1952</v>
      </c>
      <c r="F2008" s="66">
        <f t="shared" ca="1" si="3755"/>
        <v>2017</v>
      </c>
      <c r="G2008" s="66">
        <f t="shared" ref="G2008" ca="1" si="4116">VLOOKUP(INDIRECT(CHAR(39)&amp;$A2008&amp;CHAR(39)&amp;"!r2c"&amp;$C2008,0),variables,2,0)</f>
        <v>10948</v>
      </c>
      <c r="H2008" s="71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2">
      <c r="A2009" s="66" t="s">
        <v>1045</v>
      </c>
      <c r="B2009" s="66">
        <f t="shared" si="4058"/>
        <v>20</v>
      </c>
      <c r="C2009" s="66">
        <f t="shared" si="4015"/>
        <v>32</v>
      </c>
      <c r="E2009" s="66">
        <f t="shared" ref="E2009" si="4117">plan_id</f>
        <v>1952</v>
      </c>
      <c r="F2009" s="66">
        <f t="shared" ca="1" si="3755"/>
        <v>2017</v>
      </c>
      <c r="G2009" s="66">
        <f t="shared" ref="G2009" ca="1" si="4118">VLOOKUP(INDIRECT(CHAR(39)&amp;$A2009&amp;CHAR(39)&amp;"!r2c"&amp;$C2009,0),variables,2,0)</f>
        <v>10949</v>
      </c>
      <c r="H2009" s="71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Yes</v>
      </c>
    </row>
    <row r="2010" spans="1:8" x14ac:dyDescent="0.2">
      <c r="A2010" s="66" t="s">
        <v>1045</v>
      </c>
      <c r="B2010" s="66">
        <f t="shared" si="4058"/>
        <v>20</v>
      </c>
      <c r="C2010" s="66">
        <f t="shared" si="4015"/>
        <v>33</v>
      </c>
      <c r="E2010" s="66">
        <f t="shared" ref="E2010" si="4119">plan_id</f>
        <v>1952</v>
      </c>
      <c r="F2010" s="66">
        <f t="shared" ca="1" si="3755"/>
        <v>2017</v>
      </c>
      <c r="G2010" s="66">
        <f t="shared" ref="G2010" ca="1" si="4120">VLOOKUP(INDIRECT(CHAR(39)&amp;$A2010&amp;CHAR(39)&amp;"!r2c"&amp;$C2010,0),variables,2,0)</f>
        <v>10951</v>
      </c>
      <c r="H2010" s="71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2">
      <c r="A2011" s="66" t="s">
        <v>1045</v>
      </c>
      <c r="B2011" s="66">
        <f t="shared" si="4058"/>
        <v>20</v>
      </c>
      <c r="C2011" s="66">
        <f t="shared" si="4015"/>
        <v>34</v>
      </c>
      <c r="E2011" s="66">
        <f t="shared" ref="E2011" si="4121">plan_id</f>
        <v>1952</v>
      </c>
      <c r="F2011" s="66">
        <f t="shared" ca="1" si="3755"/>
        <v>2017</v>
      </c>
      <c r="G2011" s="66">
        <f t="shared" ref="G2011" ca="1" si="4122">VLOOKUP(INDIRECT(CHAR(39)&amp;$A2011&amp;CHAR(39)&amp;"!r2c"&amp;$C2011,0),variables,2,0)</f>
        <v>10950</v>
      </c>
      <c r="H2011" s="71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2">
      <c r="A2012" s="66" t="s">
        <v>1045</v>
      </c>
      <c r="B2012" s="66">
        <f t="shared" si="4058"/>
        <v>20</v>
      </c>
      <c r="C2012" s="66">
        <f t="shared" si="4015"/>
        <v>35</v>
      </c>
      <c r="E2012" s="66">
        <f t="shared" ref="E2012" si="4123">plan_id</f>
        <v>1952</v>
      </c>
      <c r="F2012" s="66">
        <f t="shared" ca="1" si="3755"/>
        <v>2017</v>
      </c>
      <c r="G2012" s="66">
        <f t="shared" ref="G2012" ca="1" si="4124">VLOOKUP(INDIRECT(CHAR(39)&amp;$A2012&amp;CHAR(39)&amp;"!r2c"&amp;$C2012,0),variables,2,0)</f>
        <v>10954</v>
      </c>
      <c r="H2012" s="71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2">
      <c r="A2013" s="66" t="s">
        <v>1045</v>
      </c>
      <c r="B2013" s="66">
        <f t="shared" si="4058"/>
        <v>20</v>
      </c>
      <c r="C2013" s="66">
        <f t="shared" si="4015"/>
        <v>36</v>
      </c>
      <c r="E2013" s="66">
        <f t="shared" ref="E2013" si="4125">plan_id</f>
        <v>1952</v>
      </c>
      <c r="F2013" s="66">
        <f t="shared" ca="1" si="3755"/>
        <v>2017</v>
      </c>
      <c r="G2013" s="66">
        <f t="shared" ref="G2013" ca="1" si="4126">VLOOKUP(INDIRECT(CHAR(39)&amp;$A2013&amp;CHAR(39)&amp;"!r2c"&amp;$C2013,0),variables,2,0)</f>
        <v>10955</v>
      </c>
      <c r="H2013" s="71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2">
      <c r="A2014" s="66" t="s">
        <v>1045</v>
      </c>
      <c r="B2014" s="66">
        <f t="shared" si="4058"/>
        <v>20</v>
      </c>
      <c r="C2014" s="66">
        <f t="shared" si="4015"/>
        <v>37</v>
      </c>
      <c r="E2014" s="66">
        <f t="shared" ref="E2014" si="4127">plan_id</f>
        <v>1952</v>
      </c>
      <c r="F2014" s="66">
        <f t="shared" ca="1" si="3755"/>
        <v>2017</v>
      </c>
      <c r="G2014" s="66">
        <f t="shared" ref="G2014" ca="1" si="4128">VLOOKUP(INDIRECT(CHAR(39)&amp;$A2014&amp;CHAR(39)&amp;"!r2c"&amp;$C2014,0),variables,2,0)</f>
        <v>10956</v>
      </c>
      <c r="H2014" s="71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2">
      <c r="A2015" s="66" t="s">
        <v>1045</v>
      </c>
      <c r="B2015" s="66">
        <f t="shared" si="4058"/>
        <v>20</v>
      </c>
      <c r="C2015" s="66">
        <f t="shared" si="4015"/>
        <v>38</v>
      </c>
      <c r="E2015" s="66">
        <f t="shared" ref="E2015" si="4129">plan_id</f>
        <v>1952</v>
      </c>
      <c r="F2015" s="66">
        <f t="shared" ca="1" si="3755"/>
        <v>2017</v>
      </c>
      <c r="G2015" s="66">
        <f t="shared" ref="G2015" ca="1" si="4130">VLOOKUP(INDIRECT(CHAR(39)&amp;$A2015&amp;CHAR(39)&amp;"!r2c"&amp;$C2015,0),variables,2,0)</f>
        <v>10959</v>
      </c>
      <c r="H2015" s="71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SE-3.50% to 5.35% &amp; Teach 3.50% to 5.95%</v>
      </c>
    </row>
    <row r="2016" spans="1:8" x14ac:dyDescent="0.2">
      <c r="A2016" s="66" t="s">
        <v>1045</v>
      </c>
      <c r="B2016" s="66">
        <f t="shared" si="4058"/>
        <v>20</v>
      </c>
      <c r="C2016" s="66">
        <f t="shared" si="4015"/>
        <v>39</v>
      </c>
      <c r="E2016" s="66">
        <f t="shared" ref="E2016" si="4131">plan_id</f>
        <v>1952</v>
      </c>
      <c r="F2016" s="66">
        <f t="shared" ca="1" si="3755"/>
        <v>2017</v>
      </c>
      <c r="G2016" s="66">
        <f t="shared" ref="G2016" ca="1" si="4132">VLOOKUP(INDIRECT(CHAR(39)&amp;$A2016&amp;CHAR(39)&amp;"!r2c"&amp;$C2016,0),variables,2,0)</f>
        <v>10962</v>
      </c>
      <c r="H2016" s="71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61 &amp; 69</v>
      </c>
    </row>
    <row r="2017" spans="1:8" x14ac:dyDescent="0.2">
      <c r="A2017" s="66" t="s">
        <v>1045</v>
      </c>
      <c r="B2017" s="66">
        <f t="shared" si="4058"/>
        <v>20</v>
      </c>
      <c r="C2017" s="66">
        <f t="shared" si="4015"/>
        <v>40</v>
      </c>
      <c r="E2017" s="66">
        <f t="shared" ref="E2017" si="4133">plan_id</f>
        <v>1952</v>
      </c>
      <c r="F2017" s="66">
        <f t="shared" ca="1" si="3755"/>
        <v>2017</v>
      </c>
      <c r="G2017" s="66">
        <f t="shared" ref="G2017" ca="1" si="4134">VLOOKUP(INDIRECT(CHAR(39)&amp;$A2017&amp;CHAR(39)&amp;"!r2c"&amp;$C2017,0),variables,2,0)</f>
        <v>10964</v>
      </c>
      <c r="H2017" s="71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56-59 &amp; 64-67</v>
      </c>
    </row>
    <row r="2018" spans="1:8" x14ac:dyDescent="0.2">
      <c r="A2018" s="66" t="s">
        <v>1045</v>
      </c>
      <c r="B2018" s="66">
        <f t="shared" si="4058"/>
        <v>20</v>
      </c>
      <c r="C2018" s="66">
        <f t="shared" si="4015"/>
        <v>41</v>
      </c>
      <c r="E2018" s="66">
        <f t="shared" ref="E2018" si="4135">plan_id</f>
        <v>1952</v>
      </c>
      <c r="F2018" s="66">
        <f t="shared" ca="1" si="3755"/>
        <v>2017</v>
      </c>
      <c r="G2018" s="66">
        <f t="shared" ref="G2018" ca="1" si="4136">VLOOKUP(INDIRECT(CHAR(39)&amp;$A2018&amp;CHAR(39)&amp;"!r2c"&amp;$C2018,0),variables,2,0)</f>
        <v>10967</v>
      </c>
      <c r="H2018" s="71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Employee Rates, Annuitant Rates, White Collar Rates</v>
      </c>
    </row>
    <row r="2019" spans="1:8" x14ac:dyDescent="0.2">
      <c r="A2019" s="66" t="s">
        <v>1045</v>
      </c>
      <c r="B2019" s="66">
        <f t="shared" si="4058"/>
        <v>20</v>
      </c>
      <c r="C2019" s="66">
        <f t="shared" si="4015"/>
        <v>42</v>
      </c>
      <c r="E2019" s="66">
        <f t="shared" ref="E2019" si="4137">plan_id</f>
        <v>1952</v>
      </c>
      <c r="F2019" s="66">
        <f t="shared" ca="1" si="3755"/>
        <v>2017</v>
      </c>
      <c r="G2019" s="66">
        <f t="shared" ref="G2019" ca="1" si="4138">VLOOKUP(INDIRECT(CHAR(39)&amp;$A2019&amp;CHAR(39)&amp;"!r2c"&amp;$C2019,0),variables,2,0)</f>
        <v>10968</v>
      </c>
      <c r="H2019" s="71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2">
      <c r="A2020" s="66" t="s">
        <v>1045</v>
      </c>
      <c r="B2020" s="66">
        <f t="shared" si="4058"/>
        <v>20</v>
      </c>
      <c r="C2020" s="66">
        <f t="shared" si="4015"/>
        <v>43</v>
      </c>
      <c r="E2020" s="66">
        <f t="shared" ref="E2020" si="4139">plan_id</f>
        <v>1952</v>
      </c>
      <c r="F2020" s="66">
        <f t="shared" ca="1" si="3755"/>
        <v>2017</v>
      </c>
      <c r="G2020" s="66">
        <f t="shared" ref="G2020" ca="1" si="4140">VLOOKUP(INDIRECT(CHAR(39)&amp;$A2020&amp;CHAR(39)&amp;"!r2c"&amp;$C2020,0),variables,2,0)</f>
        <v>10969</v>
      </c>
      <c r="H2020" s="71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 xml:space="preserve">Scale BB  </v>
      </c>
    </row>
    <row r="2021" spans="1:8" x14ac:dyDescent="0.2">
      <c r="A2021" s="66" t="s">
        <v>1045</v>
      </c>
      <c r="B2021" s="66">
        <f t="shared" si="4058"/>
        <v>20</v>
      </c>
      <c r="C2021" s="66">
        <f t="shared" si="4015"/>
        <v>44</v>
      </c>
      <c r="E2021" s="66">
        <f t="shared" ref="E2021" si="4141">plan_id</f>
        <v>1952</v>
      </c>
      <c r="F2021" s="66">
        <f t="shared" ca="1" si="3755"/>
        <v>2017</v>
      </c>
      <c r="G2021" s="66">
        <f t="shared" ref="G2021" ca="1" si="4142">VLOOKUP(INDIRECT(CHAR(39)&amp;$A2021&amp;CHAR(39)&amp;"!r2c"&amp;$C2021,0),variables,2,0)</f>
        <v>10970</v>
      </c>
      <c r="H2021" s="71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State Pre- 1 Year, Post- Females 1 Year; Teachers: Females- 3 Years</v>
      </c>
    </row>
    <row r="2022" spans="1:8" x14ac:dyDescent="0.2">
      <c r="A2022" s="66" t="s">
        <v>1045</v>
      </c>
      <c r="B2022" s="66">
        <f t="shared" si="4058"/>
        <v>20</v>
      </c>
      <c r="C2022" s="66">
        <f t="shared" si="4015"/>
        <v>45</v>
      </c>
      <c r="E2022" s="66">
        <f t="shared" ref="E2022" si="4143">plan_id</f>
        <v>1952</v>
      </c>
      <c r="F2022" s="66">
        <f t="shared" ca="1" si="3755"/>
        <v>2017</v>
      </c>
      <c r="G2022" s="66">
        <f t="shared" ref="G2022" ca="1" si="4144">VLOOKUP(INDIRECT(CHAR(39)&amp;$A2022&amp;CHAR(39)&amp;"!r2c"&amp;$C2022,0),variables,2,0)</f>
        <v>10971</v>
      </c>
      <c r="H2022" s="71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State Post- Males: 1 Year</v>
      </c>
    </row>
    <row r="2023" spans="1:8" x14ac:dyDescent="0.2">
      <c r="A2023" s="66" t="s">
        <v>1045</v>
      </c>
      <c r="B2023" s="66">
        <f t="shared" si="4058"/>
        <v>20</v>
      </c>
      <c r="C2023" s="66">
        <f t="shared" ref="C2023:C2086" si="4145">C1932</f>
        <v>46</v>
      </c>
      <c r="E2023" s="66">
        <f t="shared" ref="E2023" si="4146">plan_id</f>
        <v>1952</v>
      </c>
      <c r="F2023" s="66">
        <f t="shared" ca="1" si="3755"/>
        <v>2017</v>
      </c>
      <c r="G2023" s="66">
        <f t="shared" ref="G2023" ca="1" si="4147">VLOOKUP(INDIRECT(CHAR(39)&amp;$A2023&amp;CHAR(39)&amp;"!r2c"&amp;$C2023,0),variables,2,0)</f>
        <v>10972</v>
      </c>
      <c r="H2023" s="71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Payroll, Closed</v>
      </c>
    </row>
    <row r="2024" spans="1:8" x14ac:dyDescent="0.2">
      <c r="A2024" s="66" t="s">
        <v>1045</v>
      </c>
      <c r="B2024" s="66">
        <f t="shared" si="4058"/>
        <v>20</v>
      </c>
      <c r="C2024" s="66">
        <f t="shared" si="4145"/>
        <v>47</v>
      </c>
      <c r="E2024" s="66">
        <f t="shared" ref="E2024" si="4148">plan_id</f>
        <v>1952</v>
      </c>
      <c r="F2024" s="66">
        <f t="shared" ca="1" si="3755"/>
        <v>2017</v>
      </c>
      <c r="G2024" s="66">
        <f t="shared" ref="G2024" ca="1" si="4149">VLOOKUP(INDIRECT(CHAR(39)&amp;$A2024&amp;CHAR(39)&amp;"!r2c"&amp;$C2024,0),variables,2,0)</f>
        <v>10973</v>
      </c>
      <c r="H2024" s="71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26 Years</v>
      </c>
    </row>
    <row r="2025" spans="1:8" x14ac:dyDescent="0.2">
      <c r="A2025" s="66" t="s">
        <v>1045</v>
      </c>
      <c r="B2025" s="66">
        <f t="shared" si="4058"/>
        <v>20</v>
      </c>
      <c r="C2025" s="66">
        <f t="shared" si="4145"/>
        <v>48</v>
      </c>
      <c r="E2025" s="66">
        <f t="shared" ref="E2025" si="4150">plan_id</f>
        <v>1952</v>
      </c>
      <c r="F2025" s="66">
        <f t="shared" ca="1" si="3755"/>
        <v>2017</v>
      </c>
      <c r="G2025" s="66">
        <f t="shared" ref="G2025" ca="1" si="4151">VLOOKUP(INDIRECT(CHAR(39)&amp;$A2025&amp;CHAR(39)&amp;"!r2c"&amp;$C2025,0),variables,2,0)</f>
        <v>10975</v>
      </c>
      <c r="H2025" s="71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2">
      <c r="A2026" s="66" t="s">
        <v>1045</v>
      </c>
      <c r="B2026" s="66">
        <f t="shared" si="4058"/>
        <v>20</v>
      </c>
      <c r="C2026" s="66">
        <f t="shared" si="4145"/>
        <v>49</v>
      </c>
      <c r="E2026" s="66">
        <f t="shared" ref="E2026" si="4152">plan_id</f>
        <v>1952</v>
      </c>
      <c r="F2026" s="66">
        <f t="shared" ca="1" si="3755"/>
        <v>2017</v>
      </c>
      <c r="G2026" s="66">
        <f t="shared" ref="G2026" ca="1" si="4153">VLOOKUP(INDIRECT(CHAR(39)&amp;$A2026&amp;CHAR(39)&amp;"!r2c"&amp;$C2026,0),variables,2,0)</f>
        <v>10976</v>
      </c>
      <c r="H2026" s="71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2">
      <c r="A2027" s="66" t="s">
        <v>1045</v>
      </c>
      <c r="B2027" s="66">
        <f t="shared" si="4058"/>
        <v>20</v>
      </c>
      <c r="C2027" s="66">
        <f t="shared" si="4145"/>
        <v>50</v>
      </c>
      <c r="E2027" s="66">
        <f t="shared" ref="E2027" si="4154">plan_id</f>
        <v>1952</v>
      </c>
      <c r="F2027" s="66">
        <f t="shared" ca="1" si="3755"/>
        <v>2017</v>
      </c>
      <c r="G2027" s="66">
        <f t="shared" ref="G2027" ca="1" si="4155">VLOOKUP(INDIRECT(CHAR(39)&amp;$A2027&amp;CHAR(39)&amp;"!r2c"&amp;$C2027,0),variables,2,0)</f>
        <v>10977</v>
      </c>
      <c r="H2027" s="71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66" t="s">
        <v>1045</v>
      </c>
      <c r="B2028" s="66">
        <f t="shared" si="4058"/>
        <v>20</v>
      </c>
      <c r="C2028" s="66">
        <f t="shared" si="4145"/>
        <v>51</v>
      </c>
      <c r="E2028" s="66">
        <f t="shared" ref="E2028" si="4156">plan_id</f>
        <v>1952</v>
      </c>
      <c r="F2028" s="66">
        <f t="shared" ca="1" si="3755"/>
        <v>2017</v>
      </c>
      <c r="G2028" s="66">
        <f t="shared" ref="G2028" ca="1" si="4157">VLOOKUP(INDIRECT(CHAR(39)&amp;$A2028&amp;CHAR(39)&amp;"!r2c"&amp;$C2028,0),variables,2,0)</f>
        <v>10978</v>
      </c>
      <c r="H2028" s="71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2">
      <c r="A2029" s="66" t="s">
        <v>1045</v>
      </c>
      <c r="B2029" s="66">
        <f t="shared" si="4058"/>
        <v>20</v>
      </c>
      <c r="C2029" s="66">
        <f t="shared" si="4145"/>
        <v>52</v>
      </c>
      <c r="E2029" s="66">
        <f t="shared" ref="E2029" si="4158">plan_id</f>
        <v>1952</v>
      </c>
      <c r="F2029" s="66">
        <f t="shared" ca="1" si="3755"/>
        <v>2017</v>
      </c>
      <c r="G2029" s="66">
        <f t="shared" ref="G2029" ca="1" si="4159">VLOOKUP(INDIRECT(CHAR(39)&amp;$A2029&amp;CHAR(39)&amp;"!r2c"&amp;$C2029,0),variables,2,0)</f>
        <v>10979</v>
      </c>
      <c r="H2029" s="71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2">
      <c r="A2030" s="66" t="s">
        <v>1045</v>
      </c>
      <c r="B2030" s="66">
        <f t="shared" si="4058"/>
        <v>20</v>
      </c>
      <c r="C2030" s="66">
        <f t="shared" si="4145"/>
        <v>53</v>
      </c>
      <c r="E2030" s="66">
        <f t="shared" ref="E2030" si="4160">plan_id</f>
        <v>1952</v>
      </c>
      <c r="F2030" s="66">
        <f t="shared" ca="1" si="3755"/>
        <v>2017</v>
      </c>
      <c r="G2030" s="66">
        <f t="shared" ref="G2030" ca="1" si="4161">VLOOKUP(INDIRECT(CHAR(39)&amp;$A2030&amp;CHAR(39)&amp;"!r2c"&amp;$C2030,0),variables,2,0)</f>
        <v>10980</v>
      </c>
      <c r="H2030" s="71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2">
      <c r="A2031" s="66" t="s">
        <v>1045</v>
      </c>
      <c r="B2031" s="66">
        <f t="shared" si="4058"/>
        <v>20</v>
      </c>
      <c r="C2031" s="66">
        <f t="shared" si="4145"/>
        <v>54</v>
      </c>
      <c r="E2031" s="66">
        <f t="shared" ref="E2031" si="4162">plan_id</f>
        <v>1952</v>
      </c>
      <c r="F2031" s="66">
        <f t="shared" ca="1" si="3755"/>
        <v>2017</v>
      </c>
      <c r="G2031" s="66">
        <f t="shared" ref="G2031" ca="1" si="4163">VLOOKUP(INDIRECT(CHAR(39)&amp;$A2031&amp;CHAR(39)&amp;"!r2c"&amp;$C2031,0),variables,2,0)</f>
        <v>10981</v>
      </c>
      <c r="H2031" s="71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2">
      <c r="A2032" s="66" t="s">
        <v>1045</v>
      </c>
      <c r="B2032" s="66">
        <f t="shared" si="4058"/>
        <v>20</v>
      </c>
      <c r="C2032" s="66">
        <f t="shared" si="4145"/>
        <v>55</v>
      </c>
      <c r="E2032" s="66">
        <f t="shared" ref="E2032" si="4164">plan_id</f>
        <v>1952</v>
      </c>
      <c r="F2032" s="66">
        <f t="shared" ca="1" si="3755"/>
        <v>2017</v>
      </c>
      <c r="G2032" s="66">
        <f t="shared" ref="G2032" ca="1" si="4165">VLOOKUP(INDIRECT(CHAR(39)&amp;$A2032&amp;CHAR(39)&amp;"!r2c"&amp;$C2032,0),variables,2,0)</f>
        <v>10706</v>
      </c>
      <c r="H2032" s="71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6.4075263741225727E-4</v>
      </c>
    </row>
    <row r="2033" spans="1:8" x14ac:dyDescent="0.2">
      <c r="A2033" s="66" t="s">
        <v>1045</v>
      </c>
      <c r="B2033" s="66">
        <f t="shared" si="4058"/>
        <v>20</v>
      </c>
      <c r="C2033" s="66">
        <f t="shared" si="4145"/>
        <v>56</v>
      </c>
      <c r="E2033" s="66">
        <f t="shared" ref="E2033" si="4166">plan_id</f>
        <v>1952</v>
      </c>
      <c r="F2033" s="66">
        <f t="shared" ca="1" si="3755"/>
        <v>2017</v>
      </c>
      <c r="G2033" s="66">
        <f t="shared" ref="G2033" ca="1" si="4167">VLOOKUP(INDIRECT(CHAR(39)&amp;$A2033&amp;CHAR(39)&amp;"!r2c"&amp;$C2033,0),variables,2,0)</f>
        <v>10983</v>
      </c>
      <c r="H2033" s="71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66" t="s">
        <v>1045</v>
      </c>
      <c r="B2034" s="66">
        <f t="shared" si="4058"/>
        <v>20</v>
      </c>
      <c r="C2034" s="66">
        <f t="shared" si="4145"/>
        <v>57</v>
      </c>
      <c r="E2034" s="66">
        <f t="shared" ref="E2034" si="4168">plan_id</f>
        <v>1952</v>
      </c>
      <c r="F2034" s="66">
        <f t="shared" ca="1" si="3755"/>
        <v>2017</v>
      </c>
      <c r="G2034" s="66">
        <f t="shared" ref="G2034" ca="1" si="4169">VLOOKUP(INDIRECT(CHAR(39)&amp;$A2034&amp;CHAR(39)&amp;"!r2c"&amp;$C2034,0),variables,2,0)</f>
        <v>10989</v>
      </c>
      <c r="H2034" s="7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69214246000</v>
      </c>
    </row>
    <row r="2035" spans="1:8" x14ac:dyDescent="0.2">
      <c r="A2035" s="66" t="s">
        <v>1045</v>
      </c>
      <c r="B2035" s="66">
        <f t="shared" si="4058"/>
        <v>20</v>
      </c>
      <c r="C2035" s="66">
        <f t="shared" si="4145"/>
        <v>58</v>
      </c>
      <c r="E2035" s="66">
        <f t="shared" ref="E2035" si="4170">plan_id</f>
        <v>1952</v>
      </c>
      <c r="F2035" s="66">
        <f t="shared" ca="1" si="3755"/>
        <v>2017</v>
      </c>
      <c r="G2035" s="66">
        <f t="shared" ref="G2035" ca="1" si="4171">VLOOKUP(INDIRECT(CHAR(39)&amp;$A2035&amp;CHAR(39)&amp;"!r2c"&amp;$C2035,0),variables,2,0)</f>
        <v>10990</v>
      </c>
      <c r="H2035" s="7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89851284000</v>
      </c>
    </row>
    <row r="2036" spans="1:8" x14ac:dyDescent="0.2">
      <c r="A2036" s="66" t="s">
        <v>1045</v>
      </c>
      <c r="B2036" s="66">
        <f t="shared" si="4058"/>
        <v>20</v>
      </c>
      <c r="C2036" s="66">
        <f t="shared" si="4145"/>
        <v>59</v>
      </c>
      <c r="E2036" s="66">
        <f t="shared" ref="E2036" si="4172">plan_id</f>
        <v>1952</v>
      </c>
      <c r="F2036" s="66">
        <f t="shared" ca="1" si="3755"/>
        <v>2017</v>
      </c>
      <c r="G2036" s="66">
        <f t="shared" ref="G2036" ca="1" si="4173">VLOOKUP(INDIRECT(CHAR(39)&amp;$A2036&amp;CHAR(39)&amp;"!r2c"&amp;$C2036,0),variables,2,0)</f>
        <v>10991</v>
      </c>
      <c r="H2036" s="7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20637038000</v>
      </c>
    </row>
    <row r="2037" spans="1:8" x14ac:dyDescent="0.2">
      <c r="A2037" s="66" t="s">
        <v>1045</v>
      </c>
      <c r="B2037" s="66">
        <f t="shared" si="4058"/>
        <v>20</v>
      </c>
      <c r="C2037" s="66">
        <f t="shared" si="4145"/>
        <v>60</v>
      </c>
      <c r="E2037" s="66">
        <f t="shared" ref="E2037" si="4174">plan_id</f>
        <v>1952</v>
      </c>
      <c r="F2037" s="66">
        <f t="shared" ca="1" si="3755"/>
        <v>2017</v>
      </c>
      <c r="G2037" s="66">
        <f t="shared" ref="G2037" ca="1" si="4175">VLOOKUP(INDIRECT(CHAR(39)&amp;$A2037&amp;CHAR(39)&amp;"!r2c"&amp;$C2037,0),variables,2,0)</f>
        <v>10992</v>
      </c>
      <c r="H2037" s="71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</v>
      </c>
    </row>
    <row r="2038" spans="1:8" x14ac:dyDescent="0.2">
      <c r="A2038" s="66" t="s">
        <v>1045</v>
      </c>
      <c r="B2038" s="66">
        <f t="shared" si="4058"/>
        <v>20</v>
      </c>
      <c r="C2038" s="66">
        <f t="shared" si="4145"/>
        <v>61</v>
      </c>
      <c r="E2038" s="66">
        <f t="shared" ref="E2038" si="4176">plan_id</f>
        <v>1952</v>
      </c>
      <c r="F2038" s="66">
        <f t="shared" ca="1" si="3755"/>
        <v>2017</v>
      </c>
      <c r="G2038" s="66">
        <f t="shared" ref="G2038" ca="1" si="4177">VLOOKUP(INDIRECT(CHAR(39)&amp;$A2038&amp;CHAR(39)&amp;"!r2c"&amp;$C2038,0),variables,2,0)</f>
        <v>10993</v>
      </c>
      <c r="H2038" s="71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16764876000</v>
      </c>
    </row>
    <row r="2039" spans="1:8" x14ac:dyDescent="0.2">
      <c r="A2039" s="66" t="s">
        <v>1045</v>
      </c>
      <c r="B2039" s="66">
        <f t="shared" si="4058"/>
        <v>20</v>
      </c>
      <c r="C2039" s="66">
        <f t="shared" si="4145"/>
        <v>62</v>
      </c>
      <c r="E2039" s="66">
        <f t="shared" ref="E2039" si="4178">plan_id</f>
        <v>1952</v>
      </c>
      <c r="F2039" s="66">
        <f t="shared" ca="1" si="3755"/>
        <v>2017</v>
      </c>
      <c r="G2039" s="66">
        <f t="shared" ref="G2039" ca="1" si="4179">VLOOKUP(INDIRECT(CHAR(39)&amp;$A2039&amp;CHAR(39)&amp;"!r2c"&amp;$C2039,0),variables,2,0)</f>
        <v>10801</v>
      </c>
      <c r="H2039" s="71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-1003400000.0000001</v>
      </c>
    </row>
    <row r="2040" spans="1:8" x14ac:dyDescent="0.2">
      <c r="A2040" s="66" t="s">
        <v>1045</v>
      </c>
      <c r="B2040" s="66">
        <f t="shared" si="4058"/>
        <v>20</v>
      </c>
      <c r="C2040" s="66">
        <f t="shared" si="4145"/>
        <v>63</v>
      </c>
      <c r="E2040" s="66">
        <f t="shared" ref="E2040" si="4180">plan_id</f>
        <v>1952</v>
      </c>
      <c r="F2040" s="66">
        <f t="shared" ca="1" si="3755"/>
        <v>2017</v>
      </c>
      <c r="G2040" s="66">
        <f t="shared" ref="G2040" ca="1" si="4181">VLOOKUP(INDIRECT(CHAR(39)&amp;$A2040&amp;CHAR(39)&amp;"!r2c"&amp;$C2040,0),variables,2,0)</f>
        <v>10802</v>
      </c>
      <c r="H2040" s="7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-58999999.999999993</v>
      </c>
    </row>
    <row r="2041" spans="1:8" x14ac:dyDescent="0.2">
      <c r="A2041" s="66" t="s">
        <v>1045</v>
      </c>
      <c r="B2041" s="66">
        <f t="shared" si="4058"/>
        <v>20</v>
      </c>
      <c r="C2041" s="66">
        <f t="shared" si="4145"/>
        <v>64</v>
      </c>
      <c r="E2041" s="66">
        <f t="shared" ref="E2041" si="4182">plan_id</f>
        <v>1952</v>
      </c>
      <c r="F2041" s="66">
        <f t="shared" ca="1" si="3755"/>
        <v>2017</v>
      </c>
      <c r="G2041" s="66">
        <f t="shared" ref="G2041" ca="1" si="4183">VLOOKUP(INDIRECT(CHAR(39)&amp;$A2041&amp;CHAR(39)&amp;"!r2c"&amp;$C2041,0),variables,2,0)</f>
        <v>10803</v>
      </c>
      <c r="H2041" s="71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66" t="s">
        <v>1045</v>
      </c>
      <c r="B2042" s="66">
        <f t="shared" si="4058"/>
        <v>20</v>
      </c>
      <c r="C2042" s="66">
        <f t="shared" si="4145"/>
        <v>65</v>
      </c>
      <c r="E2042" s="66">
        <f t="shared" ref="E2042" si="4184">plan_id</f>
        <v>1952</v>
      </c>
      <c r="F2042" s="66">
        <f t="shared" ca="1" si="3755"/>
        <v>2017</v>
      </c>
      <c r="G2042" s="66">
        <f t="shared" ref="G2042" ca="1" si="4185">VLOOKUP(INDIRECT(CHAR(39)&amp;$A2042&amp;CHAR(39)&amp;"!r2c"&amp;$C2042,0),variables,2,0)</f>
        <v>10804</v>
      </c>
      <c r="H2042" s="7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66" t="s">
        <v>1045</v>
      </c>
      <c r="B2043" s="66">
        <f t="shared" si="4058"/>
        <v>20</v>
      </c>
      <c r="C2043" s="66">
        <f t="shared" si="4145"/>
        <v>66</v>
      </c>
      <c r="E2043" s="66">
        <f t="shared" ref="E2043" si="4186">plan_id</f>
        <v>1952</v>
      </c>
      <c r="F2043" s="66">
        <f t="shared" ca="1" si="3755"/>
        <v>2017</v>
      </c>
      <c r="G2043" s="66">
        <f t="shared" ref="G2043" ca="1" si="4187">VLOOKUP(INDIRECT(CHAR(39)&amp;$A2043&amp;CHAR(39)&amp;"!r2c"&amp;$C2043,0),variables,2,0)</f>
        <v>10805</v>
      </c>
      <c r="H2043" s="7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66" t="s">
        <v>1045</v>
      </c>
      <c r="B2044" s="66">
        <f t="shared" ref="B2044" si="4188">B1979+1</f>
        <v>20</v>
      </c>
      <c r="C2044" s="66">
        <f t="shared" si="4145"/>
        <v>67</v>
      </c>
      <c r="E2044" s="66">
        <f t="shared" ref="E2044" si="4189">plan_id</f>
        <v>1952</v>
      </c>
      <c r="F2044" s="66">
        <f t="shared" ca="1" si="3755"/>
        <v>2017</v>
      </c>
      <c r="G2044" s="66">
        <f t="shared" ref="G2044" ca="1" si="4190">VLOOKUP(INDIRECT(CHAR(39)&amp;$A2044&amp;CHAR(39)&amp;"!r2c"&amp;$C2044,0),variables,2,0)</f>
        <v>10806</v>
      </c>
      <c r="H2044" s="7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15800000</v>
      </c>
    </row>
    <row r="2045" spans="1:8" x14ac:dyDescent="0.2">
      <c r="A2045" s="66" t="s">
        <v>1045</v>
      </c>
      <c r="B2045" s="66">
        <f>B2044</f>
        <v>20</v>
      </c>
      <c r="C2045" s="66">
        <f t="shared" si="4145"/>
        <v>68</v>
      </c>
      <c r="E2045" s="66">
        <f t="shared" ref="E2045" si="4191">plan_id</f>
        <v>1952</v>
      </c>
      <c r="F2045" s="66">
        <f t="shared" ca="1" si="3755"/>
        <v>2017</v>
      </c>
      <c r="G2045" s="66">
        <f t="shared" ref="G2045" ca="1" si="4192">VLOOKUP(INDIRECT(CHAR(39)&amp;$A2045&amp;CHAR(39)&amp;"!r2c"&amp;$C2045,0),variables,2,0)</f>
        <v>10807</v>
      </c>
      <c r="H2045" s="7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66" t="s">
        <v>1045</v>
      </c>
      <c r="B2046" s="66">
        <f t="shared" ref="B2046:B2070" si="4193">B2045</f>
        <v>20</v>
      </c>
      <c r="C2046" s="66">
        <f t="shared" si="4145"/>
        <v>69</v>
      </c>
      <c r="E2046" s="66">
        <f t="shared" ref="E2046" si="4194">plan_id</f>
        <v>1952</v>
      </c>
      <c r="F2046" s="66">
        <f t="shared" ca="1" si="3755"/>
        <v>2017</v>
      </c>
      <c r="G2046" s="66">
        <f t="shared" ref="G2046" ca="1" si="4195">VLOOKUP(INDIRECT(CHAR(39)&amp;$A2046&amp;CHAR(39)&amp;"!r2c"&amp;$C2046,0),variables,2,0)</f>
        <v>10808</v>
      </c>
      <c r="H2046" s="7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66" t="s">
        <v>1045</v>
      </c>
      <c r="B2047" s="66">
        <f t="shared" si="4193"/>
        <v>20</v>
      </c>
      <c r="C2047" s="66">
        <f t="shared" si="4145"/>
        <v>70</v>
      </c>
      <c r="E2047" s="66">
        <f t="shared" ref="E2047" si="4196">plan_id</f>
        <v>1952</v>
      </c>
      <c r="F2047" s="66">
        <f t="shared" ca="1" si="3755"/>
        <v>2017</v>
      </c>
      <c r="G2047" s="66">
        <f t="shared" ref="G2047" ca="1" si="4197">VLOOKUP(INDIRECT(CHAR(39)&amp;$A2047&amp;CHAR(39)&amp;"!r2c"&amp;$C2047,0),variables,2,0)</f>
        <v>10809</v>
      </c>
      <c r="H2047" s="7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66" t="s">
        <v>1045</v>
      </c>
      <c r="B2048" s="66">
        <f t="shared" si="4193"/>
        <v>20</v>
      </c>
      <c r="C2048" s="66">
        <f t="shared" si="4145"/>
        <v>71</v>
      </c>
      <c r="E2048" s="66">
        <f t="shared" ref="E2048" si="4198">plan_id</f>
        <v>1952</v>
      </c>
      <c r="F2048" s="66">
        <f t="shared" ca="1" si="3755"/>
        <v>2017</v>
      </c>
      <c r="G2048" s="66">
        <f t="shared" ref="G2048" ca="1" si="4199">VLOOKUP(INDIRECT(CHAR(39)&amp;$A2048&amp;CHAR(39)&amp;"!r2c"&amp;$C2048,0),variables,2,0)</f>
        <v>10810</v>
      </c>
      <c r="H2048" s="71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-30800000</v>
      </c>
    </row>
    <row r="2049" spans="1:8" x14ac:dyDescent="0.2">
      <c r="A2049" s="66" t="s">
        <v>1045</v>
      </c>
      <c r="B2049" s="66">
        <f t="shared" si="4193"/>
        <v>20</v>
      </c>
      <c r="C2049" s="66">
        <f t="shared" si="4145"/>
        <v>72</v>
      </c>
      <c r="E2049" s="66">
        <f t="shared" ref="E2049" si="4200">plan_id</f>
        <v>1952</v>
      </c>
      <c r="F2049" s="66">
        <f t="shared" ca="1" si="3755"/>
        <v>2017</v>
      </c>
      <c r="G2049" s="66">
        <f t="shared" ref="G2049" ca="1" si="4201">VLOOKUP(INDIRECT(CHAR(39)&amp;$A2049&amp;CHAR(39)&amp;"!r2c"&amp;$C2049,0),variables,2,0)</f>
        <v>10811</v>
      </c>
      <c r="H2049" s="7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66" t="s">
        <v>1045</v>
      </c>
      <c r="B2050" s="66">
        <f t="shared" si="4193"/>
        <v>20</v>
      </c>
      <c r="C2050" s="66">
        <f t="shared" si="4145"/>
        <v>73</v>
      </c>
      <c r="E2050" s="66">
        <f t="shared" ref="E2050" si="4202">plan_id</f>
        <v>1952</v>
      </c>
      <c r="F2050" s="66">
        <f t="shared" ca="1" si="3755"/>
        <v>2017</v>
      </c>
      <c r="G2050" s="66">
        <f t="shared" ref="G2050" ca="1" si="4203">VLOOKUP(INDIRECT(CHAR(39)&amp;$A2050&amp;CHAR(39)&amp;"!r2c"&amp;$C2050,0),variables,2,0)</f>
        <v>10812</v>
      </c>
      <c r="H2050" s="7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66" t="s">
        <v>1045</v>
      </c>
      <c r="B2051" s="66">
        <f t="shared" si="4193"/>
        <v>20</v>
      </c>
      <c r="C2051" s="66">
        <f t="shared" si="4145"/>
        <v>74</v>
      </c>
      <c r="E2051" s="66">
        <f t="shared" ref="E2051" si="4204">plan_id</f>
        <v>1952</v>
      </c>
      <c r="F2051" s="66">
        <f t="shared" ca="1" si="3755"/>
        <v>2017</v>
      </c>
      <c r="G2051" s="66">
        <f t="shared" ref="G2051" ca="1" si="4205">VLOOKUP(INDIRECT(CHAR(39)&amp;$A2051&amp;CHAR(39)&amp;"!r2c"&amp;$C2051,0),variables,2,0)</f>
        <v>10813</v>
      </c>
      <c r="H2051" s="71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66" t="s">
        <v>1045</v>
      </c>
      <c r="B2052" s="66">
        <f t="shared" si="4193"/>
        <v>20</v>
      </c>
      <c r="C2052" s="66">
        <f t="shared" si="4145"/>
        <v>75</v>
      </c>
      <c r="E2052" s="66">
        <f t="shared" ref="E2052" si="4206">plan_id</f>
        <v>1952</v>
      </c>
      <c r="F2052" s="66">
        <f t="shared" ca="1" si="3755"/>
        <v>2017</v>
      </c>
      <c r="G2052" s="66">
        <f t="shared" ref="G2052" ca="1" si="4207">VLOOKUP(INDIRECT(CHAR(39)&amp;$A2052&amp;CHAR(39)&amp;"!r2c"&amp;$C2052,0),variables,2,0)</f>
        <v>10814</v>
      </c>
      <c r="H2052" s="71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-2300000</v>
      </c>
    </row>
    <row r="2053" spans="1:8" x14ac:dyDescent="0.2">
      <c r="A2053" s="66" t="s">
        <v>1045</v>
      </c>
      <c r="B2053" s="66">
        <f t="shared" si="4193"/>
        <v>20</v>
      </c>
      <c r="C2053" s="66">
        <f t="shared" si="4145"/>
        <v>76</v>
      </c>
      <c r="E2053" s="66">
        <f t="shared" ref="E2053" si="4208">plan_id</f>
        <v>1952</v>
      </c>
      <c r="F2053" s="66">
        <f t="shared" ca="1" si="3755"/>
        <v>2017</v>
      </c>
      <c r="G2053" s="66">
        <f t="shared" ref="G2053" ca="1" si="4209">VLOOKUP(INDIRECT(CHAR(39)&amp;$A2053&amp;CHAR(39)&amp;"!r2c"&amp;$C2053,0),variables,2,0)</f>
        <v>10815</v>
      </c>
      <c r="H2053" s="71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151600000.00000003</v>
      </c>
    </row>
    <row r="2054" spans="1:8" x14ac:dyDescent="0.2">
      <c r="A2054" s="66" t="s">
        <v>1045</v>
      </c>
      <c r="B2054" s="66">
        <f t="shared" si="4193"/>
        <v>20</v>
      </c>
      <c r="C2054" s="66">
        <f t="shared" si="4145"/>
        <v>77</v>
      </c>
      <c r="E2054" s="66">
        <f t="shared" ref="E2054" si="4210">plan_id</f>
        <v>1952</v>
      </c>
      <c r="F2054" s="66">
        <f t="shared" ca="1" si="3755"/>
        <v>2017</v>
      </c>
      <c r="G2054" s="66">
        <f t="shared" ref="G2054" ca="1" si="4211">VLOOKUP(INDIRECT(CHAR(39)&amp;$A2054&amp;CHAR(39)&amp;"!r2c"&amp;$C2054,0),variables,2,0)</f>
        <v>10816</v>
      </c>
      <c r="H2054" s="7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-214200000</v>
      </c>
    </row>
    <row r="2055" spans="1:8" x14ac:dyDescent="0.2">
      <c r="A2055" s="66" t="s">
        <v>1045</v>
      </c>
      <c r="B2055" s="66">
        <f t="shared" si="4193"/>
        <v>20</v>
      </c>
      <c r="C2055" s="66">
        <f t="shared" si="4145"/>
        <v>78</v>
      </c>
      <c r="E2055" s="66">
        <f t="shared" ref="E2055" si="4212">plan_id</f>
        <v>1952</v>
      </c>
      <c r="F2055" s="66">
        <f t="shared" ca="1" si="3755"/>
        <v>2017</v>
      </c>
      <c r="G2055" s="66">
        <f t="shared" ref="G2055" ca="1" si="4213">VLOOKUP(INDIRECT(CHAR(39)&amp;$A2055&amp;CHAR(39)&amp;"!r2c"&amp;$C2055,0),variables,2,0)</f>
        <v>10817</v>
      </c>
      <c r="H2055" s="7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66" t="s">
        <v>1045</v>
      </c>
      <c r="B2056" s="66">
        <f t="shared" si="4193"/>
        <v>20</v>
      </c>
      <c r="C2056" s="66">
        <f t="shared" si="4145"/>
        <v>79</v>
      </c>
      <c r="E2056" s="66">
        <f t="shared" ref="E2056" si="4214">plan_id</f>
        <v>1952</v>
      </c>
      <c r="F2056" s="66">
        <f t="shared" ca="1" si="3755"/>
        <v>2017</v>
      </c>
      <c r="G2056" s="66">
        <f t="shared" ref="G2056" ca="1" si="4215">VLOOKUP(INDIRECT(CHAR(39)&amp;$A2056&amp;CHAR(39)&amp;"!r2c"&amp;$C2056,0),variables,2,0)</f>
        <v>10818</v>
      </c>
      <c r="H2056" s="71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32299999.999999996</v>
      </c>
    </row>
    <row r="2057" spans="1:8" x14ac:dyDescent="0.2">
      <c r="A2057" s="66" t="s">
        <v>1045</v>
      </c>
      <c r="B2057" s="66">
        <f t="shared" si="4193"/>
        <v>20</v>
      </c>
      <c r="C2057" s="66">
        <f t="shared" si="4145"/>
        <v>80</v>
      </c>
      <c r="E2057" s="66">
        <f t="shared" ref="E2057" si="4216">plan_id</f>
        <v>1952</v>
      </c>
      <c r="F2057" s="66">
        <f t="shared" ca="1" si="3755"/>
        <v>2017</v>
      </c>
      <c r="G2057" s="66">
        <f t="shared" ref="G2057" ca="1" si="4217">VLOOKUP(INDIRECT(CHAR(39)&amp;$A2057&amp;CHAR(39)&amp;"!r2c"&amp;$C2057,0),variables,2,0)</f>
        <v>10819</v>
      </c>
      <c r="H2057" s="71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66" t="s">
        <v>1045</v>
      </c>
      <c r="B2058" s="66">
        <f t="shared" si="4193"/>
        <v>20</v>
      </c>
      <c r="C2058" s="66">
        <f t="shared" si="4145"/>
        <v>81</v>
      </c>
      <c r="E2058" s="66">
        <f t="shared" ref="E2058" si="4218">plan_id</f>
        <v>1952</v>
      </c>
      <c r="F2058" s="66">
        <f t="shared" ca="1" si="3755"/>
        <v>2017</v>
      </c>
      <c r="G2058" s="66">
        <f t="shared" ref="G2058" ca="1" si="4219">VLOOKUP(INDIRECT(CHAR(39)&amp;$A2058&amp;CHAR(39)&amp;"!r2c"&amp;$C2058,0),variables,2,0)</f>
        <v>10820</v>
      </c>
      <c r="H2058" s="71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49700000</v>
      </c>
    </row>
    <row r="2059" spans="1:8" x14ac:dyDescent="0.2">
      <c r="A2059" s="66" t="s">
        <v>1045</v>
      </c>
      <c r="B2059" s="66">
        <f t="shared" si="4193"/>
        <v>20</v>
      </c>
      <c r="C2059" s="66">
        <f t="shared" si="4145"/>
        <v>82</v>
      </c>
      <c r="E2059" s="66">
        <f t="shared" ref="E2059" si="4220">plan_id</f>
        <v>1952</v>
      </c>
      <c r="F2059" s="66">
        <f t="shared" ca="1" si="3755"/>
        <v>2017</v>
      </c>
      <c r="G2059" s="66">
        <f t="shared" ref="G2059" ca="1" si="4221">VLOOKUP(INDIRECT(CHAR(39)&amp;$A2059&amp;CHAR(39)&amp;"!r2c"&amp;$C2059,0),variables,2,0)</f>
        <v>10821</v>
      </c>
      <c r="H2059" s="71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66" t="s">
        <v>1045</v>
      </c>
      <c r="B2060" s="66">
        <f t="shared" si="4193"/>
        <v>20</v>
      </c>
      <c r="C2060" s="66">
        <f t="shared" si="4145"/>
        <v>83</v>
      </c>
      <c r="E2060" s="66">
        <f t="shared" ref="E2060" si="4222">plan_id</f>
        <v>1952</v>
      </c>
      <c r="F2060" s="66">
        <f t="shared" ca="1" si="3755"/>
        <v>2017</v>
      </c>
      <c r="G2060" s="66">
        <f t="shared" ref="G2060" ca="1" si="4223">VLOOKUP(INDIRECT(CHAR(39)&amp;$A2060&amp;CHAR(39)&amp;"!r2c"&amp;$C2060,0),variables,2,0)</f>
        <v>10822</v>
      </c>
      <c r="H2060" s="71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66" t="s">
        <v>1045</v>
      </c>
      <c r="B2061" s="66">
        <f t="shared" si="4193"/>
        <v>20</v>
      </c>
      <c r="C2061" s="66">
        <f t="shared" si="4145"/>
        <v>84</v>
      </c>
      <c r="E2061" s="66">
        <f t="shared" ref="E2061" si="4224">plan_id</f>
        <v>1952</v>
      </c>
      <c r="F2061" s="66">
        <f t="shared" ca="1" si="3755"/>
        <v>2017</v>
      </c>
      <c r="G2061" s="66">
        <f t="shared" ref="G2061" ca="1" si="4225">VLOOKUP(INDIRECT(CHAR(39)&amp;$A2061&amp;CHAR(39)&amp;"!r2c"&amp;$C2061,0),variables,2,0)</f>
        <v>10829</v>
      </c>
      <c r="H2061" s="71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1628321000</v>
      </c>
    </row>
    <row r="2062" spans="1:8" x14ac:dyDescent="0.2">
      <c r="A2062" s="66" t="s">
        <v>1045</v>
      </c>
      <c r="B2062" s="66">
        <f t="shared" si="4193"/>
        <v>20</v>
      </c>
      <c r="C2062" s="66">
        <f t="shared" si="4145"/>
        <v>85</v>
      </c>
      <c r="E2062" s="66">
        <f t="shared" ref="E2062" si="4226">plan_id</f>
        <v>1952</v>
      </c>
      <c r="F2062" s="66">
        <f t="shared" ca="1" si="3755"/>
        <v>2017</v>
      </c>
      <c r="G2062" s="66">
        <f t="shared" ref="G2062" ca="1" si="4227">VLOOKUP(INDIRECT(CHAR(39)&amp;$A2062&amp;CHAR(39)&amp;"!r2c"&amp;$C2062,0),variables,2,0)</f>
        <v>10823</v>
      </c>
      <c r="H2062" s="71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-1278218000</v>
      </c>
    </row>
    <row r="2063" spans="1:8" x14ac:dyDescent="0.2">
      <c r="A2063" s="66" t="s">
        <v>1045</v>
      </c>
      <c r="B2063" s="66">
        <f t="shared" si="4193"/>
        <v>20</v>
      </c>
      <c r="C2063" s="66">
        <f t="shared" si="4145"/>
        <v>86</v>
      </c>
      <c r="E2063" s="66">
        <f t="shared" ref="E2063" si="4228">plan_id</f>
        <v>1952</v>
      </c>
      <c r="F2063" s="66">
        <f t="shared" ca="1" si="3755"/>
        <v>2017</v>
      </c>
      <c r="G2063" s="66">
        <f t="shared" ref="G2063" ca="1" si="4229">VLOOKUP(INDIRECT(CHAR(39)&amp;$A2063&amp;CHAR(39)&amp;"!r2c"&amp;$C2063,0),variables,2,0)</f>
        <v>10798</v>
      </c>
      <c r="H2063" s="71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-33800000</v>
      </c>
    </row>
    <row r="2064" spans="1:8" x14ac:dyDescent="0.2">
      <c r="A2064" s="66" t="s">
        <v>1045</v>
      </c>
      <c r="B2064" s="66">
        <f t="shared" si="4193"/>
        <v>20</v>
      </c>
      <c r="C2064" s="66">
        <f t="shared" si="4145"/>
        <v>87</v>
      </c>
      <c r="E2064" s="66">
        <f t="shared" ref="E2064" si="4230">plan_id</f>
        <v>1952</v>
      </c>
      <c r="F2064" s="66">
        <f t="shared" ca="1" si="3755"/>
        <v>2017</v>
      </c>
      <c r="G2064" s="66">
        <f t="shared" ref="G2064" ca="1" si="4231">VLOOKUP(INDIRECT(CHAR(39)&amp;$A2064&amp;CHAR(39)&amp;"!r2c"&amp;$C2064,0),variables,2,0)</f>
        <v>10799</v>
      </c>
      <c r="H2064" s="7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-550200000</v>
      </c>
    </row>
    <row r="2065" spans="1:8" x14ac:dyDescent="0.2">
      <c r="A2065" s="66" t="s">
        <v>1045</v>
      </c>
      <c r="B2065" s="66">
        <f t="shared" si="4193"/>
        <v>20</v>
      </c>
      <c r="C2065" s="66">
        <f t="shared" si="4145"/>
        <v>88</v>
      </c>
      <c r="E2065" s="66">
        <f t="shared" ref="E2065" si="4232">plan_id</f>
        <v>1952</v>
      </c>
      <c r="F2065" s="66">
        <f t="shared" ca="1" si="3755"/>
        <v>2017</v>
      </c>
      <c r="G2065" s="66">
        <f t="shared" ref="G2065" ca="1" si="4233">VLOOKUP(INDIRECT(CHAR(39)&amp;$A2065&amp;CHAR(39)&amp;"!r2c"&amp;$C2065,0),variables,2,0)</f>
        <v>10800</v>
      </c>
      <c r="H2065" s="7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66" t="s">
        <v>1045</v>
      </c>
      <c r="B2066" s="66">
        <f t="shared" si="4193"/>
        <v>20</v>
      </c>
      <c r="C2066" s="66">
        <f t="shared" si="4145"/>
        <v>89</v>
      </c>
      <c r="E2066" s="66">
        <f t="shared" ref="E2066" si="4234">plan_id</f>
        <v>1952</v>
      </c>
      <c r="F2066" s="66">
        <f t="shared" ca="1" si="3755"/>
        <v>2017</v>
      </c>
      <c r="G2066" s="66">
        <f t="shared" ref="G2066" ca="1" si="4235">VLOOKUP(INDIRECT(CHAR(39)&amp;$A2066&amp;CHAR(39)&amp;"!r2c"&amp;$C2066,0),variables,2,0)</f>
        <v>10824</v>
      </c>
      <c r="H2066" s="7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66" t="s">
        <v>1045</v>
      </c>
      <c r="B2067" s="66">
        <f t="shared" si="4193"/>
        <v>20</v>
      </c>
      <c r="C2067" s="66">
        <f t="shared" si="4145"/>
        <v>90</v>
      </c>
      <c r="E2067" s="66">
        <f t="shared" ref="E2067" si="4236">plan_id</f>
        <v>1952</v>
      </c>
      <c r="F2067" s="66">
        <f t="shared" ca="1" si="3755"/>
        <v>2017</v>
      </c>
      <c r="G2067" s="66">
        <f t="shared" ref="G2067" ca="1" si="4237">VLOOKUP(INDIRECT(CHAR(39)&amp;$A2067&amp;CHAR(39)&amp;"!r2c"&amp;$C2067,0),variables,2,0)</f>
        <v>10825</v>
      </c>
      <c r="H2067" s="7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117300000</v>
      </c>
    </row>
    <row r="2068" spans="1:8" x14ac:dyDescent="0.2">
      <c r="A2068" s="66" t="s">
        <v>1045</v>
      </c>
      <c r="B2068" s="66">
        <f t="shared" si="4193"/>
        <v>20</v>
      </c>
      <c r="C2068" s="66">
        <f t="shared" si="4145"/>
        <v>91</v>
      </c>
      <c r="E2068" s="66">
        <f t="shared" ref="E2068" si="4238">plan_id</f>
        <v>1952</v>
      </c>
      <c r="F2068" s="66">
        <f t="shared" ca="1" si="3755"/>
        <v>2017</v>
      </c>
      <c r="G2068" s="66">
        <f t="shared" ref="G2068" ca="1" si="4239">VLOOKUP(INDIRECT(CHAR(39)&amp;$A2068&amp;CHAR(39)&amp;"!r2c"&amp;$C2068,0),variables,2,0)</f>
        <v>10826</v>
      </c>
      <c r="H2068" s="71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1545435000</v>
      </c>
    </row>
    <row r="2069" spans="1:8" x14ac:dyDescent="0.2">
      <c r="A2069" s="66" t="s">
        <v>1045</v>
      </c>
      <c r="B2069" s="66">
        <f t="shared" si="4193"/>
        <v>20</v>
      </c>
      <c r="C2069" s="66">
        <f t="shared" si="4145"/>
        <v>92</v>
      </c>
      <c r="E2069" s="66">
        <f t="shared" ref="E2069" si="4240">plan_id</f>
        <v>1952</v>
      </c>
      <c r="F2069" s="66">
        <f t="shared" ca="1" si="3755"/>
        <v>2017</v>
      </c>
      <c r="G2069" s="66">
        <f t="shared" ref="G2069" ca="1" si="4241">VLOOKUP(INDIRECT(CHAR(39)&amp;$A2069&amp;CHAR(39)&amp;"!r2c"&amp;$C2069,0),variables,2,0)</f>
        <v>10828</v>
      </c>
      <c r="H2069" s="71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66" t="s">
        <v>1045</v>
      </c>
      <c r="B2070" s="66">
        <f t="shared" si="4193"/>
        <v>20</v>
      </c>
      <c r="C2070" s="66">
        <f t="shared" si="4145"/>
        <v>93</v>
      </c>
      <c r="E2070" s="66">
        <f t="shared" ref="E2070" si="4242">plan_id</f>
        <v>1952</v>
      </c>
      <c r="F2070" s="66">
        <f t="shared" ca="1" si="3755"/>
        <v>2017</v>
      </c>
      <c r="G2070" s="66">
        <f t="shared" ref="G2070" ca="1" si="4243">VLOOKUP(INDIRECT(CHAR(39)&amp;$A2070&amp;CHAR(39)&amp;"!r2c"&amp;$C2070,0),variables,2,0)</f>
        <v>10827</v>
      </c>
      <c r="H2070" s="71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117500000</v>
      </c>
    </row>
    <row r="2071" spans="1:8" x14ac:dyDescent="0.2">
      <c r="A2071" s="66" t="s">
        <v>1045</v>
      </c>
      <c r="B2071" s="66">
        <f t="shared" ref="B2071:B2134" si="4244">B2006+1</f>
        <v>21</v>
      </c>
      <c r="C2071" s="66">
        <f t="shared" si="4145"/>
        <v>3</v>
      </c>
      <c r="E2071" s="66">
        <f t="shared" ref="E2071" si="4245">plan_id</f>
        <v>1952</v>
      </c>
      <c r="F2071" s="66">
        <f t="shared" ca="1" si="3755"/>
        <v>2018</v>
      </c>
      <c r="G2071" s="66">
        <f t="shared" ref="G2071" ca="1" si="4246">VLOOKUP(INDIRECT(CHAR(39)&amp;$A2071&amp;CHAR(39)&amp;"!r2c"&amp;$C2071,0),variables,2,0)</f>
        <v>10703</v>
      </c>
      <c r="H2071" s="71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N/A</v>
      </c>
    </row>
    <row r="2072" spans="1:8" x14ac:dyDescent="0.2">
      <c r="A2072" s="66" t="s">
        <v>1045</v>
      </c>
      <c r="B2072" s="66">
        <f t="shared" si="4244"/>
        <v>21</v>
      </c>
      <c r="C2072" s="66">
        <f t="shared" si="4145"/>
        <v>4</v>
      </c>
      <c r="E2072" s="66">
        <f t="shared" ref="E2072" si="4247">plan_id</f>
        <v>1952</v>
      </c>
      <c r="F2072" s="66">
        <f t="shared" ca="1" si="3755"/>
        <v>2018</v>
      </c>
      <c r="G2072" s="66">
        <f t="shared" ref="G2072" ca="1" si="4248">VLOOKUP(INDIRECT(CHAR(39)&amp;$A2072&amp;CHAR(39)&amp;"!r2c"&amp;$C2072,0),variables,2,0)</f>
        <v>10845</v>
      </c>
      <c r="H2072" s="71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,LLC</v>
      </c>
    </row>
    <row r="2073" spans="1:8" x14ac:dyDescent="0.2">
      <c r="A2073" s="66" t="s">
        <v>1045</v>
      </c>
      <c r="B2073" s="66">
        <f t="shared" si="4244"/>
        <v>21</v>
      </c>
      <c r="C2073" s="66">
        <f t="shared" si="4145"/>
        <v>5</v>
      </c>
      <c r="E2073" s="66">
        <f t="shared" ref="E2073" si="4249">plan_id</f>
        <v>1952</v>
      </c>
      <c r="F2073" s="66">
        <f t="shared" ca="1" si="3755"/>
        <v>2018</v>
      </c>
      <c r="G2073" s="66">
        <f t="shared" ref="G2073" ca="1" si="4250">VLOOKUP(INDIRECT(CHAR(39)&amp;$A2073&amp;CHAR(39)&amp;"!r2c"&amp;$C2073,0),variables,2,0)</f>
        <v>10924</v>
      </c>
      <c r="H2073" s="71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(i)9.42%; (ii)10.81%</v>
      </c>
    </row>
    <row r="2074" spans="1:8" x14ac:dyDescent="0.2">
      <c r="A2074" s="66" t="s">
        <v>1045</v>
      </c>
      <c r="B2074" s="66">
        <f t="shared" si="4244"/>
        <v>21</v>
      </c>
      <c r="C2074" s="66">
        <f t="shared" si="4145"/>
        <v>6</v>
      </c>
      <c r="E2074" s="66">
        <f t="shared" ref="E2074" si="4251">plan_id</f>
        <v>1952</v>
      </c>
      <c r="F2074" s="66">
        <f t="shared" ca="1" si="3755"/>
        <v>2018</v>
      </c>
      <c r="G2074" s="66">
        <f t="shared" ref="G2074" ca="1" si="4252">VLOOKUP(INDIRECT(CHAR(39)&amp;$A2074&amp;CHAR(39)&amp;"!r2c"&amp;$C2074,0),variables,2,0)</f>
        <v>10925</v>
      </c>
      <c r="H2074" s="71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(i)4.78%; (ii)6.1%</v>
      </c>
    </row>
    <row r="2075" spans="1:8" x14ac:dyDescent="0.2">
      <c r="A2075" s="66" t="s">
        <v>1045</v>
      </c>
      <c r="B2075" s="66">
        <f t="shared" si="4244"/>
        <v>21</v>
      </c>
      <c r="C2075" s="66">
        <f t="shared" si="4145"/>
        <v>7</v>
      </c>
      <c r="E2075" s="66">
        <f t="shared" ref="E2075" si="4253">plan_id</f>
        <v>1952</v>
      </c>
      <c r="F2075" s="66">
        <f t="shared" ca="1" si="3755"/>
        <v>2018</v>
      </c>
      <c r="G2075" s="66">
        <f t="shared" ref="G2075" ca="1" si="4254">VLOOKUP(INDIRECT(CHAR(39)&amp;$A2075&amp;CHAR(39)&amp;"!r2c"&amp;$C2075,0),variables,2,0)</f>
        <v>10926</v>
      </c>
      <c r="H2075" s="71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(i)4.64%; (ii)4.71%</v>
      </c>
    </row>
    <row r="2076" spans="1:8" x14ac:dyDescent="0.2">
      <c r="A2076" s="66" t="s">
        <v>1045</v>
      </c>
      <c r="B2076" s="66">
        <f t="shared" si="4244"/>
        <v>21</v>
      </c>
      <c r="C2076" s="66">
        <f t="shared" si="4145"/>
        <v>8</v>
      </c>
      <c r="E2076" s="66">
        <f t="shared" ref="E2076" si="4255">plan_id</f>
        <v>1952</v>
      </c>
      <c r="F2076" s="66">
        <f t="shared" ca="1" si="3755"/>
        <v>2018</v>
      </c>
      <c r="G2076" s="66">
        <f t="shared" ref="G2076" ca="1" si="4256">VLOOKUP(INDIRECT(CHAR(39)&amp;$A2076&amp;CHAR(39)&amp;"!r2c"&amp;$C2076,0),variables,2,0)</f>
        <v>10704</v>
      </c>
      <c r="H2076" s="71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1037385020</v>
      </c>
    </row>
    <row r="2077" spans="1:8" x14ac:dyDescent="0.2">
      <c r="A2077" s="66" t="s">
        <v>1045</v>
      </c>
      <c r="B2077" s="66">
        <f t="shared" si="4244"/>
        <v>21</v>
      </c>
      <c r="C2077" s="66">
        <f t="shared" si="4145"/>
        <v>9</v>
      </c>
      <c r="E2077" s="66">
        <f t="shared" ref="E2077" si="4257">plan_id</f>
        <v>1952</v>
      </c>
      <c r="F2077" s="66">
        <f t="shared" ca="1" si="3755"/>
        <v>2018</v>
      </c>
      <c r="G2077" s="66">
        <f t="shared" ref="G2077" ca="1" si="4258">VLOOKUP(INDIRECT(CHAR(39)&amp;$A2077&amp;CHAR(39)&amp;"!r2c"&amp;$C2077,0),variables,2,0)</f>
        <v>10928</v>
      </c>
      <c r="H2077" s="71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(i)7.86%; (ii)8.62%</v>
      </c>
    </row>
    <row r="2078" spans="1:8" x14ac:dyDescent="0.2">
      <c r="A2078" s="66" t="s">
        <v>1045</v>
      </c>
      <c r="B2078" s="66">
        <f t="shared" si="4244"/>
        <v>21</v>
      </c>
      <c r="C2078" s="66">
        <f t="shared" si="4145"/>
        <v>10</v>
      </c>
      <c r="E2078" s="66">
        <f t="shared" ref="E2078" si="4259">plan_id</f>
        <v>1952</v>
      </c>
      <c r="F2078" s="66">
        <f t="shared" ca="1" si="3755"/>
        <v>2018</v>
      </c>
      <c r="G2078" s="66">
        <f t="shared" ref="G2078" ca="1" si="4260">VLOOKUP(INDIRECT(CHAR(39)&amp;$A2078&amp;CHAR(39)&amp;"!r2c"&amp;$C2078,0),variables,2,0)</f>
        <v>10929</v>
      </c>
      <c r="H2078" s="71" t="str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(i)7.86%; (ii)8.62%</v>
      </c>
    </row>
    <row r="2079" spans="1:8" x14ac:dyDescent="0.2">
      <c r="A2079" s="66" t="s">
        <v>1045</v>
      </c>
      <c r="B2079" s="66">
        <f t="shared" si="4244"/>
        <v>21</v>
      </c>
      <c r="C2079" s="66">
        <f t="shared" si="4145"/>
        <v>11</v>
      </c>
      <c r="E2079" s="66">
        <f t="shared" ref="E2079" si="4261">plan_id</f>
        <v>1952</v>
      </c>
      <c r="F2079" s="66">
        <f t="shared" ca="1" si="3755"/>
        <v>2018</v>
      </c>
      <c r="G2079" s="66">
        <f t="shared" ref="G2079" ca="1" si="4262">VLOOKUP(INDIRECT(CHAR(39)&amp;$A2079&amp;CHAR(39)&amp;"!r2c"&amp;$C2079,0),variables,2,0)</f>
        <v>10930</v>
      </c>
      <c r="H2079" s="71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66" t="s">
        <v>1045</v>
      </c>
      <c r="B2080" s="66">
        <f t="shared" si="4244"/>
        <v>21</v>
      </c>
      <c r="C2080" s="66">
        <f t="shared" si="4145"/>
        <v>12</v>
      </c>
      <c r="E2080" s="66">
        <f t="shared" ref="E2080" si="4263">plan_id</f>
        <v>1952</v>
      </c>
      <c r="F2080" s="66">
        <f t="shared" ca="1" si="3755"/>
        <v>2018</v>
      </c>
      <c r="G2080" s="66">
        <f t="shared" ref="G2080" ca="1" si="4264">VLOOKUP(INDIRECT(CHAR(39)&amp;$A2080&amp;CHAR(39)&amp;"!r2c"&amp;$C2080,0),variables,2,0)</f>
        <v>10705</v>
      </c>
      <c r="H2080" s="7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834749000</v>
      </c>
    </row>
    <row r="2081" spans="1:8" x14ac:dyDescent="0.2">
      <c r="A2081" s="66" t="s">
        <v>1045</v>
      </c>
      <c r="B2081" s="66">
        <f t="shared" si="4244"/>
        <v>21</v>
      </c>
      <c r="C2081" s="66">
        <f t="shared" si="4145"/>
        <v>13</v>
      </c>
      <c r="E2081" s="66">
        <f t="shared" ref="E2081" si="4265">plan_id</f>
        <v>1952</v>
      </c>
      <c r="F2081" s="66">
        <f t="shared" ca="1" si="3755"/>
        <v>2018</v>
      </c>
      <c r="G2081" s="66">
        <f t="shared" ref="G2081" ca="1" si="4266">VLOOKUP(INDIRECT(CHAR(39)&amp;$A2081&amp;CHAR(39)&amp;"!r2c"&amp;$C2081,0),variables,2,0)</f>
        <v>10842</v>
      </c>
      <c r="H2081" s="71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66" t="s">
        <v>1045</v>
      </c>
      <c r="B2082" s="66">
        <f t="shared" si="4244"/>
        <v>21</v>
      </c>
      <c r="C2082" s="66">
        <f t="shared" si="4145"/>
        <v>14</v>
      </c>
      <c r="E2082" s="66">
        <f t="shared" ref="E2082" si="4267">plan_id</f>
        <v>1952</v>
      </c>
      <c r="F2082" s="66">
        <f t="shared" ca="1" si="3755"/>
        <v>2018</v>
      </c>
      <c r="G2082" s="66">
        <f t="shared" ref="G2082" ca="1" si="4268">VLOOKUP(INDIRECT(CHAR(39)&amp;$A2082&amp;CHAR(39)&amp;"!r2c"&amp;$C2082,0),variables,2,0)</f>
        <v>10843</v>
      </c>
      <c r="H2082" s="71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66" t="s">
        <v>1045</v>
      </c>
      <c r="B2083" s="66">
        <f t="shared" si="4244"/>
        <v>21</v>
      </c>
      <c r="C2083" s="66">
        <f t="shared" si="4145"/>
        <v>15</v>
      </c>
      <c r="E2083" s="66">
        <f t="shared" ref="E2083" si="4269">plan_id</f>
        <v>1952</v>
      </c>
      <c r="F2083" s="66">
        <f t="shared" ca="1" si="3755"/>
        <v>2018</v>
      </c>
      <c r="G2083" s="66">
        <f t="shared" ref="G2083" ca="1" si="4270">VLOOKUP(INDIRECT(CHAR(39)&amp;$A2083&amp;CHAR(39)&amp;"!r2c"&amp;$C2083,0),variables,2,0)</f>
        <v>10931</v>
      </c>
      <c r="H2083" s="7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66" t="s">
        <v>1045</v>
      </c>
      <c r="B2084" s="66">
        <f t="shared" si="4244"/>
        <v>21</v>
      </c>
      <c r="C2084" s="66">
        <f t="shared" si="4145"/>
        <v>16</v>
      </c>
      <c r="E2084" s="66">
        <f t="shared" ref="E2084" si="4271">plan_id</f>
        <v>1952</v>
      </c>
      <c r="F2084" s="66">
        <f t="shared" ca="1" si="3755"/>
        <v>2018</v>
      </c>
      <c r="G2084" s="66">
        <f t="shared" ref="G2084" ca="1" si="4272">VLOOKUP(INDIRECT(CHAR(39)&amp;$A2084&amp;CHAR(39)&amp;"!r2c"&amp;$C2084,0),variables,2,0)</f>
        <v>10932</v>
      </c>
      <c r="H2084" s="7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66" t="s">
        <v>1045</v>
      </c>
      <c r="B2085" s="66">
        <f t="shared" si="4244"/>
        <v>21</v>
      </c>
      <c r="C2085" s="66">
        <f t="shared" si="4145"/>
        <v>17</v>
      </c>
      <c r="E2085" s="66">
        <f t="shared" ref="E2085" si="4273">plan_id</f>
        <v>1952</v>
      </c>
      <c r="F2085" s="66">
        <f t="shared" ca="1" si="3755"/>
        <v>2018</v>
      </c>
      <c r="G2085" s="66">
        <f t="shared" ref="G2085" ca="1" si="4274">VLOOKUP(INDIRECT(CHAR(39)&amp;$A2085&amp;CHAR(39)&amp;"!r2c"&amp;$C2085,0),variables,2,0)</f>
        <v>10933</v>
      </c>
      <c r="H2085" s="71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(i)12.64%; (ii)14.72%</v>
      </c>
    </row>
    <row r="2086" spans="1:8" x14ac:dyDescent="0.2">
      <c r="A2086" s="66" t="s">
        <v>1045</v>
      </c>
      <c r="B2086" s="66">
        <f t="shared" si="4244"/>
        <v>21</v>
      </c>
      <c r="C2086" s="66">
        <f t="shared" si="4145"/>
        <v>18</v>
      </c>
      <c r="E2086" s="66">
        <f t="shared" ref="E2086" si="4275">plan_id</f>
        <v>1952</v>
      </c>
      <c r="F2086" s="66">
        <f t="shared" ca="1" si="3755"/>
        <v>2018</v>
      </c>
      <c r="G2086" s="66">
        <f t="shared" ref="G2086" ca="1" si="4276">VLOOKUP(INDIRECT(CHAR(39)&amp;$A2086&amp;CHAR(39)&amp;"!r2c"&amp;$C2086,0),variables,2,0)</f>
        <v>10934</v>
      </c>
      <c r="H2086" s="71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(i)4.64%; (ii)4.71%</v>
      </c>
    </row>
    <row r="2087" spans="1:8" x14ac:dyDescent="0.2">
      <c r="A2087" s="66" t="s">
        <v>1045</v>
      </c>
      <c r="B2087" s="66">
        <f t="shared" si="4244"/>
        <v>21</v>
      </c>
      <c r="C2087" s="66">
        <f t="shared" ref="C2087:C2150" si="4277">C1996</f>
        <v>19</v>
      </c>
      <c r="E2087" s="66">
        <f t="shared" ref="E2087" si="4278">plan_id</f>
        <v>1952</v>
      </c>
      <c r="F2087" s="66">
        <f t="shared" ref="F2087:F2150" ca="1" si="4279">INDIRECT(CHAR(39)&amp;$A2087&amp;CHAR(39)&amp;"!r"&amp;$B2087&amp;"c2",0)</f>
        <v>2018</v>
      </c>
      <c r="G2087" s="66">
        <f t="shared" ref="G2087" ca="1" si="4280">VLOOKUP(INDIRECT(CHAR(39)&amp;$A2087&amp;CHAR(39)&amp;"!r2c"&amp;$C2087,0),variables,2,0)</f>
        <v>10935</v>
      </c>
      <c r="H2087" s="71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66" t="s">
        <v>1045</v>
      </c>
      <c r="B2088" s="66">
        <f t="shared" si="4244"/>
        <v>21</v>
      </c>
      <c r="C2088" s="66">
        <f t="shared" si="4277"/>
        <v>20</v>
      </c>
      <c r="E2088" s="66">
        <f t="shared" ref="E2088" si="4281">plan_id</f>
        <v>1952</v>
      </c>
      <c r="F2088" s="66">
        <f t="shared" ca="1" si="4279"/>
        <v>2018</v>
      </c>
      <c r="G2088" s="66">
        <f t="shared" ref="G2088" ca="1" si="4282">VLOOKUP(INDIRECT(CHAR(39)&amp;$A2088&amp;CHAR(39)&amp;"!r2c"&amp;$C2088,0),variables,2,0)</f>
        <v>10937</v>
      </c>
      <c r="H2088" s="71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66" t="s">
        <v>1045</v>
      </c>
      <c r="B2089" s="66">
        <f t="shared" si="4244"/>
        <v>21</v>
      </c>
      <c r="C2089" s="66">
        <f t="shared" si="4277"/>
        <v>21</v>
      </c>
      <c r="E2089" s="66">
        <f t="shared" ref="E2089" si="4283">plan_id</f>
        <v>1952</v>
      </c>
      <c r="F2089" s="66">
        <f t="shared" ca="1" si="4279"/>
        <v>2018</v>
      </c>
      <c r="G2089" s="66">
        <f t="shared" ref="G2089" ca="1" si="4284">VLOOKUP(INDIRECT(CHAR(39)&amp;$A2089&amp;CHAR(39)&amp;"!r2c"&amp;$C2089,0),variables,2,0)</f>
        <v>10938</v>
      </c>
      <c r="H2089" s="7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66" t="s">
        <v>1045</v>
      </c>
      <c r="B2090" s="66">
        <f t="shared" si="4244"/>
        <v>21</v>
      </c>
      <c r="C2090" s="66">
        <f t="shared" si="4277"/>
        <v>22</v>
      </c>
      <c r="E2090" s="66">
        <f t="shared" ref="E2090" si="4285">plan_id</f>
        <v>1952</v>
      </c>
      <c r="F2090" s="66">
        <f t="shared" ca="1" si="4279"/>
        <v>2018</v>
      </c>
      <c r="G2090" s="66">
        <f t="shared" ref="G2090" ca="1" si="4286">VLOOKUP(INDIRECT(CHAR(39)&amp;$A2090&amp;CHAR(39)&amp;"!r2c"&amp;$C2090,0),variables,2,0)</f>
        <v>11007</v>
      </c>
      <c r="H2090" s="71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 xml:space="preserve">Plan 1: 1.7% of AFC times years of service; Plan 2: 1.7% AFC times years of service up to 1/1/13 + 1.65% AFC times years of service from 1/1/13; Hybrid: 1% AFC times years of service </v>
      </c>
    </row>
    <row r="2091" spans="1:8" x14ac:dyDescent="0.2">
      <c r="A2091" s="66" t="s">
        <v>1045</v>
      </c>
      <c r="B2091" s="66">
        <f t="shared" si="4244"/>
        <v>21</v>
      </c>
      <c r="C2091" s="66">
        <f t="shared" si="4277"/>
        <v>23</v>
      </c>
      <c r="E2091" s="66">
        <f t="shared" ref="E2091" si="4287">plan_id</f>
        <v>1952</v>
      </c>
      <c r="F2091" s="66">
        <f t="shared" ca="1" si="4279"/>
        <v>2018</v>
      </c>
      <c r="G2091" s="66">
        <f t="shared" ref="G2091" ca="1" si="4288">VLOOKUP(INDIRECT(CHAR(39)&amp;$A2091&amp;CHAR(39)&amp;"!r2c"&amp;$C2091,0),variables,2,0)</f>
        <v>10941</v>
      </c>
      <c r="H2091" s="71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66" t="s">
        <v>1045</v>
      </c>
      <c r="B2092" s="66">
        <f t="shared" si="4244"/>
        <v>21</v>
      </c>
      <c r="C2092" s="66">
        <f t="shared" si="4277"/>
        <v>24</v>
      </c>
      <c r="E2092" s="66">
        <f t="shared" ref="E2092" si="4289">plan_id</f>
        <v>1952</v>
      </c>
      <c r="F2092" s="66">
        <f t="shared" ca="1" si="4279"/>
        <v>2018</v>
      </c>
      <c r="G2092" s="66">
        <f t="shared" ref="G2092" ca="1" si="4290">VLOOKUP(INDIRECT(CHAR(39)&amp;$A2092&amp;CHAR(39)&amp;"!r2c"&amp;$C2092,0),variables,2,0)</f>
        <v>10942</v>
      </c>
      <c r="H2092" s="71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66" t="s">
        <v>1045</v>
      </c>
      <c r="B2093" s="66">
        <f t="shared" si="4244"/>
        <v>21</v>
      </c>
      <c r="C2093" s="66">
        <f t="shared" si="4277"/>
        <v>25</v>
      </c>
      <c r="E2093" s="66">
        <f t="shared" ref="E2093" si="4291">plan_id</f>
        <v>1952</v>
      </c>
      <c r="F2093" s="66">
        <f t="shared" ca="1" si="4279"/>
        <v>2018</v>
      </c>
      <c r="G2093" s="66">
        <f t="shared" ref="G2093" ca="1" si="4292">VLOOKUP(INDIRECT(CHAR(39)&amp;$A2093&amp;CHAR(39)&amp;"!r2c"&amp;$C2093,0),variables,2,0)</f>
        <v>10701</v>
      </c>
      <c r="H2093" s="71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2">
      <c r="A2094" s="66" t="s">
        <v>1045</v>
      </c>
      <c r="B2094" s="66">
        <f t="shared" si="4244"/>
        <v>21</v>
      </c>
      <c r="C2094" s="66">
        <f t="shared" si="4277"/>
        <v>26</v>
      </c>
      <c r="E2094" s="66">
        <f t="shared" ref="E2094" si="4293">plan_id</f>
        <v>1952</v>
      </c>
      <c r="F2094" s="66">
        <f t="shared" ca="1" si="4279"/>
        <v>2018</v>
      </c>
      <c r="G2094" s="66">
        <f t="shared" ref="G2094" ca="1" si="4294">VLOOKUP(INDIRECT(CHAR(39)&amp;$A2094&amp;CHAR(39)&amp;"!r2c"&amp;$C2094,0),variables,2,0)</f>
        <v>10702</v>
      </c>
      <c r="H2094" s="71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66" t="s">
        <v>1045</v>
      </c>
      <c r="B2095" s="66">
        <f t="shared" si="4244"/>
        <v>21</v>
      </c>
      <c r="C2095" s="66">
        <f t="shared" si="4277"/>
        <v>27</v>
      </c>
      <c r="E2095" s="66">
        <f t="shared" ref="E2095" si="4295">plan_id</f>
        <v>1952</v>
      </c>
      <c r="F2095" s="66">
        <f t="shared" ca="1" si="4279"/>
        <v>2018</v>
      </c>
      <c r="G2095" s="66">
        <f t="shared" ref="G2095" ca="1" si="4296">VLOOKUP(INDIRECT(CHAR(39)&amp;$A2095&amp;CHAR(39)&amp;"!r2c"&amp;$C2095,0),variables,2,0)</f>
        <v>10943</v>
      </c>
      <c r="H2095" s="71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Plan 1: 2.50%; Plan 2: 2.25%</v>
      </c>
    </row>
    <row r="2096" spans="1:8" x14ac:dyDescent="0.2">
      <c r="A2096" s="66" t="s">
        <v>1045</v>
      </c>
      <c r="B2096" s="66">
        <f t="shared" si="4244"/>
        <v>21</v>
      </c>
      <c r="C2096" s="66">
        <f t="shared" si="4277"/>
        <v>28</v>
      </c>
      <c r="E2096" s="66">
        <f t="shared" ref="E2096" si="4297">plan_id</f>
        <v>1952</v>
      </c>
      <c r="F2096" s="66">
        <f t="shared" ca="1" si="4279"/>
        <v>2018</v>
      </c>
      <c r="G2096" s="66">
        <f t="shared" ref="G2096" ca="1" si="4298">VLOOKUP(INDIRECT(CHAR(39)&amp;$A2096&amp;CHAR(39)&amp;"!r2c"&amp;$C2096,0),variables,2,0)</f>
        <v>10944</v>
      </c>
      <c r="H2096" s="71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66" t="s">
        <v>1045</v>
      </c>
      <c r="B2097" s="66">
        <f t="shared" si="4244"/>
        <v>21</v>
      </c>
      <c r="C2097" s="66">
        <f t="shared" si="4277"/>
        <v>29</v>
      </c>
      <c r="E2097" s="66">
        <f t="shared" ref="E2097" si="4299">plan_id</f>
        <v>1952</v>
      </c>
      <c r="F2097" s="66">
        <f t="shared" ca="1" si="4279"/>
        <v>2018</v>
      </c>
      <c r="G2097" s="66">
        <f t="shared" ref="G2097" ca="1" si="4300">VLOOKUP(INDIRECT(CHAR(39)&amp;$A2097&amp;CHAR(39)&amp;"!r2c"&amp;$C2097,0),variables,2,0)</f>
        <v>10945</v>
      </c>
      <c r="H2097" s="71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66" t="s">
        <v>1045</v>
      </c>
      <c r="B2098" s="66">
        <f t="shared" si="4244"/>
        <v>21</v>
      </c>
      <c r="C2098" s="66">
        <f t="shared" si="4277"/>
        <v>30</v>
      </c>
      <c r="E2098" s="66">
        <f t="shared" ref="E2098" si="4301">plan_id</f>
        <v>1952</v>
      </c>
      <c r="F2098" s="66">
        <f t="shared" ca="1" si="4279"/>
        <v>2018</v>
      </c>
      <c r="G2098" s="66">
        <f t="shared" ref="G2098" ca="1" si="4302">VLOOKUP(INDIRECT(CHAR(39)&amp;$A2098&amp;CHAR(39)&amp;"!r2c"&amp;$C2098,0),variables,2,0)</f>
        <v>10947</v>
      </c>
      <c r="H2098" s="71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66" t="s">
        <v>1045</v>
      </c>
      <c r="B2099" s="66">
        <f t="shared" si="4244"/>
        <v>21</v>
      </c>
      <c r="C2099" s="66">
        <f t="shared" si="4277"/>
        <v>31</v>
      </c>
      <c r="E2099" s="66">
        <f t="shared" ref="E2099" si="4303">plan_id</f>
        <v>1952</v>
      </c>
      <c r="F2099" s="66">
        <f t="shared" ca="1" si="4279"/>
        <v>2018</v>
      </c>
      <c r="G2099" s="66">
        <f t="shared" ref="G2099" ca="1" si="4304">VLOOKUP(INDIRECT(CHAR(39)&amp;$A2099&amp;CHAR(39)&amp;"!r2c"&amp;$C2099,0),variables,2,0)</f>
        <v>10948</v>
      </c>
      <c r="H2099" s="71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2">
      <c r="A2100" s="66" t="s">
        <v>1045</v>
      </c>
      <c r="B2100" s="66">
        <f t="shared" si="4244"/>
        <v>21</v>
      </c>
      <c r="C2100" s="66">
        <f t="shared" si="4277"/>
        <v>32</v>
      </c>
      <c r="E2100" s="66">
        <f t="shared" ref="E2100" si="4305">plan_id</f>
        <v>1952</v>
      </c>
      <c r="F2100" s="66">
        <f t="shared" ca="1" si="4279"/>
        <v>2018</v>
      </c>
      <c r="G2100" s="66">
        <f t="shared" ref="G2100" ca="1" si="4306">VLOOKUP(INDIRECT(CHAR(39)&amp;$A2100&amp;CHAR(39)&amp;"!r2c"&amp;$C2100,0),variables,2,0)</f>
        <v>10949</v>
      </c>
      <c r="H2100" s="71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Yes</v>
      </c>
    </row>
    <row r="2101" spans="1:8" x14ac:dyDescent="0.2">
      <c r="A2101" s="66" t="s">
        <v>1045</v>
      </c>
      <c r="B2101" s="66">
        <f t="shared" si="4244"/>
        <v>21</v>
      </c>
      <c r="C2101" s="66">
        <f t="shared" si="4277"/>
        <v>33</v>
      </c>
      <c r="E2101" s="66">
        <f t="shared" ref="E2101" si="4307">plan_id</f>
        <v>1952</v>
      </c>
      <c r="F2101" s="66">
        <f t="shared" ca="1" si="4279"/>
        <v>2018</v>
      </c>
      <c r="G2101" s="66">
        <f t="shared" ref="G2101" ca="1" si="4308">VLOOKUP(INDIRECT(CHAR(39)&amp;$A2101&amp;CHAR(39)&amp;"!r2c"&amp;$C2101,0),variables,2,0)</f>
        <v>10951</v>
      </c>
      <c r="H2101" s="71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2">
      <c r="A2102" s="66" t="s">
        <v>1045</v>
      </c>
      <c r="B2102" s="66">
        <f t="shared" si="4244"/>
        <v>21</v>
      </c>
      <c r="C2102" s="66">
        <f t="shared" si="4277"/>
        <v>34</v>
      </c>
      <c r="E2102" s="66">
        <f t="shared" ref="E2102" si="4309">plan_id</f>
        <v>1952</v>
      </c>
      <c r="F2102" s="66">
        <f t="shared" ca="1" si="4279"/>
        <v>2018</v>
      </c>
      <c r="G2102" s="66">
        <f t="shared" ref="G2102" ca="1" si="4310">VLOOKUP(INDIRECT(CHAR(39)&amp;$A2102&amp;CHAR(39)&amp;"!r2c"&amp;$C2102,0),variables,2,0)</f>
        <v>10950</v>
      </c>
      <c r="H2102" s="71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2">
      <c r="A2103" s="66" t="s">
        <v>1045</v>
      </c>
      <c r="B2103" s="66">
        <f t="shared" si="4244"/>
        <v>21</v>
      </c>
      <c r="C2103" s="66">
        <f t="shared" si="4277"/>
        <v>35</v>
      </c>
      <c r="E2103" s="66">
        <f t="shared" ref="E2103" si="4311">plan_id</f>
        <v>1952</v>
      </c>
      <c r="F2103" s="66">
        <f t="shared" ca="1" si="4279"/>
        <v>2018</v>
      </c>
      <c r="G2103" s="66">
        <f t="shared" ref="G2103" ca="1" si="4312">VLOOKUP(INDIRECT(CHAR(39)&amp;$A2103&amp;CHAR(39)&amp;"!r2c"&amp;$C2103,0),variables,2,0)</f>
        <v>10954</v>
      </c>
      <c r="H2103" s="71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2">
      <c r="A2104" s="66" t="s">
        <v>1045</v>
      </c>
      <c r="B2104" s="66">
        <f t="shared" si="4244"/>
        <v>21</v>
      </c>
      <c r="C2104" s="66">
        <f t="shared" si="4277"/>
        <v>36</v>
      </c>
      <c r="E2104" s="66">
        <f t="shared" ref="E2104" si="4313">plan_id</f>
        <v>1952</v>
      </c>
      <c r="F2104" s="66">
        <f t="shared" ca="1" si="4279"/>
        <v>2018</v>
      </c>
      <c r="G2104" s="66">
        <f t="shared" ref="G2104" ca="1" si="4314">VLOOKUP(INDIRECT(CHAR(39)&amp;$A2104&amp;CHAR(39)&amp;"!r2c"&amp;$C2104,0),variables,2,0)</f>
        <v>10955</v>
      </c>
      <c r="H2104" s="71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2">
      <c r="A2105" s="66" t="s">
        <v>1045</v>
      </c>
      <c r="B2105" s="66">
        <f t="shared" si="4244"/>
        <v>21</v>
      </c>
      <c r="C2105" s="66">
        <f t="shared" si="4277"/>
        <v>37</v>
      </c>
      <c r="E2105" s="66">
        <f t="shared" ref="E2105" si="4315">plan_id</f>
        <v>1952</v>
      </c>
      <c r="F2105" s="66">
        <f t="shared" ca="1" si="4279"/>
        <v>2018</v>
      </c>
      <c r="G2105" s="66">
        <f t="shared" ref="G2105" ca="1" si="4316">VLOOKUP(INDIRECT(CHAR(39)&amp;$A2105&amp;CHAR(39)&amp;"!r2c"&amp;$C2105,0),variables,2,0)</f>
        <v>10956</v>
      </c>
      <c r="H2105" s="71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2">
      <c r="A2106" s="66" t="s">
        <v>1045</v>
      </c>
      <c r="B2106" s="66">
        <f t="shared" si="4244"/>
        <v>21</v>
      </c>
      <c r="C2106" s="66">
        <f t="shared" si="4277"/>
        <v>38</v>
      </c>
      <c r="E2106" s="66">
        <f t="shared" ref="E2106" si="4317">plan_id</f>
        <v>1952</v>
      </c>
      <c r="F2106" s="66">
        <f t="shared" ca="1" si="4279"/>
        <v>2018</v>
      </c>
      <c r="G2106" s="66">
        <f t="shared" ref="G2106" ca="1" si="4318">VLOOKUP(INDIRECT(CHAR(39)&amp;$A2106&amp;CHAR(39)&amp;"!r2c"&amp;$C2106,0),variables,2,0)</f>
        <v>10959</v>
      </c>
      <c r="H2106" s="71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SE-3.50% to 5.35% &amp; Teach 3.50% to 5.95%</v>
      </c>
    </row>
    <row r="2107" spans="1:8" x14ac:dyDescent="0.2">
      <c r="A2107" s="66" t="s">
        <v>1045</v>
      </c>
      <c r="B2107" s="66">
        <f t="shared" si="4244"/>
        <v>21</v>
      </c>
      <c r="C2107" s="66">
        <f t="shared" si="4277"/>
        <v>39</v>
      </c>
      <c r="E2107" s="66">
        <f t="shared" ref="E2107" si="4319">plan_id</f>
        <v>1952</v>
      </c>
      <c r="F2107" s="66">
        <f t="shared" ca="1" si="4279"/>
        <v>2018</v>
      </c>
      <c r="G2107" s="66">
        <f t="shared" ref="G2107" ca="1" si="4320">VLOOKUP(INDIRECT(CHAR(39)&amp;$A2107&amp;CHAR(39)&amp;"!r2c"&amp;$C2107,0),variables,2,0)</f>
        <v>10962</v>
      </c>
      <c r="H2107" s="71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60 &amp; 68</v>
      </c>
    </row>
    <row r="2108" spans="1:8" x14ac:dyDescent="0.2">
      <c r="A2108" s="66" t="s">
        <v>1045</v>
      </c>
      <c r="B2108" s="66">
        <f t="shared" si="4244"/>
        <v>21</v>
      </c>
      <c r="C2108" s="66">
        <f t="shared" si="4277"/>
        <v>40</v>
      </c>
      <c r="E2108" s="66">
        <f t="shared" ref="E2108" si="4321">plan_id</f>
        <v>1952</v>
      </c>
      <c r="F2108" s="66">
        <f t="shared" ca="1" si="4279"/>
        <v>2018</v>
      </c>
      <c r="G2108" s="66">
        <f t="shared" ref="G2108" ca="1" si="4322">VLOOKUP(INDIRECT(CHAR(39)&amp;$A2108&amp;CHAR(39)&amp;"!r2c"&amp;$C2108,0),variables,2,0)</f>
        <v>10964</v>
      </c>
      <c r="H2108" s="71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55-58 &amp; 64-66</v>
      </c>
    </row>
    <row r="2109" spans="1:8" x14ac:dyDescent="0.2">
      <c r="A2109" s="66" t="s">
        <v>1045</v>
      </c>
      <c r="B2109" s="66">
        <f t="shared" si="4244"/>
        <v>21</v>
      </c>
      <c r="C2109" s="66">
        <f t="shared" si="4277"/>
        <v>41</v>
      </c>
      <c r="E2109" s="66">
        <f t="shared" ref="E2109" si="4323">plan_id</f>
        <v>1952</v>
      </c>
      <c r="F2109" s="66">
        <f t="shared" ca="1" si="4279"/>
        <v>2018</v>
      </c>
      <c r="G2109" s="66">
        <f t="shared" ref="G2109" ca="1" si="4324">VLOOKUP(INDIRECT(CHAR(39)&amp;$A2109&amp;CHAR(39)&amp;"!r2c"&amp;$C2109,0),variables,2,0)</f>
        <v>10967</v>
      </c>
      <c r="H2109" s="71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Employee Rates, Annuitant Rates, White Collar Rates</v>
      </c>
    </row>
    <row r="2110" spans="1:8" x14ac:dyDescent="0.2">
      <c r="A2110" s="66" t="s">
        <v>1045</v>
      </c>
      <c r="B2110" s="66">
        <f t="shared" si="4244"/>
        <v>21</v>
      </c>
      <c r="C2110" s="66">
        <f t="shared" si="4277"/>
        <v>42</v>
      </c>
      <c r="E2110" s="66">
        <f t="shared" ref="E2110" si="4325">plan_id</f>
        <v>1952</v>
      </c>
      <c r="F2110" s="66">
        <f t="shared" ca="1" si="4279"/>
        <v>2018</v>
      </c>
      <c r="G2110" s="66">
        <f t="shared" ref="G2110" ca="1" si="4326">VLOOKUP(INDIRECT(CHAR(39)&amp;$A2110&amp;CHAR(39)&amp;"!r2c"&amp;$C2110,0),variables,2,0)</f>
        <v>10968</v>
      </c>
      <c r="H2110" s="71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2">
      <c r="A2111" s="66" t="s">
        <v>1045</v>
      </c>
      <c r="B2111" s="66">
        <f t="shared" si="4244"/>
        <v>21</v>
      </c>
      <c r="C2111" s="66">
        <f t="shared" si="4277"/>
        <v>43</v>
      </c>
      <c r="E2111" s="66">
        <f t="shared" ref="E2111" si="4327">plan_id</f>
        <v>1952</v>
      </c>
      <c r="F2111" s="66">
        <f t="shared" ca="1" si="4279"/>
        <v>2018</v>
      </c>
      <c r="G2111" s="66">
        <f t="shared" ref="G2111" ca="1" si="4328">VLOOKUP(INDIRECT(CHAR(39)&amp;$A2111&amp;CHAR(39)&amp;"!r2c"&amp;$C2111,0),variables,2,0)</f>
        <v>10969</v>
      </c>
      <c r="H2111" s="71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 xml:space="preserve">Scale BB  </v>
      </c>
    </row>
    <row r="2112" spans="1:8" x14ac:dyDescent="0.2">
      <c r="A2112" s="66" t="s">
        <v>1045</v>
      </c>
      <c r="B2112" s="66">
        <f t="shared" si="4244"/>
        <v>21</v>
      </c>
      <c r="C2112" s="66">
        <f t="shared" si="4277"/>
        <v>44</v>
      </c>
      <c r="E2112" s="66">
        <f t="shared" ref="E2112" si="4329">plan_id</f>
        <v>1952</v>
      </c>
      <c r="F2112" s="66">
        <f t="shared" ca="1" si="4279"/>
        <v>2018</v>
      </c>
      <c r="G2112" s="66">
        <f t="shared" ref="G2112" ca="1" si="4330">VLOOKUP(INDIRECT(CHAR(39)&amp;$A2112&amp;CHAR(39)&amp;"!r2c"&amp;$C2112,0),variables,2,0)</f>
        <v>10970</v>
      </c>
      <c r="H2112" s="71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State Pre- 1 Year, Post- Females 1 Year; Teachers: Females- 3 Years</v>
      </c>
    </row>
    <row r="2113" spans="1:8" x14ac:dyDescent="0.2">
      <c r="A2113" s="66" t="s">
        <v>1045</v>
      </c>
      <c r="B2113" s="66">
        <f t="shared" si="4244"/>
        <v>21</v>
      </c>
      <c r="C2113" s="66">
        <f t="shared" si="4277"/>
        <v>45</v>
      </c>
      <c r="E2113" s="66">
        <f t="shared" ref="E2113" si="4331">plan_id</f>
        <v>1952</v>
      </c>
      <c r="F2113" s="66">
        <f t="shared" ca="1" si="4279"/>
        <v>2018</v>
      </c>
      <c r="G2113" s="66">
        <f t="shared" ref="G2113" ca="1" si="4332">VLOOKUP(INDIRECT(CHAR(39)&amp;$A2113&amp;CHAR(39)&amp;"!r2c"&amp;$C2113,0),variables,2,0)</f>
        <v>10971</v>
      </c>
      <c r="H2113" s="71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State Post- Males: 1 Year</v>
      </c>
    </row>
    <row r="2114" spans="1:8" x14ac:dyDescent="0.2">
      <c r="A2114" s="66" t="s">
        <v>1045</v>
      </c>
      <c r="B2114" s="66">
        <f t="shared" si="4244"/>
        <v>21</v>
      </c>
      <c r="C2114" s="66">
        <f t="shared" si="4277"/>
        <v>46</v>
      </c>
      <c r="E2114" s="66">
        <f t="shared" ref="E2114" si="4333">plan_id</f>
        <v>1952</v>
      </c>
      <c r="F2114" s="66">
        <f t="shared" ca="1" si="4279"/>
        <v>2018</v>
      </c>
      <c r="G2114" s="66">
        <f t="shared" ref="G2114" ca="1" si="4334">VLOOKUP(INDIRECT(CHAR(39)&amp;$A2114&amp;CHAR(39)&amp;"!r2c"&amp;$C2114,0),variables,2,0)</f>
        <v>10972</v>
      </c>
      <c r="H2114" s="71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Payroll, Closed</v>
      </c>
    </row>
    <row r="2115" spans="1:8" x14ac:dyDescent="0.2">
      <c r="A2115" s="66" t="s">
        <v>1045</v>
      </c>
      <c r="B2115" s="66">
        <f t="shared" si="4244"/>
        <v>21</v>
      </c>
      <c r="C2115" s="66">
        <f t="shared" si="4277"/>
        <v>47</v>
      </c>
      <c r="E2115" s="66">
        <f t="shared" ref="E2115" si="4335">plan_id</f>
        <v>1952</v>
      </c>
      <c r="F2115" s="66">
        <f t="shared" ca="1" si="4279"/>
        <v>2018</v>
      </c>
      <c r="G2115" s="66">
        <f t="shared" ref="G2115" ca="1" si="4336">VLOOKUP(INDIRECT(CHAR(39)&amp;$A2115&amp;CHAR(39)&amp;"!r2c"&amp;$C2115,0),variables,2,0)</f>
        <v>10973</v>
      </c>
      <c r="H2115" s="71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26 Years</v>
      </c>
    </row>
    <row r="2116" spans="1:8" x14ac:dyDescent="0.2">
      <c r="A2116" s="66" t="s">
        <v>1045</v>
      </c>
      <c r="B2116" s="66">
        <f t="shared" si="4244"/>
        <v>21</v>
      </c>
      <c r="C2116" s="66">
        <f t="shared" si="4277"/>
        <v>48</v>
      </c>
      <c r="E2116" s="66">
        <f t="shared" ref="E2116" si="4337">plan_id</f>
        <v>1952</v>
      </c>
      <c r="F2116" s="66">
        <f t="shared" ca="1" si="4279"/>
        <v>2018</v>
      </c>
      <c r="G2116" s="66">
        <f t="shared" ref="G2116" ca="1" si="4338">VLOOKUP(INDIRECT(CHAR(39)&amp;$A2116&amp;CHAR(39)&amp;"!r2c"&amp;$C2116,0),variables,2,0)</f>
        <v>10975</v>
      </c>
      <c r="H2116" s="71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2">
      <c r="A2117" s="66" t="s">
        <v>1045</v>
      </c>
      <c r="B2117" s="66">
        <f t="shared" si="4244"/>
        <v>21</v>
      </c>
      <c r="C2117" s="66">
        <f t="shared" si="4277"/>
        <v>49</v>
      </c>
      <c r="E2117" s="66">
        <f t="shared" ref="E2117" si="4339">plan_id</f>
        <v>1952</v>
      </c>
      <c r="F2117" s="66">
        <f t="shared" ca="1" si="4279"/>
        <v>2018</v>
      </c>
      <c r="G2117" s="66">
        <f t="shared" ref="G2117" ca="1" si="4340">VLOOKUP(INDIRECT(CHAR(39)&amp;$A2117&amp;CHAR(39)&amp;"!r2c"&amp;$C2117,0),variables,2,0)</f>
        <v>10976</v>
      </c>
      <c r="H2117" s="71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2">
      <c r="A2118" s="66" t="s">
        <v>1045</v>
      </c>
      <c r="B2118" s="66">
        <f t="shared" si="4244"/>
        <v>21</v>
      </c>
      <c r="C2118" s="66">
        <f t="shared" si="4277"/>
        <v>50</v>
      </c>
      <c r="E2118" s="66">
        <f t="shared" ref="E2118" si="4341">plan_id</f>
        <v>1952</v>
      </c>
      <c r="F2118" s="66">
        <f t="shared" ca="1" si="4279"/>
        <v>2018</v>
      </c>
      <c r="G2118" s="66">
        <f t="shared" ref="G2118" ca="1" si="4342">VLOOKUP(INDIRECT(CHAR(39)&amp;$A2118&amp;CHAR(39)&amp;"!r2c"&amp;$C2118,0),variables,2,0)</f>
        <v>10977</v>
      </c>
      <c r="H2118" s="71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66" t="s">
        <v>1045</v>
      </c>
      <c r="B2119" s="66">
        <f t="shared" si="4244"/>
        <v>21</v>
      </c>
      <c r="C2119" s="66">
        <f t="shared" si="4277"/>
        <v>51</v>
      </c>
      <c r="E2119" s="66">
        <f t="shared" ref="E2119" si="4343">plan_id</f>
        <v>1952</v>
      </c>
      <c r="F2119" s="66">
        <f t="shared" ca="1" si="4279"/>
        <v>2018</v>
      </c>
      <c r="G2119" s="66">
        <f t="shared" ref="G2119" ca="1" si="4344">VLOOKUP(INDIRECT(CHAR(39)&amp;$A2119&amp;CHAR(39)&amp;"!r2c"&amp;$C2119,0),variables,2,0)</f>
        <v>10978</v>
      </c>
      <c r="H2119" s="71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2">
      <c r="A2120" s="66" t="s">
        <v>1045</v>
      </c>
      <c r="B2120" s="66">
        <f t="shared" si="4244"/>
        <v>21</v>
      </c>
      <c r="C2120" s="66">
        <f t="shared" si="4277"/>
        <v>52</v>
      </c>
      <c r="E2120" s="66">
        <f t="shared" ref="E2120" si="4345">plan_id</f>
        <v>1952</v>
      </c>
      <c r="F2120" s="66">
        <f t="shared" ca="1" si="4279"/>
        <v>2018</v>
      </c>
      <c r="G2120" s="66">
        <f t="shared" ref="G2120" ca="1" si="4346">VLOOKUP(INDIRECT(CHAR(39)&amp;$A2120&amp;CHAR(39)&amp;"!r2c"&amp;$C2120,0),variables,2,0)</f>
        <v>10979</v>
      </c>
      <c r="H2120" s="71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2">
      <c r="A2121" s="66" t="s">
        <v>1045</v>
      </c>
      <c r="B2121" s="66">
        <f t="shared" si="4244"/>
        <v>21</v>
      </c>
      <c r="C2121" s="66">
        <f t="shared" si="4277"/>
        <v>53</v>
      </c>
      <c r="E2121" s="66">
        <f t="shared" ref="E2121" si="4347">plan_id</f>
        <v>1952</v>
      </c>
      <c r="F2121" s="66">
        <f t="shared" ca="1" si="4279"/>
        <v>2018</v>
      </c>
      <c r="G2121" s="66">
        <f t="shared" ref="G2121" ca="1" si="4348">VLOOKUP(INDIRECT(CHAR(39)&amp;$A2121&amp;CHAR(39)&amp;"!r2c"&amp;$C2121,0),variables,2,0)</f>
        <v>10980</v>
      </c>
      <c r="H2121" s="71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2">
      <c r="A2122" s="66" t="s">
        <v>1045</v>
      </c>
      <c r="B2122" s="66">
        <f t="shared" si="4244"/>
        <v>21</v>
      </c>
      <c r="C2122" s="66">
        <f t="shared" si="4277"/>
        <v>54</v>
      </c>
      <c r="E2122" s="66">
        <f t="shared" ref="E2122" si="4349">plan_id</f>
        <v>1952</v>
      </c>
      <c r="F2122" s="66">
        <f t="shared" ca="1" si="4279"/>
        <v>2018</v>
      </c>
      <c r="G2122" s="66">
        <f t="shared" ref="G2122" ca="1" si="4350">VLOOKUP(INDIRECT(CHAR(39)&amp;$A2122&amp;CHAR(39)&amp;"!r2c"&amp;$C2122,0),variables,2,0)</f>
        <v>10981</v>
      </c>
      <c r="H2122" s="71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2">
      <c r="A2123" s="66" t="s">
        <v>1045</v>
      </c>
      <c r="B2123" s="66">
        <f t="shared" si="4244"/>
        <v>21</v>
      </c>
      <c r="C2123" s="66">
        <f t="shared" si="4277"/>
        <v>55</v>
      </c>
      <c r="E2123" s="66">
        <f t="shared" ref="E2123" si="4351">plan_id</f>
        <v>1952</v>
      </c>
      <c r="F2123" s="66">
        <f t="shared" ca="1" si="4279"/>
        <v>2018</v>
      </c>
      <c r="G2123" s="66">
        <f t="shared" ref="G2123" ca="1" si="4352">VLOOKUP(INDIRECT(CHAR(39)&amp;$A2123&amp;CHAR(39)&amp;"!r2c"&amp;$C2123,0),variables,2,0)</f>
        <v>10706</v>
      </c>
      <c r="H2123" s="71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6.0554889254121229E-4</v>
      </c>
    </row>
    <row r="2124" spans="1:8" x14ac:dyDescent="0.2">
      <c r="A2124" s="66" t="s">
        <v>1045</v>
      </c>
      <c r="B2124" s="66">
        <f t="shared" si="4244"/>
        <v>21</v>
      </c>
      <c r="C2124" s="66">
        <f t="shared" si="4277"/>
        <v>56</v>
      </c>
      <c r="E2124" s="66">
        <f t="shared" ref="E2124" si="4353">plan_id</f>
        <v>1952</v>
      </c>
      <c r="F2124" s="66">
        <f t="shared" ca="1" si="4279"/>
        <v>2018</v>
      </c>
      <c r="G2124" s="66">
        <f t="shared" ref="G2124" ca="1" si="4354">VLOOKUP(INDIRECT(CHAR(39)&amp;$A2124&amp;CHAR(39)&amp;"!r2c"&amp;$C2124,0),variables,2,0)</f>
        <v>10983</v>
      </c>
      <c r="H2124" s="71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66" t="s">
        <v>1045</v>
      </c>
      <c r="B2125" s="66">
        <f t="shared" si="4244"/>
        <v>21</v>
      </c>
      <c r="C2125" s="66">
        <f t="shared" si="4277"/>
        <v>57</v>
      </c>
      <c r="E2125" s="66">
        <f t="shared" ref="E2125" si="4355">plan_id</f>
        <v>1952</v>
      </c>
      <c r="F2125" s="66">
        <f t="shared" ca="1" si="4279"/>
        <v>2018</v>
      </c>
      <c r="G2125" s="66">
        <f t="shared" ref="G2125" ca="1" si="4356">VLOOKUP(INDIRECT(CHAR(39)&amp;$A2125&amp;CHAR(39)&amp;"!r2c"&amp;$C2125,0),variables,2,0)</f>
        <v>10989</v>
      </c>
      <c r="H2125" s="71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73204795000</v>
      </c>
    </row>
    <row r="2126" spans="1:8" x14ac:dyDescent="0.2">
      <c r="A2126" s="66" t="s">
        <v>1045</v>
      </c>
      <c r="B2126" s="66">
        <f t="shared" si="4244"/>
        <v>21</v>
      </c>
      <c r="C2126" s="66">
        <f t="shared" si="4277"/>
        <v>58</v>
      </c>
      <c r="E2126" s="66">
        <f t="shared" ref="E2126" si="4357">plan_id</f>
        <v>1952</v>
      </c>
      <c r="F2126" s="66">
        <f t="shared" ca="1" si="4279"/>
        <v>2018</v>
      </c>
      <c r="G2126" s="66">
        <f t="shared" ref="G2126" ca="1" si="4358">VLOOKUP(INDIRECT(CHAR(39)&amp;$A2126&amp;CHAR(39)&amp;"!r2c"&amp;$C2126,0),variables,2,0)</f>
        <v>10990</v>
      </c>
      <c r="H2126" s="71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93174818000</v>
      </c>
    </row>
    <row r="2127" spans="1:8" x14ac:dyDescent="0.2">
      <c r="A2127" s="66" t="s">
        <v>1045</v>
      </c>
      <c r="B2127" s="66">
        <f t="shared" si="4244"/>
        <v>21</v>
      </c>
      <c r="C2127" s="66">
        <f t="shared" si="4277"/>
        <v>59</v>
      </c>
      <c r="E2127" s="66">
        <f t="shared" ref="E2127" si="4359">plan_id</f>
        <v>1952</v>
      </c>
      <c r="F2127" s="66">
        <f t="shared" ca="1" si="4279"/>
        <v>2018</v>
      </c>
      <c r="G2127" s="66">
        <f t="shared" ref="G2127" ca="1" si="4360">VLOOKUP(INDIRECT(CHAR(39)&amp;$A2127&amp;CHAR(39)&amp;"!r2c"&amp;$C2127,0),variables,2,0)</f>
        <v>10991</v>
      </c>
      <c r="H2127" s="71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19970023000</v>
      </c>
    </row>
    <row r="2128" spans="1:8" x14ac:dyDescent="0.2">
      <c r="A2128" s="66" t="s">
        <v>1045</v>
      </c>
      <c r="B2128" s="66">
        <f t="shared" si="4244"/>
        <v>21</v>
      </c>
      <c r="C2128" s="66">
        <f t="shared" si="4277"/>
        <v>60</v>
      </c>
      <c r="E2128" s="66">
        <f t="shared" ref="E2128" si="4361">plan_id</f>
        <v>1952</v>
      </c>
      <c r="F2128" s="66">
        <f t="shared" ca="1" si="4279"/>
        <v>2018</v>
      </c>
      <c r="G2128" s="66">
        <f t="shared" ref="G2128" ca="1" si="4362">VLOOKUP(INDIRECT(CHAR(39)&amp;$A2128&amp;CHAR(39)&amp;"!r2c"&amp;$C2128,0),variables,2,0)</f>
        <v>10992</v>
      </c>
      <c r="H2128" s="71" t="str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State Employees: 76.27%; Teachers: 74.54%; Political Subdivisions: 89.33%</v>
      </c>
    </row>
    <row r="2129" spans="1:8" x14ac:dyDescent="0.2">
      <c r="A2129" s="66" t="s">
        <v>1045</v>
      </c>
      <c r="B2129" s="66">
        <f t="shared" si="4244"/>
        <v>21</v>
      </c>
      <c r="C2129" s="66">
        <f t="shared" si="4277"/>
        <v>61</v>
      </c>
      <c r="E2129" s="66">
        <f t="shared" ref="E2129" si="4363">plan_id</f>
        <v>1952</v>
      </c>
      <c r="F2129" s="66">
        <f t="shared" ca="1" si="4279"/>
        <v>2018</v>
      </c>
      <c r="G2129" s="66">
        <f t="shared" ref="G2129" ca="1" si="4364">VLOOKUP(INDIRECT(CHAR(39)&amp;$A2129&amp;CHAR(39)&amp;"!r2c"&amp;$C2129,0),variables,2,0)</f>
        <v>10993</v>
      </c>
      <c r="H2129" s="71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17614448000</v>
      </c>
    </row>
    <row r="2130" spans="1:8" x14ac:dyDescent="0.2">
      <c r="A2130" s="66" t="s">
        <v>1045</v>
      </c>
      <c r="B2130" s="66">
        <f t="shared" si="4244"/>
        <v>21</v>
      </c>
      <c r="C2130" s="66">
        <f t="shared" si="4277"/>
        <v>62</v>
      </c>
      <c r="E2130" s="66">
        <f t="shared" ref="E2130" si="4365">plan_id</f>
        <v>1952</v>
      </c>
      <c r="F2130" s="66">
        <f t="shared" ca="1" si="4279"/>
        <v>2018</v>
      </c>
      <c r="G2130" s="66">
        <f t="shared" ref="G2130" ca="1" si="4366">VLOOKUP(INDIRECT(CHAR(39)&amp;$A2130&amp;CHAR(39)&amp;"!r2c"&amp;$C2130,0),variables,2,0)</f>
        <v>10801</v>
      </c>
      <c r="H2130" s="71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-743600000</v>
      </c>
    </row>
    <row r="2131" spans="1:8" x14ac:dyDescent="0.2">
      <c r="A2131" s="66" t="s">
        <v>1045</v>
      </c>
      <c r="B2131" s="66">
        <f t="shared" si="4244"/>
        <v>21</v>
      </c>
      <c r="C2131" s="66">
        <f t="shared" si="4277"/>
        <v>63</v>
      </c>
      <c r="E2131" s="66">
        <f t="shared" ref="E2131" si="4367">plan_id</f>
        <v>1952</v>
      </c>
      <c r="F2131" s="66">
        <f t="shared" ca="1" si="4279"/>
        <v>2018</v>
      </c>
      <c r="G2131" s="66">
        <f t="shared" ref="G2131" ca="1" si="4368">VLOOKUP(INDIRECT(CHAR(39)&amp;$A2131&amp;CHAR(39)&amp;"!r2c"&amp;$C2131,0),variables,2,0)</f>
        <v>10802</v>
      </c>
      <c r="H2131" s="71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-11699999.999999996</v>
      </c>
    </row>
    <row r="2132" spans="1:8" x14ac:dyDescent="0.2">
      <c r="A2132" s="66" t="s">
        <v>1045</v>
      </c>
      <c r="B2132" s="66">
        <f t="shared" si="4244"/>
        <v>21</v>
      </c>
      <c r="C2132" s="66">
        <f t="shared" si="4277"/>
        <v>64</v>
      </c>
      <c r="E2132" s="66">
        <f t="shared" ref="E2132" si="4369">plan_id</f>
        <v>1952</v>
      </c>
      <c r="F2132" s="66">
        <f t="shared" ca="1" si="4279"/>
        <v>2018</v>
      </c>
      <c r="G2132" s="66">
        <f t="shared" ref="G2132" ca="1" si="4370">VLOOKUP(INDIRECT(CHAR(39)&amp;$A2132&amp;CHAR(39)&amp;"!r2c"&amp;$C2132,0),variables,2,0)</f>
        <v>10803</v>
      </c>
      <c r="H2132" s="71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66" t="s">
        <v>1045</v>
      </c>
      <c r="B2133" s="66">
        <f t="shared" si="4244"/>
        <v>21</v>
      </c>
      <c r="C2133" s="66">
        <f t="shared" si="4277"/>
        <v>65</v>
      </c>
      <c r="E2133" s="66">
        <f t="shared" ref="E2133" si="4371">plan_id</f>
        <v>1952</v>
      </c>
      <c r="F2133" s="66">
        <f t="shared" ca="1" si="4279"/>
        <v>2018</v>
      </c>
      <c r="G2133" s="66">
        <f t="shared" ref="G2133" ca="1" si="4372">VLOOKUP(INDIRECT(CHAR(39)&amp;$A2133&amp;CHAR(39)&amp;"!r2c"&amp;$C2133,0),variables,2,0)</f>
        <v>10804</v>
      </c>
      <c r="H2133" s="71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66" t="s">
        <v>1045</v>
      </c>
      <c r="B2134" s="66">
        <f t="shared" si="4244"/>
        <v>21</v>
      </c>
      <c r="C2134" s="66">
        <f t="shared" si="4277"/>
        <v>66</v>
      </c>
      <c r="E2134" s="66">
        <f t="shared" ref="E2134" si="4373">plan_id</f>
        <v>1952</v>
      </c>
      <c r="F2134" s="66">
        <f t="shared" ca="1" si="4279"/>
        <v>2018</v>
      </c>
      <c r="G2134" s="66">
        <f t="shared" ref="G2134" ca="1" si="4374">VLOOKUP(INDIRECT(CHAR(39)&amp;$A2134&amp;CHAR(39)&amp;"!r2c"&amp;$C2134,0),variables,2,0)</f>
        <v>10805</v>
      </c>
      <c r="H2134" s="71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66" t="s">
        <v>1045</v>
      </c>
      <c r="B2135" s="66">
        <f t="shared" ref="B2135" si="4375">B2070+1</f>
        <v>21</v>
      </c>
      <c r="C2135" s="66">
        <f t="shared" si="4277"/>
        <v>67</v>
      </c>
      <c r="E2135" s="66">
        <f t="shared" ref="E2135" si="4376">plan_id</f>
        <v>1952</v>
      </c>
      <c r="F2135" s="66">
        <f t="shared" ca="1" si="4279"/>
        <v>2018</v>
      </c>
      <c r="G2135" s="66">
        <f t="shared" ref="G2135" ca="1" si="4377">VLOOKUP(INDIRECT(CHAR(39)&amp;$A2135&amp;CHAR(39)&amp;"!r2c"&amp;$C2135,0),variables,2,0)</f>
        <v>10806</v>
      </c>
      <c r="H2135" s="71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-10300000</v>
      </c>
    </row>
    <row r="2136" spans="1:8" x14ac:dyDescent="0.2">
      <c r="A2136" s="66" t="s">
        <v>1045</v>
      </c>
      <c r="B2136" s="66">
        <f>B2135</f>
        <v>21</v>
      </c>
      <c r="C2136" s="66">
        <f t="shared" si="4277"/>
        <v>68</v>
      </c>
      <c r="E2136" s="66">
        <f t="shared" ref="E2136" si="4378">plan_id</f>
        <v>1952</v>
      </c>
      <c r="F2136" s="66">
        <f t="shared" ca="1" si="4279"/>
        <v>2018</v>
      </c>
      <c r="G2136" s="66">
        <f t="shared" ref="G2136" ca="1" si="4379">VLOOKUP(INDIRECT(CHAR(39)&amp;$A2136&amp;CHAR(39)&amp;"!r2c"&amp;$C2136,0),variables,2,0)</f>
        <v>10807</v>
      </c>
      <c r="H2136" s="7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66" t="s">
        <v>1045</v>
      </c>
      <c r="B2137" s="66">
        <f t="shared" ref="B2137:B2161" si="4380">B2136</f>
        <v>21</v>
      </c>
      <c r="C2137" s="66">
        <f t="shared" si="4277"/>
        <v>69</v>
      </c>
      <c r="E2137" s="66">
        <f t="shared" ref="E2137" si="4381">plan_id</f>
        <v>1952</v>
      </c>
      <c r="F2137" s="66">
        <f t="shared" ca="1" si="4279"/>
        <v>2018</v>
      </c>
      <c r="G2137" s="66">
        <f t="shared" ref="G2137" ca="1" si="4382">VLOOKUP(INDIRECT(CHAR(39)&amp;$A2137&amp;CHAR(39)&amp;"!r2c"&amp;$C2137,0),variables,2,0)</f>
        <v>10808</v>
      </c>
      <c r="H2137" s="71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66" t="s">
        <v>1045</v>
      </c>
      <c r="B2138" s="66">
        <f t="shared" si="4380"/>
        <v>21</v>
      </c>
      <c r="C2138" s="66">
        <f t="shared" si="4277"/>
        <v>70</v>
      </c>
      <c r="E2138" s="66">
        <f t="shared" ref="E2138" si="4383">plan_id</f>
        <v>1952</v>
      </c>
      <c r="F2138" s="66">
        <f t="shared" ca="1" si="4279"/>
        <v>2018</v>
      </c>
      <c r="G2138" s="66">
        <f t="shared" ref="G2138" ca="1" si="4384">VLOOKUP(INDIRECT(CHAR(39)&amp;$A2138&amp;CHAR(39)&amp;"!r2c"&amp;$C2138,0),variables,2,0)</f>
        <v>10809</v>
      </c>
      <c r="H2138" s="71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66" t="s">
        <v>1045</v>
      </c>
      <c r="B2139" s="66">
        <f t="shared" si="4380"/>
        <v>21</v>
      </c>
      <c r="C2139" s="66">
        <f t="shared" si="4277"/>
        <v>71</v>
      </c>
      <c r="E2139" s="66">
        <f t="shared" ref="E2139" si="4385">plan_id</f>
        <v>1952</v>
      </c>
      <c r="F2139" s="66">
        <f t="shared" ca="1" si="4279"/>
        <v>2018</v>
      </c>
      <c r="G2139" s="66">
        <f t="shared" ref="G2139" ca="1" si="4386">VLOOKUP(INDIRECT(CHAR(39)&amp;$A2139&amp;CHAR(39)&amp;"!r2c"&amp;$C2139,0),variables,2,0)</f>
        <v>10810</v>
      </c>
      <c r="H2139" s="71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-77100000</v>
      </c>
    </row>
    <row r="2140" spans="1:8" x14ac:dyDescent="0.2">
      <c r="A2140" s="66" t="s">
        <v>1045</v>
      </c>
      <c r="B2140" s="66">
        <f t="shared" si="4380"/>
        <v>21</v>
      </c>
      <c r="C2140" s="66">
        <f t="shared" si="4277"/>
        <v>72</v>
      </c>
      <c r="E2140" s="66">
        <f t="shared" ref="E2140" si="4387">plan_id</f>
        <v>1952</v>
      </c>
      <c r="F2140" s="66">
        <f t="shared" ca="1" si="4279"/>
        <v>2018</v>
      </c>
      <c r="G2140" s="66">
        <f t="shared" ref="G2140" ca="1" si="4388">VLOOKUP(INDIRECT(CHAR(39)&amp;$A2140&amp;CHAR(39)&amp;"!r2c"&amp;$C2140,0),variables,2,0)</f>
        <v>10811</v>
      </c>
      <c r="H2140" s="71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66" t="s">
        <v>1045</v>
      </c>
      <c r="B2141" s="66">
        <f t="shared" si="4380"/>
        <v>21</v>
      </c>
      <c r="C2141" s="66">
        <f t="shared" si="4277"/>
        <v>73</v>
      </c>
      <c r="E2141" s="66">
        <f t="shared" ref="E2141" si="4389">plan_id</f>
        <v>1952</v>
      </c>
      <c r="F2141" s="66">
        <f t="shared" ca="1" si="4279"/>
        <v>2018</v>
      </c>
      <c r="G2141" s="66">
        <f t="shared" ref="G2141" ca="1" si="4390">VLOOKUP(INDIRECT(CHAR(39)&amp;$A2141&amp;CHAR(39)&amp;"!r2c"&amp;$C2141,0),variables,2,0)</f>
        <v>10812</v>
      </c>
      <c r="H2141" s="71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66" t="s">
        <v>1045</v>
      </c>
      <c r="B2142" s="66">
        <f t="shared" si="4380"/>
        <v>21</v>
      </c>
      <c r="C2142" s="66">
        <f t="shared" si="4277"/>
        <v>74</v>
      </c>
      <c r="E2142" s="66">
        <f t="shared" ref="E2142" si="4391">plan_id</f>
        <v>1952</v>
      </c>
      <c r="F2142" s="66">
        <f t="shared" ca="1" si="4279"/>
        <v>2018</v>
      </c>
      <c r="G2142" s="66">
        <f t="shared" ref="G2142" ca="1" si="4392">VLOOKUP(INDIRECT(CHAR(39)&amp;$A2142&amp;CHAR(39)&amp;"!r2c"&amp;$C2142,0),variables,2,0)</f>
        <v>10813</v>
      </c>
      <c r="H2142" s="7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66" t="s">
        <v>1045</v>
      </c>
      <c r="B2143" s="66">
        <f t="shared" si="4380"/>
        <v>21</v>
      </c>
      <c r="C2143" s="66">
        <f t="shared" si="4277"/>
        <v>75</v>
      </c>
      <c r="E2143" s="66">
        <f t="shared" ref="E2143" si="4393">plan_id</f>
        <v>1952</v>
      </c>
      <c r="F2143" s="66">
        <f t="shared" ca="1" si="4279"/>
        <v>2018</v>
      </c>
      <c r="G2143" s="66">
        <f t="shared" ref="G2143" ca="1" si="4394">VLOOKUP(INDIRECT(CHAR(39)&amp;$A2143&amp;CHAR(39)&amp;"!r2c"&amp;$C2143,0),variables,2,0)</f>
        <v>10814</v>
      </c>
      <c r="H2143" s="7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-99999.999999999869</v>
      </c>
    </row>
    <row r="2144" spans="1:8" x14ac:dyDescent="0.2">
      <c r="A2144" s="66" t="s">
        <v>1045</v>
      </c>
      <c r="B2144" s="66">
        <f t="shared" si="4380"/>
        <v>21</v>
      </c>
      <c r="C2144" s="66">
        <f t="shared" si="4277"/>
        <v>76</v>
      </c>
      <c r="E2144" s="66">
        <f t="shared" ref="E2144" si="4395">plan_id</f>
        <v>1952</v>
      </c>
      <c r="F2144" s="66">
        <f t="shared" ca="1" si="4279"/>
        <v>2018</v>
      </c>
      <c r="G2144" s="66">
        <f t="shared" ref="G2144" ca="1" si="4396">VLOOKUP(INDIRECT(CHAR(39)&amp;$A2144&amp;CHAR(39)&amp;"!r2c"&amp;$C2144,0),variables,2,0)</f>
        <v>10815</v>
      </c>
      <c r="H2144" s="71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167500000</v>
      </c>
    </row>
    <row r="2145" spans="1:8" x14ac:dyDescent="0.2">
      <c r="A2145" s="66" t="s">
        <v>1045</v>
      </c>
      <c r="B2145" s="66">
        <f t="shared" si="4380"/>
        <v>21</v>
      </c>
      <c r="C2145" s="66">
        <f t="shared" si="4277"/>
        <v>77</v>
      </c>
      <c r="E2145" s="66">
        <f t="shared" ref="E2145" si="4397">plan_id</f>
        <v>1952</v>
      </c>
      <c r="F2145" s="66">
        <f t="shared" ca="1" si="4279"/>
        <v>2018</v>
      </c>
      <c r="G2145" s="66">
        <f t="shared" ref="G2145" ca="1" si="4398">VLOOKUP(INDIRECT(CHAR(39)&amp;$A2145&amp;CHAR(39)&amp;"!r2c"&amp;$C2145,0),variables,2,0)</f>
        <v>10816</v>
      </c>
      <c r="H2145" s="71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-232000000.00000003</v>
      </c>
    </row>
    <row r="2146" spans="1:8" x14ac:dyDescent="0.2">
      <c r="A2146" s="66" t="s">
        <v>1045</v>
      </c>
      <c r="B2146" s="66">
        <f t="shared" si="4380"/>
        <v>21</v>
      </c>
      <c r="C2146" s="66">
        <f t="shared" si="4277"/>
        <v>78</v>
      </c>
      <c r="E2146" s="66">
        <f t="shared" ref="E2146" si="4399">plan_id</f>
        <v>1952</v>
      </c>
      <c r="F2146" s="66">
        <f t="shared" ca="1" si="4279"/>
        <v>2018</v>
      </c>
      <c r="G2146" s="66">
        <f t="shared" ref="G2146" ca="1" si="4400">VLOOKUP(INDIRECT(CHAR(39)&amp;$A2146&amp;CHAR(39)&amp;"!r2c"&amp;$C2146,0),variables,2,0)</f>
        <v>10817</v>
      </c>
      <c r="H2146" s="71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66" t="s">
        <v>1045</v>
      </c>
      <c r="B2147" s="66">
        <f t="shared" si="4380"/>
        <v>21</v>
      </c>
      <c r="C2147" s="66">
        <f t="shared" si="4277"/>
        <v>79</v>
      </c>
      <c r="E2147" s="66">
        <f t="shared" ref="E2147" si="4401">plan_id</f>
        <v>1952</v>
      </c>
      <c r="F2147" s="66">
        <f t="shared" ca="1" si="4279"/>
        <v>2018</v>
      </c>
      <c r="G2147" s="66">
        <f t="shared" ref="G2147" ca="1" si="4402">VLOOKUP(INDIRECT(CHAR(39)&amp;$A2147&amp;CHAR(39)&amp;"!r2c"&amp;$C2147,0),variables,2,0)</f>
        <v>10818</v>
      </c>
      <c r="H2147" s="71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40700000</v>
      </c>
    </row>
    <row r="2148" spans="1:8" x14ac:dyDescent="0.2">
      <c r="A2148" s="66" t="s">
        <v>1045</v>
      </c>
      <c r="B2148" s="66">
        <f t="shared" si="4380"/>
        <v>21</v>
      </c>
      <c r="C2148" s="66">
        <f t="shared" si="4277"/>
        <v>80</v>
      </c>
      <c r="E2148" s="66">
        <f t="shared" ref="E2148" si="4403">plan_id</f>
        <v>1952</v>
      </c>
      <c r="F2148" s="66">
        <f t="shared" ca="1" si="4279"/>
        <v>2018</v>
      </c>
      <c r="G2148" s="66">
        <f t="shared" ref="G2148" ca="1" si="4404">VLOOKUP(INDIRECT(CHAR(39)&amp;$A2148&amp;CHAR(39)&amp;"!r2c"&amp;$C2148,0),variables,2,0)</f>
        <v>10819</v>
      </c>
      <c r="H2148" s="71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66" t="s">
        <v>1045</v>
      </c>
      <c r="B2149" s="66">
        <f t="shared" si="4380"/>
        <v>21</v>
      </c>
      <c r="C2149" s="66">
        <f t="shared" si="4277"/>
        <v>81</v>
      </c>
      <c r="E2149" s="66">
        <f t="shared" ref="E2149" si="4405">plan_id</f>
        <v>1952</v>
      </c>
      <c r="F2149" s="66">
        <f t="shared" ca="1" si="4279"/>
        <v>2018</v>
      </c>
      <c r="G2149" s="66">
        <f t="shared" ref="G2149" ca="1" si="4406">VLOOKUP(INDIRECT(CHAR(39)&amp;$A2149&amp;CHAR(39)&amp;"!r2c"&amp;$C2149,0),variables,2,0)</f>
        <v>10820</v>
      </c>
      <c r="H2149" s="71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-28300000.000000004</v>
      </c>
    </row>
    <row r="2150" spans="1:8" x14ac:dyDescent="0.2">
      <c r="A2150" s="66" t="s">
        <v>1045</v>
      </c>
      <c r="B2150" s="66">
        <f t="shared" si="4380"/>
        <v>21</v>
      </c>
      <c r="C2150" s="66">
        <f t="shared" si="4277"/>
        <v>82</v>
      </c>
      <c r="E2150" s="66">
        <f t="shared" ref="E2150" si="4407">plan_id</f>
        <v>1952</v>
      </c>
      <c r="F2150" s="66">
        <f t="shared" ca="1" si="4279"/>
        <v>2018</v>
      </c>
      <c r="G2150" s="66">
        <f t="shared" ref="G2150" ca="1" si="4408">VLOOKUP(INDIRECT(CHAR(39)&amp;$A2150&amp;CHAR(39)&amp;"!r2c"&amp;$C2150,0),variables,2,0)</f>
        <v>10821</v>
      </c>
      <c r="H2150" s="71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66" t="s">
        <v>1045</v>
      </c>
      <c r="B2151" s="66">
        <f t="shared" si="4380"/>
        <v>21</v>
      </c>
      <c r="C2151" s="66">
        <f t="shared" ref="C2151:C2214" si="4409">C2060</f>
        <v>83</v>
      </c>
      <c r="E2151" s="66">
        <f t="shared" ref="E2151" si="4410">plan_id</f>
        <v>1952</v>
      </c>
      <c r="F2151" s="66">
        <f t="shared" ref="F2151:F2214" ca="1" si="4411">INDIRECT(CHAR(39)&amp;$A2151&amp;CHAR(39)&amp;"!r"&amp;$B2151&amp;"c2",0)</f>
        <v>2018</v>
      </c>
      <c r="G2151" s="66">
        <f t="shared" ref="G2151" ca="1" si="4412">VLOOKUP(INDIRECT(CHAR(39)&amp;$A2151&amp;CHAR(39)&amp;"!r2c"&amp;$C2151,0),variables,2,0)</f>
        <v>10822</v>
      </c>
      <c r="H2151" s="71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66" t="s">
        <v>1045</v>
      </c>
      <c r="B2152" s="66">
        <f t="shared" si="4380"/>
        <v>21</v>
      </c>
      <c r="C2152" s="66">
        <f t="shared" si="4409"/>
        <v>84</v>
      </c>
      <c r="E2152" s="66">
        <f t="shared" ref="E2152" si="4413">plan_id</f>
        <v>1952</v>
      </c>
      <c r="F2152" s="66">
        <f t="shared" ca="1" si="4411"/>
        <v>2018</v>
      </c>
      <c r="G2152" s="66">
        <f t="shared" ref="G2152" ca="1" si="4414">VLOOKUP(INDIRECT(CHAR(39)&amp;$A2152&amp;CHAR(39)&amp;"!r2c"&amp;$C2152,0),variables,2,0)</f>
        <v>10829</v>
      </c>
      <c r="H2152" s="71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1688071000</v>
      </c>
    </row>
    <row r="2153" spans="1:8" x14ac:dyDescent="0.2">
      <c r="A2153" s="66" t="s">
        <v>1045</v>
      </c>
      <c r="B2153" s="66">
        <f t="shared" si="4380"/>
        <v>21</v>
      </c>
      <c r="C2153" s="66">
        <f t="shared" si="4409"/>
        <v>85</v>
      </c>
      <c r="E2153" s="66">
        <f t="shared" ref="E2153" si="4415">plan_id</f>
        <v>1952</v>
      </c>
      <c r="F2153" s="66">
        <f t="shared" ca="1" si="4411"/>
        <v>2018</v>
      </c>
      <c r="G2153" s="66">
        <f t="shared" ref="G2153" ca="1" si="4416">VLOOKUP(INDIRECT(CHAR(39)&amp;$A2153&amp;CHAR(39)&amp;"!r2c"&amp;$C2153,0),variables,2,0)</f>
        <v>10823</v>
      </c>
      <c r="H2153" s="71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-667015000</v>
      </c>
    </row>
    <row r="2154" spans="1:8" x14ac:dyDescent="0.2">
      <c r="A2154" s="66" t="s">
        <v>1045</v>
      </c>
      <c r="B2154" s="66">
        <f t="shared" si="4380"/>
        <v>21</v>
      </c>
      <c r="C2154" s="66">
        <f t="shared" si="4409"/>
        <v>86</v>
      </c>
      <c r="E2154" s="66">
        <f t="shared" ref="E2154" si="4417">plan_id</f>
        <v>1952</v>
      </c>
      <c r="F2154" s="66">
        <f t="shared" ca="1" si="4411"/>
        <v>2018</v>
      </c>
      <c r="G2154" s="66">
        <f t="shared" ref="G2154" ca="1" si="4418">VLOOKUP(INDIRECT(CHAR(39)&amp;$A2154&amp;CHAR(39)&amp;"!r2c"&amp;$C2154,0),variables,2,0)</f>
        <v>10798</v>
      </c>
      <c r="H2154" s="71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5199999.9999999991</v>
      </c>
    </row>
    <row r="2155" spans="1:8" x14ac:dyDescent="0.2">
      <c r="A2155" s="66" t="s">
        <v>1045</v>
      </c>
      <c r="B2155" s="66">
        <f t="shared" si="4380"/>
        <v>21</v>
      </c>
      <c r="C2155" s="66">
        <f t="shared" si="4409"/>
        <v>87</v>
      </c>
      <c r="E2155" s="66">
        <f t="shared" ref="E2155" si="4419">plan_id</f>
        <v>1952</v>
      </c>
      <c r="F2155" s="66">
        <f t="shared" ca="1" si="4411"/>
        <v>2018</v>
      </c>
      <c r="G2155" s="66">
        <f t="shared" ref="G2155" ca="1" si="4420">VLOOKUP(INDIRECT(CHAR(39)&amp;$A2155&amp;CHAR(39)&amp;"!r2c"&amp;$C2155,0),variables,2,0)</f>
        <v>10799</v>
      </c>
      <c r="H2155" s="71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-178700000.00000003</v>
      </c>
    </row>
    <row r="2156" spans="1:8" x14ac:dyDescent="0.2">
      <c r="A2156" s="66" t="s">
        <v>1045</v>
      </c>
      <c r="B2156" s="66">
        <f t="shared" si="4380"/>
        <v>21</v>
      </c>
      <c r="C2156" s="66">
        <f t="shared" si="4409"/>
        <v>88</v>
      </c>
      <c r="E2156" s="66">
        <f t="shared" ref="E2156" si="4421">plan_id</f>
        <v>1952</v>
      </c>
      <c r="F2156" s="66">
        <f t="shared" ca="1" si="4411"/>
        <v>2018</v>
      </c>
      <c r="G2156" s="66">
        <f t="shared" ref="G2156" ca="1" si="4422">VLOOKUP(INDIRECT(CHAR(39)&amp;$A2156&amp;CHAR(39)&amp;"!r2c"&amp;$C2156,0),variables,2,0)</f>
        <v>10800</v>
      </c>
      <c r="H2156" s="71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66" t="s">
        <v>1045</v>
      </c>
      <c r="B2157" s="66">
        <f t="shared" si="4380"/>
        <v>21</v>
      </c>
      <c r="C2157" s="66">
        <f t="shared" si="4409"/>
        <v>89</v>
      </c>
      <c r="E2157" s="66">
        <f t="shared" ref="E2157" si="4423">plan_id</f>
        <v>1952</v>
      </c>
      <c r="F2157" s="66">
        <f t="shared" ca="1" si="4411"/>
        <v>2018</v>
      </c>
      <c r="G2157" s="66">
        <f t="shared" ref="G2157" ca="1" si="4424">VLOOKUP(INDIRECT(CHAR(39)&amp;$A2157&amp;CHAR(39)&amp;"!r2c"&amp;$C2157,0),variables,2,0)</f>
        <v>10824</v>
      </c>
      <c r="H2157" s="71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66" t="s">
        <v>1045</v>
      </c>
      <c r="B2158" s="66">
        <f t="shared" si="4380"/>
        <v>21</v>
      </c>
      <c r="C2158" s="66">
        <f t="shared" si="4409"/>
        <v>90</v>
      </c>
      <c r="E2158" s="66">
        <f t="shared" ref="E2158" si="4425">plan_id</f>
        <v>1952</v>
      </c>
      <c r="F2158" s="66">
        <f t="shared" ca="1" si="4411"/>
        <v>2018</v>
      </c>
      <c r="G2158" s="66">
        <f t="shared" ref="G2158" ca="1" si="4426">VLOOKUP(INDIRECT(CHAR(39)&amp;$A2158&amp;CHAR(39)&amp;"!r2c"&amp;$C2158,0),variables,2,0)</f>
        <v>10825</v>
      </c>
      <c r="H2158" s="71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376599999.99999994</v>
      </c>
    </row>
    <row r="2159" spans="1:8" x14ac:dyDescent="0.2">
      <c r="A2159" s="66" t="s">
        <v>1045</v>
      </c>
      <c r="B2159" s="66">
        <f t="shared" si="4380"/>
        <v>21</v>
      </c>
      <c r="C2159" s="66">
        <f t="shared" si="4409"/>
        <v>91</v>
      </c>
      <c r="E2159" s="66">
        <f t="shared" ref="E2159" si="4427">plan_id</f>
        <v>1952</v>
      </c>
      <c r="F2159" s="66">
        <f t="shared" ca="1" si="4411"/>
        <v>2018</v>
      </c>
      <c r="G2159" s="66">
        <f t="shared" ref="G2159" ca="1" si="4428">VLOOKUP(INDIRECT(CHAR(39)&amp;$A2159&amp;CHAR(39)&amp;"!r2c"&amp;$C2159,0),variables,2,0)</f>
        <v>10826</v>
      </c>
      <c r="H2159" s="71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1453665000</v>
      </c>
    </row>
    <row r="2160" spans="1:8" x14ac:dyDescent="0.2">
      <c r="A2160" s="66" t="s">
        <v>1045</v>
      </c>
      <c r="B2160" s="66">
        <f t="shared" si="4380"/>
        <v>21</v>
      </c>
      <c r="C2160" s="66">
        <f t="shared" si="4409"/>
        <v>92</v>
      </c>
      <c r="E2160" s="66">
        <f t="shared" ref="E2160" si="4429">plan_id</f>
        <v>1952</v>
      </c>
      <c r="F2160" s="66">
        <f t="shared" ca="1" si="4411"/>
        <v>2018</v>
      </c>
      <c r="G2160" s="66">
        <f t="shared" ref="G2160" ca="1" si="4430">VLOOKUP(INDIRECT(CHAR(39)&amp;$A2160&amp;CHAR(39)&amp;"!r2c"&amp;$C2160,0),variables,2,0)</f>
        <v>10828</v>
      </c>
      <c r="H2160" s="71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66" t="s">
        <v>1045</v>
      </c>
      <c r="B2161" s="66">
        <f t="shared" si="4380"/>
        <v>21</v>
      </c>
      <c r="C2161" s="66">
        <f t="shared" si="4409"/>
        <v>93</v>
      </c>
      <c r="E2161" s="66">
        <f t="shared" ref="E2161" si="4431">plan_id</f>
        <v>1952</v>
      </c>
      <c r="F2161" s="66">
        <f t="shared" ca="1" si="4411"/>
        <v>2018</v>
      </c>
      <c r="G2161" s="66">
        <f t="shared" ref="G2161" ca="1" si="4432">VLOOKUP(INDIRECT(CHAR(39)&amp;$A2161&amp;CHAR(39)&amp;"!r2c"&amp;$C2161,0),variables,2,0)</f>
        <v>10827</v>
      </c>
      <c r="H2161" s="71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-165200000</v>
      </c>
    </row>
    <row r="2162" spans="1:8" x14ac:dyDescent="0.2">
      <c r="A2162" s="66" t="s">
        <v>1045</v>
      </c>
      <c r="B2162" s="66">
        <f t="shared" ref="B2162:B2225" si="4433">B2097+1</f>
        <v>22</v>
      </c>
      <c r="C2162" s="66">
        <f t="shared" si="4409"/>
        <v>3</v>
      </c>
      <c r="E2162" s="66">
        <f t="shared" ref="E2162" si="4434">plan_id</f>
        <v>1952</v>
      </c>
      <c r="F2162" s="66">
        <f t="shared" ca="1" si="4411"/>
        <v>2019</v>
      </c>
      <c r="G2162" s="66">
        <f t="shared" ref="G2162" ca="1" si="4435">VLOOKUP(INDIRECT(CHAR(39)&amp;$A2162&amp;CHAR(39)&amp;"!r2c"&amp;$C2162,0),variables,2,0)</f>
        <v>10703</v>
      </c>
      <c r="H2162" s="71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 &amp; 2022</v>
      </c>
    </row>
    <row r="2163" spans="1:8" x14ac:dyDescent="0.2">
      <c r="A2163" s="66" t="s">
        <v>1045</v>
      </c>
      <c r="B2163" s="66">
        <f t="shared" si="4433"/>
        <v>22</v>
      </c>
      <c r="C2163" s="66">
        <f t="shared" si="4409"/>
        <v>4</v>
      </c>
      <c r="E2163" s="66">
        <f t="shared" ref="E2163" si="4436">plan_id</f>
        <v>1952</v>
      </c>
      <c r="F2163" s="66">
        <f t="shared" ca="1" si="4411"/>
        <v>2019</v>
      </c>
      <c r="G2163" s="66">
        <f t="shared" ref="G2163" ca="1" si="4437">VLOOKUP(INDIRECT(CHAR(39)&amp;$A2163&amp;CHAR(39)&amp;"!r2c"&amp;$C2163,0),variables,2,0)</f>
        <v>10845</v>
      </c>
      <c r="H2163" s="71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,LLC</v>
      </c>
    </row>
    <row r="2164" spans="1:8" x14ac:dyDescent="0.2">
      <c r="A2164" s="66" t="s">
        <v>1045</v>
      </c>
      <c r="B2164" s="66">
        <f t="shared" si="4433"/>
        <v>22</v>
      </c>
      <c r="C2164" s="66">
        <f t="shared" si="4409"/>
        <v>5</v>
      </c>
      <c r="E2164" s="66">
        <f t="shared" ref="E2164" si="4438">plan_id</f>
        <v>1952</v>
      </c>
      <c r="F2164" s="66">
        <f t="shared" ca="1" si="4411"/>
        <v>2019</v>
      </c>
      <c r="G2164" s="66">
        <f t="shared" ref="G2164" ca="1" si="4439">VLOOKUP(INDIRECT(CHAR(39)&amp;$A2164&amp;CHAR(39)&amp;"!r2c"&amp;$C2164,0),variables,2,0)</f>
        <v>10924</v>
      </c>
      <c r="H2164" s="71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(i)9.68%; (ii)11.28%</v>
      </c>
    </row>
    <row r="2165" spans="1:8" x14ac:dyDescent="0.2">
      <c r="A2165" s="66" t="s">
        <v>1045</v>
      </c>
      <c r="B2165" s="66">
        <f t="shared" si="4433"/>
        <v>22</v>
      </c>
      <c r="C2165" s="66">
        <f t="shared" si="4409"/>
        <v>6</v>
      </c>
      <c r="E2165" s="66">
        <f t="shared" ref="E2165" si="4440">plan_id</f>
        <v>1952</v>
      </c>
      <c r="F2165" s="66">
        <f t="shared" ca="1" si="4411"/>
        <v>2019</v>
      </c>
      <c r="G2165" s="66">
        <f t="shared" ref="G2165" ca="1" si="4441">VLOOKUP(INDIRECT(CHAR(39)&amp;$A2165&amp;CHAR(39)&amp;"!r2c"&amp;$C2165,0),variables,2,0)</f>
        <v>10925</v>
      </c>
      <c r="H2165" s="71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(i)5.08%; (ii)6.6%</v>
      </c>
    </row>
    <row r="2166" spans="1:8" x14ac:dyDescent="0.2">
      <c r="A2166" s="66" t="s">
        <v>1045</v>
      </c>
      <c r="B2166" s="66">
        <f t="shared" si="4433"/>
        <v>22</v>
      </c>
      <c r="C2166" s="66">
        <f t="shared" si="4409"/>
        <v>7</v>
      </c>
      <c r="E2166" s="66">
        <f t="shared" ref="E2166" si="4442">plan_id</f>
        <v>1952</v>
      </c>
      <c r="F2166" s="66">
        <f t="shared" ca="1" si="4411"/>
        <v>2019</v>
      </c>
      <c r="G2166" s="66">
        <f t="shared" ref="G2166" ca="1" si="4443">VLOOKUP(INDIRECT(CHAR(39)&amp;$A2166&amp;CHAR(39)&amp;"!r2c"&amp;$C2166,0),variables,2,0)</f>
        <v>10926</v>
      </c>
      <c r="H2166" s="71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(i)4.60%; (ii)4.68%</v>
      </c>
    </row>
    <row r="2167" spans="1:8" x14ac:dyDescent="0.2">
      <c r="A2167" s="66" t="s">
        <v>1045</v>
      </c>
      <c r="B2167" s="66">
        <f t="shared" si="4433"/>
        <v>22</v>
      </c>
      <c r="C2167" s="66">
        <f t="shared" si="4409"/>
        <v>8</v>
      </c>
      <c r="E2167" s="66">
        <f t="shared" ref="E2167" si="4444">plan_id</f>
        <v>1952</v>
      </c>
      <c r="F2167" s="66">
        <f t="shared" ca="1" si="4411"/>
        <v>2019</v>
      </c>
      <c r="G2167" s="66">
        <f t="shared" ref="G2167" ca="1" si="4445">VLOOKUP(INDIRECT(CHAR(39)&amp;$A2167&amp;CHAR(39)&amp;"!r2c"&amp;$C2167,0),variables,2,0)</f>
        <v>10704</v>
      </c>
      <c r="H2167" s="71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1168625467</v>
      </c>
    </row>
    <row r="2168" spans="1:8" x14ac:dyDescent="0.2">
      <c r="A2168" s="66" t="s">
        <v>1045</v>
      </c>
      <c r="B2168" s="66">
        <f t="shared" si="4433"/>
        <v>22</v>
      </c>
      <c r="C2168" s="66">
        <f t="shared" si="4409"/>
        <v>9</v>
      </c>
      <c r="E2168" s="66">
        <f t="shared" ref="E2168" si="4446">plan_id</f>
        <v>1952</v>
      </c>
      <c r="F2168" s="66">
        <f t="shared" ca="1" si="4411"/>
        <v>2019</v>
      </c>
      <c r="G2168" s="66">
        <f t="shared" ref="G2168" ca="1" si="4447">VLOOKUP(INDIRECT(CHAR(39)&amp;$A2168&amp;CHAR(39)&amp;"!r2c"&amp;$C2168,0),variables,2,0)</f>
        <v>10928</v>
      </c>
      <c r="H2168" s="71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(i)8.59%; (ii)9.46%</v>
      </c>
    </row>
    <row r="2169" spans="1:8" x14ac:dyDescent="0.2">
      <c r="A2169" s="66" t="s">
        <v>1045</v>
      </c>
      <c r="B2169" s="66">
        <f t="shared" si="4433"/>
        <v>22</v>
      </c>
      <c r="C2169" s="66">
        <f t="shared" si="4409"/>
        <v>10</v>
      </c>
      <c r="E2169" s="66">
        <f t="shared" ref="E2169" si="4448">plan_id</f>
        <v>1952</v>
      </c>
      <c r="F2169" s="66">
        <f t="shared" ca="1" si="4411"/>
        <v>2019</v>
      </c>
      <c r="G2169" s="66">
        <f t="shared" ref="G2169" ca="1" si="4449">VLOOKUP(INDIRECT(CHAR(39)&amp;$A2169&amp;CHAR(39)&amp;"!r2c"&amp;$C2169,0),variables,2,0)</f>
        <v>10929</v>
      </c>
      <c r="H2169" s="71" t="str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(i)8.59%; (ii)9.46%</v>
      </c>
    </row>
    <row r="2170" spans="1:8" x14ac:dyDescent="0.2">
      <c r="A2170" s="66" t="s">
        <v>1045</v>
      </c>
      <c r="B2170" s="66">
        <f t="shared" si="4433"/>
        <v>22</v>
      </c>
      <c r="C2170" s="66">
        <f t="shared" si="4409"/>
        <v>11</v>
      </c>
      <c r="E2170" s="66">
        <f t="shared" ref="E2170" si="4450">plan_id</f>
        <v>1952</v>
      </c>
      <c r="F2170" s="66">
        <f t="shared" ca="1" si="4411"/>
        <v>2019</v>
      </c>
      <c r="G2170" s="66">
        <f t="shared" ref="G2170" ca="1" si="4451">VLOOKUP(INDIRECT(CHAR(39)&amp;$A2170&amp;CHAR(39)&amp;"!r2c"&amp;$C2170,0),variables,2,0)</f>
        <v>10930</v>
      </c>
      <c r="H2170" s="7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66" t="s">
        <v>1045</v>
      </c>
      <c r="B2171" s="66">
        <f t="shared" si="4433"/>
        <v>22</v>
      </c>
      <c r="C2171" s="66">
        <f t="shared" si="4409"/>
        <v>12</v>
      </c>
      <c r="E2171" s="66">
        <f t="shared" ref="E2171" si="4452">plan_id</f>
        <v>1952</v>
      </c>
      <c r="F2171" s="66">
        <f t="shared" ca="1" si="4411"/>
        <v>2019</v>
      </c>
      <c r="G2171" s="66">
        <f t="shared" ref="G2171" ca="1" si="4453">VLOOKUP(INDIRECT(CHAR(39)&amp;$A2171&amp;CHAR(39)&amp;"!r2c"&amp;$C2171,0),variables,2,0)</f>
        <v>10705</v>
      </c>
      <c r="H2171" s="71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853160000</v>
      </c>
    </row>
    <row r="2172" spans="1:8" x14ac:dyDescent="0.2">
      <c r="A2172" s="66" t="s">
        <v>1045</v>
      </c>
      <c r="B2172" s="66">
        <f t="shared" si="4433"/>
        <v>22</v>
      </c>
      <c r="C2172" s="66">
        <f t="shared" si="4409"/>
        <v>13</v>
      </c>
      <c r="E2172" s="66">
        <f t="shared" ref="E2172" si="4454">plan_id</f>
        <v>1952</v>
      </c>
      <c r="F2172" s="66">
        <f t="shared" ca="1" si="4411"/>
        <v>2019</v>
      </c>
      <c r="G2172" s="66">
        <f t="shared" ref="G2172" ca="1" si="4455">VLOOKUP(INDIRECT(CHAR(39)&amp;$A2172&amp;CHAR(39)&amp;"!r2c"&amp;$C2172,0),variables,2,0)</f>
        <v>10842</v>
      </c>
      <c r="H2172" s="71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66" t="s">
        <v>1045</v>
      </c>
      <c r="B2173" s="66">
        <f t="shared" si="4433"/>
        <v>22</v>
      </c>
      <c r="C2173" s="66">
        <f t="shared" si="4409"/>
        <v>14</v>
      </c>
      <c r="E2173" s="66">
        <f t="shared" ref="E2173" si="4456">plan_id</f>
        <v>1952</v>
      </c>
      <c r="F2173" s="66">
        <f t="shared" ca="1" si="4411"/>
        <v>2019</v>
      </c>
      <c r="G2173" s="66">
        <f t="shared" ref="G2173" ca="1" si="4457">VLOOKUP(INDIRECT(CHAR(39)&amp;$A2173&amp;CHAR(39)&amp;"!r2c"&amp;$C2173,0),variables,2,0)</f>
        <v>10843</v>
      </c>
      <c r="H2173" s="71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66" t="s">
        <v>1045</v>
      </c>
      <c r="B2174" s="66">
        <f t="shared" si="4433"/>
        <v>22</v>
      </c>
      <c r="C2174" s="66">
        <f t="shared" si="4409"/>
        <v>15</v>
      </c>
      <c r="E2174" s="66">
        <f t="shared" ref="E2174" si="4458">plan_id</f>
        <v>1952</v>
      </c>
      <c r="F2174" s="66">
        <f t="shared" ca="1" si="4411"/>
        <v>2019</v>
      </c>
      <c r="G2174" s="66">
        <f t="shared" ref="G2174" ca="1" si="4459">VLOOKUP(INDIRECT(CHAR(39)&amp;$A2174&amp;CHAR(39)&amp;"!r2c"&amp;$C2174,0),variables,2,0)</f>
        <v>10931</v>
      </c>
      <c r="H2174" s="71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66" t="s">
        <v>1045</v>
      </c>
      <c r="B2175" s="66">
        <f t="shared" si="4433"/>
        <v>22</v>
      </c>
      <c r="C2175" s="66">
        <f t="shared" si="4409"/>
        <v>16</v>
      </c>
      <c r="E2175" s="66">
        <f t="shared" ref="E2175" si="4460">plan_id</f>
        <v>1952</v>
      </c>
      <c r="F2175" s="66">
        <f t="shared" ca="1" si="4411"/>
        <v>2019</v>
      </c>
      <c r="G2175" s="66">
        <f t="shared" ref="G2175" ca="1" si="4461">VLOOKUP(INDIRECT(CHAR(39)&amp;$A2175&amp;CHAR(39)&amp;"!r2c"&amp;$C2175,0),variables,2,0)</f>
        <v>10932</v>
      </c>
      <c r="H2175" s="71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66" t="s">
        <v>1045</v>
      </c>
      <c r="B2176" s="66">
        <f t="shared" si="4433"/>
        <v>22</v>
      </c>
      <c r="C2176" s="66">
        <f t="shared" si="4409"/>
        <v>17</v>
      </c>
      <c r="E2176" s="66">
        <f t="shared" ref="E2176" si="4462">plan_id</f>
        <v>1952</v>
      </c>
      <c r="F2176" s="66">
        <f t="shared" ca="1" si="4411"/>
        <v>2019</v>
      </c>
      <c r="G2176" s="66">
        <f t="shared" ref="G2176" ca="1" si="4463">VLOOKUP(INDIRECT(CHAR(39)&amp;$A2176&amp;CHAR(39)&amp;"!r2c"&amp;$C2176,0),variables,2,0)</f>
        <v>10933</v>
      </c>
      <c r="H2176" s="71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(i)13.67%; (ii)16.06%</v>
      </c>
    </row>
    <row r="2177" spans="1:8" x14ac:dyDescent="0.2">
      <c r="A2177" s="66" t="s">
        <v>1045</v>
      </c>
      <c r="B2177" s="66">
        <f t="shared" si="4433"/>
        <v>22</v>
      </c>
      <c r="C2177" s="66">
        <f t="shared" si="4409"/>
        <v>18</v>
      </c>
      <c r="E2177" s="66">
        <f t="shared" ref="E2177" si="4464">plan_id</f>
        <v>1952</v>
      </c>
      <c r="F2177" s="66">
        <f t="shared" ca="1" si="4411"/>
        <v>2019</v>
      </c>
      <c r="G2177" s="66">
        <f t="shared" ref="G2177" ca="1" si="4465">VLOOKUP(INDIRECT(CHAR(39)&amp;$A2177&amp;CHAR(39)&amp;"!r2c"&amp;$C2177,0),variables,2,0)</f>
        <v>10934</v>
      </c>
      <c r="H2177" s="71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(i)4.60%; (ii)4.68%</v>
      </c>
    </row>
    <row r="2178" spans="1:8" x14ac:dyDescent="0.2">
      <c r="A2178" s="66" t="s">
        <v>1045</v>
      </c>
      <c r="B2178" s="66">
        <f t="shared" si="4433"/>
        <v>22</v>
      </c>
      <c r="C2178" s="66">
        <f t="shared" si="4409"/>
        <v>19</v>
      </c>
      <c r="E2178" s="66">
        <f t="shared" ref="E2178" si="4466">plan_id</f>
        <v>1952</v>
      </c>
      <c r="F2178" s="66">
        <f t="shared" ca="1" si="4411"/>
        <v>2019</v>
      </c>
      <c r="G2178" s="66">
        <f t="shared" ref="G2178" ca="1" si="4467">VLOOKUP(INDIRECT(CHAR(39)&amp;$A2178&amp;CHAR(39)&amp;"!r2c"&amp;$C2178,0),variables,2,0)</f>
        <v>10935</v>
      </c>
      <c r="H2178" s="71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66" t="s">
        <v>1045</v>
      </c>
      <c r="B2179" s="66">
        <f t="shared" si="4433"/>
        <v>22</v>
      </c>
      <c r="C2179" s="66">
        <f t="shared" si="4409"/>
        <v>20</v>
      </c>
      <c r="E2179" s="66">
        <f t="shared" ref="E2179" si="4468">plan_id</f>
        <v>1952</v>
      </c>
      <c r="F2179" s="66">
        <f t="shared" ca="1" si="4411"/>
        <v>2019</v>
      </c>
      <c r="G2179" s="66">
        <f t="shared" ref="G2179" ca="1" si="4469">VLOOKUP(INDIRECT(CHAR(39)&amp;$A2179&amp;CHAR(39)&amp;"!r2c"&amp;$C2179,0),variables,2,0)</f>
        <v>10937</v>
      </c>
      <c r="H2179" s="71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66" t="s">
        <v>1045</v>
      </c>
      <c r="B2180" s="66">
        <f t="shared" si="4433"/>
        <v>22</v>
      </c>
      <c r="C2180" s="66">
        <f t="shared" si="4409"/>
        <v>21</v>
      </c>
      <c r="E2180" s="66">
        <f t="shared" ref="E2180" si="4470">plan_id</f>
        <v>1952</v>
      </c>
      <c r="F2180" s="66">
        <f t="shared" ca="1" si="4411"/>
        <v>2019</v>
      </c>
      <c r="G2180" s="66">
        <f t="shared" ref="G2180" ca="1" si="4471">VLOOKUP(INDIRECT(CHAR(39)&amp;$A2180&amp;CHAR(39)&amp;"!r2c"&amp;$C2180,0),variables,2,0)</f>
        <v>10938</v>
      </c>
      <c r="H2180" s="71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66" t="s">
        <v>1045</v>
      </c>
      <c r="B2181" s="66">
        <f t="shared" si="4433"/>
        <v>22</v>
      </c>
      <c r="C2181" s="66">
        <f t="shared" si="4409"/>
        <v>22</v>
      </c>
      <c r="E2181" s="66">
        <f t="shared" ref="E2181" si="4472">plan_id</f>
        <v>1952</v>
      </c>
      <c r="F2181" s="66">
        <f t="shared" ca="1" si="4411"/>
        <v>2019</v>
      </c>
      <c r="G2181" s="66">
        <f t="shared" ref="G2181" ca="1" si="4473">VLOOKUP(INDIRECT(CHAR(39)&amp;$A2181&amp;CHAR(39)&amp;"!r2c"&amp;$C2181,0),variables,2,0)</f>
        <v>11007</v>
      </c>
      <c r="H2181" s="71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 xml:space="preserve">Plan 1: 1.7% of AFC times years of service; Plan 2: 1.7% AFC times years of service up to 1/1/13 + 1.65% AFC times years of service from 1/1/13; Hybrid: 1% AFC times years of service </v>
      </c>
    </row>
    <row r="2182" spans="1:8" x14ac:dyDescent="0.2">
      <c r="A2182" s="66" t="s">
        <v>1045</v>
      </c>
      <c r="B2182" s="66">
        <f t="shared" si="4433"/>
        <v>22</v>
      </c>
      <c r="C2182" s="66">
        <f t="shared" si="4409"/>
        <v>23</v>
      </c>
      <c r="E2182" s="66">
        <f t="shared" ref="E2182" si="4474">plan_id</f>
        <v>1952</v>
      </c>
      <c r="F2182" s="66">
        <f t="shared" ca="1" si="4411"/>
        <v>2019</v>
      </c>
      <c r="G2182" s="66">
        <f t="shared" ref="G2182" ca="1" si="4475">VLOOKUP(INDIRECT(CHAR(39)&amp;$A2182&amp;CHAR(39)&amp;"!r2c"&amp;$C2182,0),variables,2,0)</f>
        <v>10941</v>
      </c>
      <c r="H2182" s="7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66" t="s">
        <v>1045</v>
      </c>
      <c r="B2183" s="66">
        <f t="shared" si="4433"/>
        <v>22</v>
      </c>
      <c r="C2183" s="66">
        <f t="shared" si="4409"/>
        <v>24</v>
      </c>
      <c r="E2183" s="66">
        <f t="shared" ref="E2183" si="4476">plan_id</f>
        <v>1952</v>
      </c>
      <c r="F2183" s="66">
        <f t="shared" ca="1" si="4411"/>
        <v>2019</v>
      </c>
      <c r="G2183" s="66">
        <f t="shared" ref="G2183" ca="1" si="4477">VLOOKUP(INDIRECT(CHAR(39)&amp;$A2183&amp;CHAR(39)&amp;"!r2c"&amp;$C2183,0),variables,2,0)</f>
        <v>10942</v>
      </c>
      <c r="H2183" s="71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66" t="s">
        <v>1045</v>
      </c>
      <c r="B2184" s="66">
        <f t="shared" si="4433"/>
        <v>22</v>
      </c>
      <c r="C2184" s="66">
        <f t="shared" si="4409"/>
        <v>25</v>
      </c>
      <c r="E2184" s="66">
        <f t="shared" ref="E2184" si="4478">plan_id</f>
        <v>1952</v>
      </c>
      <c r="F2184" s="66">
        <f t="shared" ca="1" si="4411"/>
        <v>2019</v>
      </c>
      <c r="G2184" s="66">
        <f t="shared" ref="G2184" ca="1" si="4479">VLOOKUP(INDIRECT(CHAR(39)&amp;$A2184&amp;CHAR(39)&amp;"!r2c"&amp;$C2184,0),variables,2,0)</f>
        <v>10701</v>
      </c>
      <c r="H2184" s="71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2">
      <c r="A2185" s="66" t="s">
        <v>1045</v>
      </c>
      <c r="B2185" s="66">
        <f t="shared" si="4433"/>
        <v>22</v>
      </c>
      <c r="C2185" s="66">
        <f t="shared" si="4409"/>
        <v>26</v>
      </c>
      <c r="E2185" s="66">
        <f t="shared" ref="E2185" si="4480">plan_id</f>
        <v>1952</v>
      </c>
      <c r="F2185" s="66">
        <f t="shared" ca="1" si="4411"/>
        <v>2019</v>
      </c>
      <c r="G2185" s="66">
        <f t="shared" ref="G2185" ca="1" si="4481">VLOOKUP(INDIRECT(CHAR(39)&amp;$A2185&amp;CHAR(39)&amp;"!r2c"&amp;$C2185,0),variables,2,0)</f>
        <v>10702</v>
      </c>
      <c r="H2185" s="71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66" t="s">
        <v>1045</v>
      </c>
      <c r="B2186" s="66">
        <f t="shared" si="4433"/>
        <v>22</v>
      </c>
      <c r="C2186" s="66">
        <f t="shared" si="4409"/>
        <v>27</v>
      </c>
      <c r="E2186" s="66">
        <f t="shared" ref="E2186" si="4482">plan_id</f>
        <v>1952</v>
      </c>
      <c r="F2186" s="66">
        <f t="shared" ca="1" si="4411"/>
        <v>2019</v>
      </c>
      <c r="G2186" s="66">
        <f t="shared" ref="G2186" ca="1" si="4483">VLOOKUP(INDIRECT(CHAR(39)&amp;$A2186&amp;CHAR(39)&amp;"!r2c"&amp;$C2186,0),variables,2,0)</f>
        <v>10943</v>
      </c>
      <c r="H2186" s="71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Plan 1: 2.50%; Plan 2: 2.25%</v>
      </c>
    </row>
    <row r="2187" spans="1:8" x14ac:dyDescent="0.2">
      <c r="A2187" s="66" t="s">
        <v>1045</v>
      </c>
      <c r="B2187" s="66">
        <f t="shared" si="4433"/>
        <v>22</v>
      </c>
      <c r="C2187" s="66">
        <f t="shared" si="4409"/>
        <v>28</v>
      </c>
      <c r="E2187" s="66">
        <f t="shared" ref="E2187" si="4484">plan_id</f>
        <v>1952</v>
      </c>
      <c r="F2187" s="66">
        <f t="shared" ca="1" si="4411"/>
        <v>2019</v>
      </c>
      <c r="G2187" s="66">
        <f t="shared" ref="G2187" ca="1" si="4485">VLOOKUP(INDIRECT(CHAR(39)&amp;$A2187&amp;CHAR(39)&amp;"!r2c"&amp;$C2187,0),variables,2,0)</f>
        <v>10944</v>
      </c>
      <c r="H2187" s="71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66" t="s">
        <v>1045</v>
      </c>
      <c r="B2188" s="66">
        <f t="shared" si="4433"/>
        <v>22</v>
      </c>
      <c r="C2188" s="66">
        <f t="shared" si="4409"/>
        <v>29</v>
      </c>
      <c r="E2188" s="66">
        <f t="shared" ref="E2188" si="4486">plan_id</f>
        <v>1952</v>
      </c>
      <c r="F2188" s="66">
        <f t="shared" ca="1" si="4411"/>
        <v>2019</v>
      </c>
      <c r="G2188" s="66">
        <f t="shared" ref="G2188" ca="1" si="4487">VLOOKUP(INDIRECT(CHAR(39)&amp;$A2188&amp;CHAR(39)&amp;"!r2c"&amp;$C2188,0),variables,2,0)</f>
        <v>10945</v>
      </c>
      <c r="H2188" s="71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66" t="s">
        <v>1045</v>
      </c>
      <c r="B2189" s="66">
        <f t="shared" si="4433"/>
        <v>22</v>
      </c>
      <c r="C2189" s="66">
        <f t="shared" si="4409"/>
        <v>30</v>
      </c>
      <c r="E2189" s="66">
        <f t="shared" ref="E2189" si="4488">plan_id</f>
        <v>1952</v>
      </c>
      <c r="F2189" s="66">
        <f t="shared" ca="1" si="4411"/>
        <v>2019</v>
      </c>
      <c r="G2189" s="66">
        <f t="shared" ref="G2189" ca="1" si="4489">VLOOKUP(INDIRECT(CHAR(39)&amp;$A2189&amp;CHAR(39)&amp;"!r2c"&amp;$C2189,0),variables,2,0)</f>
        <v>10947</v>
      </c>
      <c r="H2189" s="71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66" t="s">
        <v>1045</v>
      </c>
      <c r="B2190" s="66">
        <f t="shared" si="4433"/>
        <v>22</v>
      </c>
      <c r="C2190" s="66">
        <f t="shared" si="4409"/>
        <v>31</v>
      </c>
      <c r="E2190" s="66">
        <f t="shared" ref="E2190" si="4490">plan_id</f>
        <v>1952</v>
      </c>
      <c r="F2190" s="66">
        <f t="shared" ca="1" si="4411"/>
        <v>2019</v>
      </c>
      <c r="G2190" s="66">
        <f t="shared" ref="G2190" ca="1" si="4491">VLOOKUP(INDIRECT(CHAR(39)&amp;$A2190&amp;CHAR(39)&amp;"!r2c"&amp;$C2190,0),variables,2,0)</f>
        <v>10948</v>
      </c>
      <c r="H2190" s="71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2">
      <c r="A2191" s="66" t="s">
        <v>1045</v>
      </c>
      <c r="B2191" s="66">
        <f t="shared" si="4433"/>
        <v>22</v>
      </c>
      <c r="C2191" s="66">
        <f t="shared" si="4409"/>
        <v>32</v>
      </c>
      <c r="E2191" s="66">
        <f t="shared" ref="E2191" si="4492">plan_id</f>
        <v>1952</v>
      </c>
      <c r="F2191" s="66">
        <f t="shared" ca="1" si="4411"/>
        <v>2019</v>
      </c>
      <c r="G2191" s="66">
        <f t="shared" ref="G2191" ca="1" si="4493">VLOOKUP(INDIRECT(CHAR(39)&amp;$A2191&amp;CHAR(39)&amp;"!r2c"&amp;$C2191,0),variables,2,0)</f>
        <v>10949</v>
      </c>
      <c r="H2191" s="71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Yes</v>
      </c>
    </row>
    <row r="2192" spans="1:8" x14ac:dyDescent="0.2">
      <c r="A2192" s="66" t="s">
        <v>1045</v>
      </c>
      <c r="B2192" s="66">
        <f t="shared" si="4433"/>
        <v>22</v>
      </c>
      <c r="C2192" s="66">
        <f t="shared" si="4409"/>
        <v>33</v>
      </c>
      <c r="E2192" s="66">
        <f t="shared" ref="E2192" si="4494">plan_id</f>
        <v>1952</v>
      </c>
      <c r="F2192" s="66">
        <f t="shared" ca="1" si="4411"/>
        <v>2019</v>
      </c>
      <c r="G2192" s="66">
        <f t="shared" ref="G2192" ca="1" si="4495">VLOOKUP(INDIRECT(CHAR(39)&amp;$A2192&amp;CHAR(39)&amp;"!r2c"&amp;$C2192,0),variables,2,0)</f>
        <v>10951</v>
      </c>
      <c r="H2192" s="7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2">
      <c r="A2193" s="66" t="s">
        <v>1045</v>
      </c>
      <c r="B2193" s="66">
        <f t="shared" si="4433"/>
        <v>22</v>
      </c>
      <c r="C2193" s="66">
        <f t="shared" si="4409"/>
        <v>34</v>
      </c>
      <c r="E2193" s="66">
        <f t="shared" ref="E2193" si="4496">plan_id</f>
        <v>1952</v>
      </c>
      <c r="F2193" s="66">
        <f t="shared" ca="1" si="4411"/>
        <v>2019</v>
      </c>
      <c r="G2193" s="66">
        <f t="shared" ref="G2193" ca="1" si="4497">VLOOKUP(INDIRECT(CHAR(39)&amp;$A2193&amp;CHAR(39)&amp;"!r2c"&amp;$C2193,0),variables,2,0)</f>
        <v>10950</v>
      </c>
      <c r="H2193" s="71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2">
      <c r="A2194" s="66" t="s">
        <v>1045</v>
      </c>
      <c r="B2194" s="66">
        <f t="shared" si="4433"/>
        <v>22</v>
      </c>
      <c r="C2194" s="66">
        <f t="shared" si="4409"/>
        <v>35</v>
      </c>
      <c r="E2194" s="66">
        <f t="shared" ref="E2194" si="4498">plan_id</f>
        <v>1952</v>
      </c>
      <c r="F2194" s="66">
        <f t="shared" ca="1" si="4411"/>
        <v>2019</v>
      </c>
      <c r="G2194" s="66">
        <f t="shared" ref="G2194" ca="1" si="4499">VLOOKUP(INDIRECT(CHAR(39)&amp;$A2194&amp;CHAR(39)&amp;"!r2c"&amp;$C2194,0),variables,2,0)</f>
        <v>10954</v>
      </c>
      <c r="H2194" s="71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66" t="s">
        <v>1045</v>
      </c>
      <c r="B2195" s="66">
        <f t="shared" si="4433"/>
        <v>22</v>
      </c>
      <c r="C2195" s="66">
        <f t="shared" si="4409"/>
        <v>36</v>
      </c>
      <c r="E2195" s="66">
        <f t="shared" ref="E2195" si="4500">plan_id</f>
        <v>1952</v>
      </c>
      <c r="F2195" s="66">
        <f t="shared" ca="1" si="4411"/>
        <v>2019</v>
      </c>
      <c r="G2195" s="66">
        <f t="shared" ref="G2195" ca="1" si="4501">VLOOKUP(INDIRECT(CHAR(39)&amp;$A2195&amp;CHAR(39)&amp;"!r2c"&amp;$C2195,0),variables,2,0)</f>
        <v>10955</v>
      </c>
      <c r="H2195" s="71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</row>
    <row r="2196" spans="1:8" x14ac:dyDescent="0.2">
      <c r="A2196" s="66" t="s">
        <v>1045</v>
      </c>
      <c r="B2196" s="66">
        <f t="shared" si="4433"/>
        <v>22</v>
      </c>
      <c r="C2196" s="66">
        <f t="shared" si="4409"/>
        <v>37</v>
      </c>
      <c r="E2196" s="66">
        <f t="shared" ref="E2196" si="4502">plan_id</f>
        <v>1952</v>
      </c>
      <c r="F2196" s="66">
        <f t="shared" ca="1" si="4411"/>
        <v>2019</v>
      </c>
      <c r="G2196" s="66">
        <f t="shared" ref="G2196" ca="1" si="4503">VLOOKUP(INDIRECT(CHAR(39)&amp;$A2196&amp;CHAR(39)&amp;"!r2c"&amp;$C2196,0),variables,2,0)</f>
        <v>10956</v>
      </c>
      <c r="H2196" s="7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2">
      <c r="A2197" s="66" t="s">
        <v>1045</v>
      </c>
      <c r="B2197" s="66">
        <f t="shared" si="4433"/>
        <v>22</v>
      </c>
      <c r="C2197" s="66">
        <f t="shared" si="4409"/>
        <v>38</v>
      </c>
      <c r="E2197" s="66">
        <f t="shared" ref="E2197" si="4504">plan_id</f>
        <v>1952</v>
      </c>
      <c r="F2197" s="66">
        <f t="shared" ca="1" si="4411"/>
        <v>2019</v>
      </c>
      <c r="G2197" s="66">
        <f t="shared" ref="G2197" ca="1" si="4505">VLOOKUP(INDIRECT(CHAR(39)&amp;$A2197&amp;CHAR(39)&amp;"!r2c"&amp;$C2197,0),variables,2,0)</f>
        <v>10959</v>
      </c>
      <c r="H2197" s="71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SE-3.50% to 5.35% &amp; Teach 3.50% to 5.95%</v>
      </c>
    </row>
    <row r="2198" spans="1:8" x14ac:dyDescent="0.2">
      <c r="A2198" s="66" t="s">
        <v>1045</v>
      </c>
      <c r="B2198" s="66">
        <f t="shared" si="4433"/>
        <v>22</v>
      </c>
      <c r="C2198" s="66">
        <f t="shared" si="4409"/>
        <v>39</v>
      </c>
      <c r="E2198" s="66">
        <f t="shared" ref="E2198" si="4506">plan_id</f>
        <v>1952</v>
      </c>
      <c r="F2198" s="66">
        <f t="shared" ca="1" si="4411"/>
        <v>2019</v>
      </c>
      <c r="G2198" s="66">
        <f t="shared" ref="G2198" ca="1" si="4507">VLOOKUP(INDIRECT(CHAR(39)&amp;$A2198&amp;CHAR(39)&amp;"!r2c"&amp;$C2198,0),variables,2,0)</f>
        <v>10962</v>
      </c>
      <c r="H2198" s="71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67 &amp; 75</v>
      </c>
    </row>
    <row r="2199" spans="1:8" x14ac:dyDescent="0.2">
      <c r="A2199" s="66" t="s">
        <v>1045</v>
      </c>
      <c r="B2199" s="66">
        <f t="shared" si="4433"/>
        <v>22</v>
      </c>
      <c r="C2199" s="66">
        <f t="shared" si="4409"/>
        <v>40</v>
      </c>
      <c r="E2199" s="66">
        <f t="shared" ref="E2199" si="4508">plan_id</f>
        <v>1952</v>
      </c>
      <c r="F2199" s="66">
        <f t="shared" ca="1" si="4411"/>
        <v>2019</v>
      </c>
      <c r="G2199" s="66">
        <f t="shared" ref="G2199" ca="1" si="4509">VLOOKUP(INDIRECT(CHAR(39)&amp;$A2199&amp;CHAR(39)&amp;"!r2c"&amp;$C2199,0),variables,2,0)</f>
        <v>10964</v>
      </c>
      <c r="H2199" s="71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62-65 &amp; 70-73</v>
      </c>
    </row>
    <row r="2200" spans="1:8" x14ac:dyDescent="0.2">
      <c r="A2200" s="66" t="s">
        <v>1045</v>
      </c>
      <c r="B2200" s="66">
        <f t="shared" si="4433"/>
        <v>22</v>
      </c>
      <c r="C2200" s="66">
        <f t="shared" si="4409"/>
        <v>41</v>
      </c>
      <c r="E2200" s="66">
        <f t="shared" ref="E2200" si="4510">plan_id</f>
        <v>1952</v>
      </c>
      <c r="F2200" s="66">
        <f t="shared" ca="1" si="4411"/>
        <v>2019</v>
      </c>
      <c r="G2200" s="66">
        <f t="shared" ref="G2200" ca="1" si="4511">VLOOKUP(INDIRECT(CHAR(39)&amp;$A2200&amp;CHAR(39)&amp;"!r2c"&amp;$C2200,0),variables,2,0)</f>
        <v>10967</v>
      </c>
      <c r="H2200" s="71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Employee Rates, Annuitant Rates, White Collar Rates</v>
      </c>
    </row>
    <row r="2201" spans="1:8" x14ac:dyDescent="0.2">
      <c r="A2201" s="66" t="s">
        <v>1045</v>
      </c>
      <c r="B2201" s="66">
        <f t="shared" si="4433"/>
        <v>22</v>
      </c>
      <c r="C2201" s="66">
        <f t="shared" si="4409"/>
        <v>42</v>
      </c>
      <c r="E2201" s="66">
        <f t="shared" ref="E2201" si="4512">plan_id</f>
        <v>1952</v>
      </c>
      <c r="F2201" s="66">
        <f t="shared" ca="1" si="4411"/>
        <v>2019</v>
      </c>
      <c r="G2201" s="66">
        <f t="shared" ref="G2201" ca="1" si="4513">VLOOKUP(INDIRECT(CHAR(39)&amp;$A2201&amp;CHAR(39)&amp;"!r2c"&amp;$C2201,0),variables,2,0)</f>
        <v>10968</v>
      </c>
      <c r="H2201" s="71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2">
      <c r="A2202" s="66" t="s">
        <v>1045</v>
      </c>
      <c r="B2202" s="66">
        <f t="shared" si="4433"/>
        <v>22</v>
      </c>
      <c r="C2202" s="66">
        <f t="shared" si="4409"/>
        <v>43</v>
      </c>
      <c r="E2202" s="66">
        <f t="shared" ref="E2202" si="4514">plan_id</f>
        <v>1952</v>
      </c>
      <c r="F2202" s="66">
        <f t="shared" ca="1" si="4411"/>
        <v>2019</v>
      </c>
      <c r="G2202" s="66">
        <f t="shared" ref="G2202" ca="1" si="4515">VLOOKUP(INDIRECT(CHAR(39)&amp;$A2202&amp;CHAR(39)&amp;"!r2c"&amp;$C2202,0),variables,2,0)</f>
        <v>10969</v>
      </c>
      <c r="H2202" s="71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 xml:space="preserve">Scale BB  </v>
      </c>
    </row>
    <row r="2203" spans="1:8" x14ac:dyDescent="0.2">
      <c r="A2203" s="66" t="s">
        <v>1045</v>
      </c>
      <c r="B2203" s="66">
        <f t="shared" si="4433"/>
        <v>22</v>
      </c>
      <c r="C2203" s="66">
        <f t="shared" si="4409"/>
        <v>44</v>
      </c>
      <c r="E2203" s="66">
        <f t="shared" ref="E2203" si="4516">plan_id</f>
        <v>1952</v>
      </c>
      <c r="F2203" s="66">
        <f t="shared" ca="1" si="4411"/>
        <v>2019</v>
      </c>
      <c r="G2203" s="66">
        <f t="shared" ref="G2203" ca="1" si="4517">VLOOKUP(INDIRECT(CHAR(39)&amp;$A2203&amp;CHAR(39)&amp;"!r2c"&amp;$C2203,0),variables,2,0)</f>
        <v>10970</v>
      </c>
      <c r="H2203" s="71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State Pre- 1 Year, Post- Females 1 Year; Teachers: Females- 3 Years</v>
      </c>
    </row>
    <row r="2204" spans="1:8" x14ac:dyDescent="0.2">
      <c r="A2204" s="66" t="s">
        <v>1045</v>
      </c>
      <c r="B2204" s="66">
        <f t="shared" si="4433"/>
        <v>22</v>
      </c>
      <c r="C2204" s="66">
        <f t="shared" si="4409"/>
        <v>45</v>
      </c>
      <c r="E2204" s="66">
        <f t="shared" ref="E2204" si="4518">plan_id</f>
        <v>1952</v>
      </c>
      <c r="F2204" s="66">
        <f t="shared" ca="1" si="4411"/>
        <v>2019</v>
      </c>
      <c r="G2204" s="66">
        <f t="shared" ref="G2204" ca="1" si="4519">VLOOKUP(INDIRECT(CHAR(39)&amp;$A2204&amp;CHAR(39)&amp;"!r2c"&amp;$C2204,0),variables,2,0)</f>
        <v>10971</v>
      </c>
      <c r="H2204" s="71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State Post- Males: 1 Year</v>
      </c>
    </row>
    <row r="2205" spans="1:8" x14ac:dyDescent="0.2">
      <c r="A2205" s="66" t="s">
        <v>1045</v>
      </c>
      <c r="B2205" s="66">
        <f t="shared" si="4433"/>
        <v>22</v>
      </c>
      <c r="C2205" s="66">
        <f t="shared" si="4409"/>
        <v>46</v>
      </c>
      <c r="E2205" s="66">
        <f t="shared" ref="E2205" si="4520">plan_id</f>
        <v>1952</v>
      </c>
      <c r="F2205" s="66">
        <f t="shared" ca="1" si="4411"/>
        <v>2019</v>
      </c>
      <c r="G2205" s="66">
        <f t="shared" ref="G2205" ca="1" si="4521">VLOOKUP(INDIRECT(CHAR(39)&amp;$A2205&amp;CHAR(39)&amp;"!r2c"&amp;$C2205,0),variables,2,0)</f>
        <v>10972</v>
      </c>
      <c r="H2205" s="71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Payroll, Closed</v>
      </c>
    </row>
    <row r="2206" spans="1:8" x14ac:dyDescent="0.2">
      <c r="A2206" s="66" t="s">
        <v>1045</v>
      </c>
      <c r="B2206" s="66">
        <f t="shared" si="4433"/>
        <v>22</v>
      </c>
      <c r="C2206" s="66">
        <f t="shared" si="4409"/>
        <v>47</v>
      </c>
      <c r="E2206" s="66">
        <f t="shared" ref="E2206" si="4522">plan_id</f>
        <v>1952</v>
      </c>
      <c r="F2206" s="66">
        <f t="shared" ca="1" si="4411"/>
        <v>2019</v>
      </c>
      <c r="G2206" s="66">
        <f t="shared" ref="G2206" ca="1" si="4523">VLOOKUP(INDIRECT(CHAR(39)&amp;$A2206&amp;CHAR(39)&amp;"!r2c"&amp;$C2206,0),variables,2,0)</f>
        <v>10973</v>
      </c>
      <c r="H2206" s="71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26 Years</v>
      </c>
    </row>
    <row r="2207" spans="1:8" x14ac:dyDescent="0.2">
      <c r="A2207" s="66" t="s">
        <v>1045</v>
      </c>
      <c r="B2207" s="66">
        <f t="shared" si="4433"/>
        <v>22</v>
      </c>
      <c r="C2207" s="66">
        <f t="shared" si="4409"/>
        <v>48</v>
      </c>
      <c r="E2207" s="66">
        <f t="shared" ref="E2207" si="4524">plan_id</f>
        <v>1952</v>
      </c>
      <c r="F2207" s="66">
        <f t="shared" ca="1" si="4411"/>
        <v>2019</v>
      </c>
      <c r="G2207" s="66">
        <f t="shared" ref="G2207" ca="1" si="4525">VLOOKUP(INDIRECT(CHAR(39)&amp;$A2207&amp;CHAR(39)&amp;"!r2c"&amp;$C2207,0),variables,2,0)</f>
        <v>10975</v>
      </c>
      <c r="H2207" s="71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2">
      <c r="A2208" s="66" t="s">
        <v>1045</v>
      </c>
      <c r="B2208" s="66">
        <f t="shared" si="4433"/>
        <v>22</v>
      </c>
      <c r="C2208" s="66">
        <f t="shared" si="4409"/>
        <v>49</v>
      </c>
      <c r="E2208" s="66">
        <f t="shared" ref="E2208" si="4526">plan_id</f>
        <v>1952</v>
      </c>
      <c r="F2208" s="66">
        <f t="shared" ca="1" si="4411"/>
        <v>2019</v>
      </c>
      <c r="G2208" s="66">
        <f t="shared" ref="G2208" ca="1" si="4527">VLOOKUP(INDIRECT(CHAR(39)&amp;$A2208&amp;CHAR(39)&amp;"!r2c"&amp;$C2208,0),variables,2,0)</f>
        <v>10976</v>
      </c>
      <c r="H2208" s="71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</row>
    <row r="2209" spans="1:8" x14ac:dyDescent="0.2">
      <c r="A2209" s="66" t="s">
        <v>1045</v>
      </c>
      <c r="B2209" s="66">
        <f t="shared" si="4433"/>
        <v>22</v>
      </c>
      <c r="C2209" s="66">
        <f t="shared" si="4409"/>
        <v>50</v>
      </c>
      <c r="E2209" s="66">
        <f t="shared" ref="E2209" si="4528">plan_id</f>
        <v>1952</v>
      </c>
      <c r="F2209" s="66">
        <f t="shared" ca="1" si="4411"/>
        <v>2019</v>
      </c>
      <c r="G2209" s="66">
        <f t="shared" ref="G2209" ca="1" si="4529">VLOOKUP(INDIRECT(CHAR(39)&amp;$A2209&amp;CHAR(39)&amp;"!r2c"&amp;$C2209,0),variables,2,0)</f>
        <v>10977</v>
      </c>
      <c r="H2209" s="71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66" t="s">
        <v>1045</v>
      </c>
      <c r="B2210" s="66">
        <f t="shared" si="4433"/>
        <v>22</v>
      </c>
      <c r="C2210" s="66">
        <f t="shared" si="4409"/>
        <v>51</v>
      </c>
      <c r="E2210" s="66">
        <f t="shared" ref="E2210" si="4530">plan_id</f>
        <v>1952</v>
      </c>
      <c r="F2210" s="66">
        <f t="shared" ca="1" si="4411"/>
        <v>2019</v>
      </c>
      <c r="G2210" s="66">
        <f t="shared" ref="G2210" ca="1" si="4531">VLOOKUP(INDIRECT(CHAR(39)&amp;$A2210&amp;CHAR(39)&amp;"!r2c"&amp;$C2210,0),variables,2,0)</f>
        <v>10978</v>
      </c>
      <c r="H2210" s="71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</row>
    <row r="2211" spans="1:8" x14ac:dyDescent="0.2">
      <c r="A2211" s="66" t="s">
        <v>1045</v>
      </c>
      <c r="B2211" s="66">
        <f t="shared" si="4433"/>
        <v>22</v>
      </c>
      <c r="C2211" s="66">
        <f t="shared" si="4409"/>
        <v>52</v>
      </c>
      <c r="E2211" s="66">
        <f t="shared" ref="E2211" si="4532">plan_id</f>
        <v>1952</v>
      </c>
      <c r="F2211" s="66">
        <f t="shared" ca="1" si="4411"/>
        <v>2019</v>
      </c>
      <c r="G2211" s="66">
        <f t="shared" ref="G2211" ca="1" si="4533">VLOOKUP(INDIRECT(CHAR(39)&amp;$A2211&amp;CHAR(39)&amp;"!r2c"&amp;$C2211,0),variables,2,0)</f>
        <v>10979</v>
      </c>
      <c r="H2211" s="71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2">
      <c r="A2212" s="66" t="s">
        <v>1045</v>
      </c>
      <c r="B2212" s="66">
        <f t="shared" si="4433"/>
        <v>22</v>
      </c>
      <c r="C2212" s="66">
        <f t="shared" si="4409"/>
        <v>53</v>
      </c>
      <c r="E2212" s="66">
        <f t="shared" ref="E2212" si="4534">plan_id</f>
        <v>1952</v>
      </c>
      <c r="F2212" s="66">
        <f t="shared" ca="1" si="4411"/>
        <v>2019</v>
      </c>
      <c r="G2212" s="66">
        <f t="shared" ref="G2212" ca="1" si="4535">VLOOKUP(INDIRECT(CHAR(39)&amp;$A2212&amp;CHAR(39)&amp;"!r2c"&amp;$C2212,0),variables,2,0)</f>
        <v>10980</v>
      </c>
      <c r="H2212" s="71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2">
      <c r="A2213" s="66" t="s">
        <v>1045</v>
      </c>
      <c r="B2213" s="66">
        <f t="shared" si="4433"/>
        <v>22</v>
      </c>
      <c r="C2213" s="66">
        <f t="shared" si="4409"/>
        <v>54</v>
      </c>
      <c r="E2213" s="66">
        <f t="shared" ref="E2213" si="4536">plan_id</f>
        <v>1952</v>
      </c>
      <c r="F2213" s="66">
        <f t="shared" ca="1" si="4411"/>
        <v>2019</v>
      </c>
      <c r="G2213" s="66">
        <f t="shared" ref="G2213" ca="1" si="4537">VLOOKUP(INDIRECT(CHAR(39)&amp;$A2213&amp;CHAR(39)&amp;"!r2c"&amp;$C2213,0),variables,2,0)</f>
        <v>10981</v>
      </c>
      <c r="H2213" s="71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2">
      <c r="A2214" s="66" t="s">
        <v>1045</v>
      </c>
      <c r="B2214" s="66">
        <f t="shared" si="4433"/>
        <v>22</v>
      </c>
      <c r="C2214" s="66">
        <f t="shared" si="4409"/>
        <v>55</v>
      </c>
      <c r="E2214" s="66">
        <f t="shared" ref="E2214" si="4538">plan_id</f>
        <v>1952</v>
      </c>
      <c r="F2214" s="66">
        <f t="shared" ca="1" si="4411"/>
        <v>2019</v>
      </c>
      <c r="G2214" s="66">
        <f t="shared" ref="G2214" ca="1" si="4539">VLOOKUP(INDIRECT(CHAR(39)&amp;$A2214&amp;CHAR(39)&amp;"!r2c"&amp;$C2214,0),variables,2,0)</f>
        <v>10706</v>
      </c>
      <c r="H2214" s="71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6.3203840476920104E-4</v>
      </c>
    </row>
    <row r="2215" spans="1:8" x14ac:dyDescent="0.2">
      <c r="A2215" s="66" t="s">
        <v>1045</v>
      </c>
      <c r="B2215" s="66">
        <f t="shared" si="4433"/>
        <v>22</v>
      </c>
      <c r="C2215" s="66">
        <f t="shared" ref="C2215:C2278" si="4540">C2124</f>
        <v>56</v>
      </c>
      <c r="E2215" s="66">
        <f t="shared" ref="E2215" si="4541">plan_id</f>
        <v>1952</v>
      </c>
      <c r="F2215" s="66">
        <f t="shared" ref="F2215:F2278" ca="1" si="4542">INDIRECT(CHAR(39)&amp;$A2215&amp;CHAR(39)&amp;"!r"&amp;$B2215&amp;"c2",0)</f>
        <v>2019</v>
      </c>
      <c r="G2215" s="66">
        <f t="shared" ref="G2215" ca="1" si="4543">VLOOKUP(INDIRECT(CHAR(39)&amp;$A2215&amp;CHAR(39)&amp;"!r2c"&amp;$C2215,0),variables,2,0)</f>
        <v>10983</v>
      </c>
      <c r="H2215" s="71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66" t="s">
        <v>1045</v>
      </c>
      <c r="B2216" s="66">
        <f t="shared" si="4433"/>
        <v>22</v>
      </c>
      <c r="C2216" s="66">
        <f t="shared" si="4540"/>
        <v>57</v>
      </c>
      <c r="E2216" s="66">
        <f t="shared" ref="E2216" si="4544">plan_id</f>
        <v>1952</v>
      </c>
      <c r="F2216" s="66">
        <f t="shared" ca="1" si="4542"/>
        <v>2019</v>
      </c>
      <c r="G2216" s="66">
        <f t="shared" ref="G2216" ca="1" si="4545">VLOOKUP(INDIRECT(CHAR(39)&amp;$A2216&amp;CHAR(39)&amp;"!r2c"&amp;$C2216,0),variables,2,0)</f>
        <v>10989</v>
      </c>
      <c r="H2216" s="71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76244148000</v>
      </c>
    </row>
    <row r="2217" spans="1:8" x14ac:dyDescent="0.2">
      <c r="A2217" s="66" t="s">
        <v>1045</v>
      </c>
      <c r="B2217" s="66">
        <f t="shared" si="4433"/>
        <v>22</v>
      </c>
      <c r="C2217" s="66">
        <f t="shared" si="4540"/>
        <v>58</v>
      </c>
      <c r="E2217" s="66">
        <f t="shared" ref="E2217" si="4546">plan_id</f>
        <v>1952</v>
      </c>
      <c r="F2217" s="66">
        <f t="shared" ca="1" si="4542"/>
        <v>2019</v>
      </c>
      <c r="G2217" s="66">
        <f t="shared" ref="G2217" ca="1" si="4547">VLOOKUP(INDIRECT(CHAR(39)&amp;$A2217&amp;CHAR(39)&amp;"!r2c"&amp;$C2217,0),variables,2,0)</f>
        <v>10990</v>
      </c>
      <c r="H2217" s="7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99133971000</v>
      </c>
    </row>
    <row r="2218" spans="1:8" x14ac:dyDescent="0.2">
      <c r="A2218" s="66" t="s">
        <v>1045</v>
      </c>
      <c r="B2218" s="66">
        <f t="shared" si="4433"/>
        <v>22</v>
      </c>
      <c r="C2218" s="66">
        <f t="shared" si="4540"/>
        <v>59</v>
      </c>
      <c r="E2218" s="66">
        <f t="shared" ref="E2218" si="4548">plan_id</f>
        <v>1952</v>
      </c>
      <c r="F2218" s="66">
        <f t="shared" ca="1" si="4542"/>
        <v>2019</v>
      </c>
      <c r="G2218" s="66">
        <f t="shared" ref="G2218" ca="1" si="4549">VLOOKUP(INDIRECT(CHAR(39)&amp;$A2218&amp;CHAR(39)&amp;"!r2c"&amp;$C2218,0),variables,2,0)</f>
        <v>10991</v>
      </c>
      <c r="H2218" s="71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22889823000</v>
      </c>
    </row>
    <row r="2219" spans="1:8" x14ac:dyDescent="0.2">
      <c r="A2219" s="66" t="s">
        <v>1045</v>
      </c>
      <c r="B2219" s="66">
        <f t="shared" si="4433"/>
        <v>22</v>
      </c>
      <c r="C2219" s="66">
        <f t="shared" si="4540"/>
        <v>60</v>
      </c>
      <c r="E2219" s="66">
        <f t="shared" ref="E2219" si="4550">plan_id</f>
        <v>1952</v>
      </c>
      <c r="F2219" s="66">
        <f t="shared" ca="1" si="4542"/>
        <v>2019</v>
      </c>
      <c r="G2219" s="66">
        <f t="shared" ref="G2219" ca="1" si="4551">VLOOKUP(INDIRECT(CHAR(39)&amp;$A2219&amp;CHAR(39)&amp;"!r2c"&amp;$C2219,0),variables,2,0)</f>
        <v>10992</v>
      </c>
      <c r="H2219" s="71" t="str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State Employees: 74.54%; Teachers: 73.49%; Political Subdivisions: 86.27%</v>
      </c>
    </row>
    <row r="2220" spans="1:8" x14ac:dyDescent="0.2">
      <c r="A2220" s="66" t="s">
        <v>1045</v>
      </c>
      <c r="B2220" s="66">
        <f t="shared" si="4433"/>
        <v>22</v>
      </c>
      <c r="C2220" s="66">
        <f t="shared" si="4540"/>
        <v>61</v>
      </c>
      <c r="E2220" s="66">
        <f t="shared" ref="E2220" si="4552">plan_id</f>
        <v>1952</v>
      </c>
      <c r="F2220" s="66">
        <f t="shared" ca="1" si="4542"/>
        <v>2019</v>
      </c>
      <c r="G2220" s="66">
        <f t="shared" ref="G2220" ca="1" si="4553">VLOOKUP(INDIRECT(CHAR(39)&amp;$A2220&amp;CHAR(39)&amp;"!r2c"&amp;$C2220,0),variables,2,0)</f>
        <v>10993</v>
      </c>
      <c r="H2220" s="71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18242017000</v>
      </c>
    </row>
    <row r="2221" spans="1:8" x14ac:dyDescent="0.2">
      <c r="A2221" s="66" t="s">
        <v>1045</v>
      </c>
      <c r="B2221" s="66">
        <f t="shared" si="4433"/>
        <v>22</v>
      </c>
      <c r="C2221" s="66">
        <f t="shared" si="4540"/>
        <v>62</v>
      </c>
      <c r="E2221" s="66">
        <f t="shared" ref="E2221" si="4554">plan_id</f>
        <v>1952</v>
      </c>
      <c r="F2221" s="66">
        <f t="shared" ca="1" si="4542"/>
        <v>2019</v>
      </c>
      <c r="G2221" s="66">
        <f t="shared" ref="G2221" ca="1" si="4555">VLOOKUP(INDIRECT(CHAR(39)&amp;$A2221&amp;CHAR(39)&amp;"!r2c"&amp;$C2221,0),variables,2,0)</f>
        <v>10801</v>
      </c>
      <c r="H2221" s="71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272500000</v>
      </c>
    </row>
    <row r="2222" spans="1:8" x14ac:dyDescent="0.2">
      <c r="A2222" s="66" t="s">
        <v>1045</v>
      </c>
      <c r="B2222" s="66">
        <f t="shared" si="4433"/>
        <v>22</v>
      </c>
      <c r="C2222" s="66">
        <f t="shared" si="4540"/>
        <v>63</v>
      </c>
      <c r="E2222" s="66">
        <f t="shared" ref="E2222" si="4556">plan_id</f>
        <v>1952</v>
      </c>
      <c r="F2222" s="66">
        <f t="shared" ca="1" si="4542"/>
        <v>2019</v>
      </c>
      <c r="G2222" s="66">
        <f t="shared" ref="G2222" ca="1" si="4557">VLOOKUP(INDIRECT(CHAR(39)&amp;$A2222&amp;CHAR(39)&amp;"!r2c"&amp;$C2222,0),variables,2,0)</f>
        <v>10802</v>
      </c>
      <c r="H2222" s="71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19799999.999999996</v>
      </c>
    </row>
    <row r="2223" spans="1:8" x14ac:dyDescent="0.2">
      <c r="A2223" s="66" t="s">
        <v>1045</v>
      </c>
      <c r="B2223" s="66">
        <f t="shared" si="4433"/>
        <v>22</v>
      </c>
      <c r="C2223" s="66">
        <f t="shared" si="4540"/>
        <v>64</v>
      </c>
      <c r="E2223" s="66">
        <f t="shared" ref="E2223" si="4558">plan_id</f>
        <v>1952</v>
      </c>
      <c r="F2223" s="66">
        <f t="shared" ca="1" si="4542"/>
        <v>2019</v>
      </c>
      <c r="G2223" s="66">
        <f t="shared" ref="G2223" ca="1" si="4559">VLOOKUP(INDIRECT(CHAR(39)&amp;$A2223&amp;CHAR(39)&amp;"!r2c"&amp;$C2223,0),variables,2,0)</f>
        <v>10803</v>
      </c>
      <c r="H2223" s="7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66" t="s">
        <v>1045</v>
      </c>
      <c r="B2224" s="66">
        <f t="shared" si="4433"/>
        <v>22</v>
      </c>
      <c r="C2224" s="66">
        <f t="shared" si="4540"/>
        <v>65</v>
      </c>
      <c r="E2224" s="66">
        <f t="shared" ref="E2224" si="4560">plan_id</f>
        <v>1952</v>
      </c>
      <c r="F2224" s="66">
        <f t="shared" ca="1" si="4542"/>
        <v>2019</v>
      </c>
      <c r="G2224" s="66">
        <f t="shared" ref="G2224" ca="1" si="4561">VLOOKUP(INDIRECT(CHAR(39)&amp;$A2224&amp;CHAR(39)&amp;"!r2c"&amp;$C2224,0),variables,2,0)</f>
        <v>10804</v>
      </c>
      <c r="H2224" s="7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66" t="s">
        <v>1045</v>
      </c>
      <c r="B2225" s="66">
        <f t="shared" si="4433"/>
        <v>22</v>
      </c>
      <c r="C2225" s="66">
        <f t="shared" si="4540"/>
        <v>66</v>
      </c>
      <c r="E2225" s="66">
        <f t="shared" ref="E2225" si="4562">plan_id</f>
        <v>1952</v>
      </c>
      <c r="F2225" s="66">
        <f t="shared" ca="1" si="4542"/>
        <v>2019</v>
      </c>
      <c r="G2225" s="66">
        <f t="shared" ref="G2225" ca="1" si="4563">VLOOKUP(INDIRECT(CHAR(39)&amp;$A2225&amp;CHAR(39)&amp;"!r2c"&amp;$C2225,0),variables,2,0)</f>
        <v>10805</v>
      </c>
      <c r="H2225" s="71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66" t="s">
        <v>1045</v>
      </c>
      <c r="B2226" s="66">
        <f t="shared" ref="B2226" si="4564">B2161+1</f>
        <v>22</v>
      </c>
      <c r="C2226" s="66">
        <f t="shared" si="4540"/>
        <v>67</v>
      </c>
      <c r="E2226" s="66">
        <f t="shared" ref="E2226" si="4565">plan_id</f>
        <v>1952</v>
      </c>
      <c r="F2226" s="66">
        <f t="shared" ca="1" si="4542"/>
        <v>2019</v>
      </c>
      <c r="G2226" s="66">
        <f t="shared" ref="G2226" ca="1" si="4566">VLOOKUP(INDIRECT(CHAR(39)&amp;$A2226&amp;CHAR(39)&amp;"!r2c"&amp;$C2226,0),variables,2,0)</f>
        <v>10806</v>
      </c>
      <c r="H2226" s="71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-34900000.000000007</v>
      </c>
    </row>
    <row r="2227" spans="1:8" x14ac:dyDescent="0.2">
      <c r="A2227" s="66" t="s">
        <v>1045</v>
      </c>
      <c r="B2227" s="66">
        <f>B2226</f>
        <v>22</v>
      </c>
      <c r="C2227" s="66">
        <f t="shared" si="4540"/>
        <v>68</v>
      </c>
      <c r="E2227" s="66">
        <f t="shared" ref="E2227" si="4567">plan_id</f>
        <v>1952</v>
      </c>
      <c r="F2227" s="66">
        <f t="shared" ca="1" si="4542"/>
        <v>2019</v>
      </c>
      <c r="G2227" s="66">
        <f t="shared" ref="G2227" ca="1" si="4568">VLOOKUP(INDIRECT(CHAR(39)&amp;$A2227&amp;CHAR(39)&amp;"!r2c"&amp;$C2227,0),variables,2,0)</f>
        <v>10807</v>
      </c>
      <c r="H2227" s="71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66" t="s">
        <v>1045</v>
      </c>
      <c r="B2228" s="66">
        <f t="shared" ref="B2228:B2252" si="4569">B2227</f>
        <v>22</v>
      </c>
      <c r="C2228" s="66">
        <f t="shared" si="4540"/>
        <v>69</v>
      </c>
      <c r="E2228" s="66">
        <f t="shared" ref="E2228" si="4570">plan_id</f>
        <v>1952</v>
      </c>
      <c r="F2228" s="66">
        <f t="shared" ca="1" si="4542"/>
        <v>2019</v>
      </c>
      <c r="G2228" s="66">
        <f t="shared" ref="G2228" ca="1" si="4571">VLOOKUP(INDIRECT(CHAR(39)&amp;$A2228&amp;CHAR(39)&amp;"!r2c"&amp;$C2228,0),variables,2,0)</f>
        <v>10808</v>
      </c>
      <c r="H2228" s="71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66" t="s">
        <v>1045</v>
      </c>
      <c r="B2229" s="66">
        <f t="shared" si="4569"/>
        <v>22</v>
      </c>
      <c r="C2229" s="66">
        <f t="shared" si="4540"/>
        <v>70</v>
      </c>
      <c r="E2229" s="66">
        <f t="shared" ref="E2229" si="4572">plan_id</f>
        <v>1952</v>
      </c>
      <c r="F2229" s="66">
        <f t="shared" ca="1" si="4542"/>
        <v>2019</v>
      </c>
      <c r="G2229" s="66">
        <f t="shared" ref="G2229" ca="1" si="4573">VLOOKUP(INDIRECT(CHAR(39)&amp;$A2229&amp;CHAR(39)&amp;"!r2c"&amp;$C2229,0),variables,2,0)</f>
        <v>10809</v>
      </c>
      <c r="H2229" s="71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66" t="s">
        <v>1045</v>
      </c>
      <c r="B2230" s="66">
        <f t="shared" si="4569"/>
        <v>22</v>
      </c>
      <c r="C2230" s="66">
        <f t="shared" si="4540"/>
        <v>71</v>
      </c>
      <c r="E2230" s="66">
        <f t="shared" ref="E2230" si="4574">plan_id</f>
        <v>1952</v>
      </c>
      <c r="F2230" s="66">
        <f t="shared" ca="1" si="4542"/>
        <v>2019</v>
      </c>
      <c r="G2230" s="66">
        <f t="shared" ref="G2230" ca="1" si="4575">VLOOKUP(INDIRECT(CHAR(39)&amp;$A2230&amp;CHAR(39)&amp;"!r2c"&amp;$C2230,0),variables,2,0)</f>
        <v>10810</v>
      </c>
      <c r="H2230" s="71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-206500000</v>
      </c>
    </row>
    <row r="2231" spans="1:8" x14ac:dyDescent="0.2">
      <c r="A2231" s="66" t="s">
        <v>1045</v>
      </c>
      <c r="B2231" s="66">
        <f t="shared" si="4569"/>
        <v>22</v>
      </c>
      <c r="C2231" s="66">
        <f t="shared" si="4540"/>
        <v>72</v>
      </c>
      <c r="E2231" s="66">
        <f t="shared" ref="E2231" si="4576">plan_id</f>
        <v>1952</v>
      </c>
      <c r="F2231" s="66">
        <f t="shared" ca="1" si="4542"/>
        <v>2019</v>
      </c>
      <c r="G2231" s="66">
        <f t="shared" ref="G2231" ca="1" si="4577">VLOOKUP(INDIRECT(CHAR(39)&amp;$A2231&amp;CHAR(39)&amp;"!r2c"&amp;$C2231,0),variables,2,0)</f>
        <v>10811</v>
      </c>
      <c r="H2231" s="71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66" t="s">
        <v>1045</v>
      </c>
      <c r="B2232" s="66">
        <f t="shared" si="4569"/>
        <v>22</v>
      </c>
      <c r="C2232" s="66">
        <f t="shared" si="4540"/>
        <v>73</v>
      </c>
      <c r="E2232" s="66">
        <f t="shared" ref="E2232" si="4578">plan_id</f>
        <v>1952</v>
      </c>
      <c r="F2232" s="66">
        <f t="shared" ca="1" si="4542"/>
        <v>2019</v>
      </c>
      <c r="G2232" s="66">
        <f t="shared" ref="G2232" ca="1" si="4579">VLOOKUP(INDIRECT(CHAR(39)&amp;$A2232&amp;CHAR(39)&amp;"!r2c"&amp;$C2232,0),variables,2,0)</f>
        <v>10812</v>
      </c>
      <c r="H2232" s="71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66" t="s">
        <v>1045</v>
      </c>
      <c r="B2233" s="66">
        <f t="shared" si="4569"/>
        <v>22</v>
      </c>
      <c r="C2233" s="66">
        <f t="shared" si="4540"/>
        <v>74</v>
      </c>
      <c r="E2233" s="66">
        <f t="shared" ref="E2233" si="4580">plan_id</f>
        <v>1952</v>
      </c>
      <c r="F2233" s="66">
        <f t="shared" ca="1" si="4542"/>
        <v>2019</v>
      </c>
      <c r="G2233" s="66">
        <f t="shared" ref="G2233" ca="1" si="4581">VLOOKUP(INDIRECT(CHAR(39)&amp;$A2233&amp;CHAR(39)&amp;"!r2c"&amp;$C2233,0),variables,2,0)</f>
        <v>10813</v>
      </c>
      <c r="H2233" s="71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66" t="s">
        <v>1045</v>
      </c>
      <c r="B2234" s="66">
        <f t="shared" si="4569"/>
        <v>22</v>
      </c>
      <c r="C2234" s="66">
        <f t="shared" si="4540"/>
        <v>75</v>
      </c>
      <c r="E2234" s="66">
        <f t="shared" ref="E2234" si="4582">plan_id</f>
        <v>1952</v>
      </c>
      <c r="F2234" s="66">
        <f t="shared" ca="1" si="4542"/>
        <v>2019</v>
      </c>
      <c r="G2234" s="66">
        <f t="shared" ref="G2234" ca="1" si="4583">VLOOKUP(INDIRECT(CHAR(39)&amp;$A2234&amp;CHAR(39)&amp;"!r2c"&amp;$C2234,0),variables,2,0)</f>
        <v>10814</v>
      </c>
      <c r="H2234" s="71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400000</v>
      </c>
    </row>
    <row r="2235" spans="1:8" x14ac:dyDescent="0.2">
      <c r="A2235" s="66" t="s">
        <v>1045</v>
      </c>
      <c r="B2235" s="66">
        <f t="shared" si="4569"/>
        <v>22</v>
      </c>
      <c r="C2235" s="66">
        <f t="shared" si="4540"/>
        <v>76</v>
      </c>
      <c r="E2235" s="66">
        <f t="shared" ref="E2235" si="4584">plan_id</f>
        <v>1952</v>
      </c>
      <c r="F2235" s="66">
        <f t="shared" ca="1" si="4542"/>
        <v>2019</v>
      </c>
      <c r="G2235" s="66">
        <f t="shared" ref="G2235" ca="1" si="4585">VLOOKUP(INDIRECT(CHAR(39)&amp;$A2235&amp;CHAR(39)&amp;"!r2c"&amp;$C2235,0),variables,2,0)</f>
        <v>10815</v>
      </c>
      <c r="H2235" s="71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-36400000</v>
      </c>
    </row>
    <row r="2236" spans="1:8" x14ac:dyDescent="0.2">
      <c r="A2236" s="66" t="s">
        <v>1045</v>
      </c>
      <c r="B2236" s="66">
        <f t="shared" si="4569"/>
        <v>22</v>
      </c>
      <c r="C2236" s="66">
        <f t="shared" si="4540"/>
        <v>77</v>
      </c>
      <c r="E2236" s="66">
        <f t="shared" ref="E2236" si="4586">plan_id</f>
        <v>1952</v>
      </c>
      <c r="F2236" s="66">
        <f t="shared" ca="1" si="4542"/>
        <v>2019</v>
      </c>
      <c r="G2236" s="66">
        <f t="shared" ref="G2236" ca="1" si="4587">VLOOKUP(INDIRECT(CHAR(39)&amp;$A2236&amp;CHAR(39)&amp;"!r2c"&amp;$C2236,0),variables,2,0)</f>
        <v>10816</v>
      </c>
      <c r="H2236" s="7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384200000</v>
      </c>
    </row>
    <row r="2237" spans="1:8" x14ac:dyDescent="0.2">
      <c r="A2237" s="66" t="s">
        <v>1045</v>
      </c>
      <c r="B2237" s="66">
        <f t="shared" si="4569"/>
        <v>22</v>
      </c>
      <c r="C2237" s="66">
        <f t="shared" si="4540"/>
        <v>78</v>
      </c>
      <c r="E2237" s="66">
        <f t="shared" ref="E2237" si="4588">plan_id</f>
        <v>1952</v>
      </c>
      <c r="F2237" s="66">
        <f t="shared" ca="1" si="4542"/>
        <v>2019</v>
      </c>
      <c r="G2237" s="66">
        <f t="shared" ref="G2237" ca="1" si="4589">VLOOKUP(INDIRECT(CHAR(39)&amp;$A2237&amp;CHAR(39)&amp;"!r2c"&amp;$C2237,0),variables,2,0)</f>
        <v>10817</v>
      </c>
      <c r="H2237" s="71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66" t="s">
        <v>1045</v>
      </c>
      <c r="B2238" s="66">
        <f t="shared" si="4569"/>
        <v>22</v>
      </c>
      <c r="C2238" s="66">
        <f t="shared" si="4540"/>
        <v>79</v>
      </c>
      <c r="E2238" s="66">
        <f t="shared" ref="E2238" si="4590">plan_id</f>
        <v>1952</v>
      </c>
      <c r="F2238" s="66">
        <f t="shared" ca="1" si="4542"/>
        <v>2019</v>
      </c>
      <c r="G2238" s="66">
        <f t="shared" ref="G2238" ca="1" si="4591">VLOOKUP(INDIRECT(CHAR(39)&amp;$A2238&amp;CHAR(39)&amp;"!r2c"&amp;$C2238,0),variables,2,0)</f>
        <v>10818</v>
      </c>
      <c r="H2238" s="71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181900000</v>
      </c>
    </row>
    <row r="2239" spans="1:8" x14ac:dyDescent="0.2">
      <c r="A2239" s="66" t="s">
        <v>1045</v>
      </c>
      <c r="B2239" s="66">
        <f t="shared" si="4569"/>
        <v>22</v>
      </c>
      <c r="C2239" s="66">
        <f t="shared" si="4540"/>
        <v>80</v>
      </c>
      <c r="E2239" s="66">
        <f t="shared" ref="E2239" si="4592">plan_id</f>
        <v>1952</v>
      </c>
      <c r="F2239" s="66">
        <f t="shared" ca="1" si="4542"/>
        <v>2019</v>
      </c>
      <c r="G2239" s="66">
        <f t="shared" ref="G2239" ca="1" si="4593">VLOOKUP(INDIRECT(CHAR(39)&amp;$A2239&amp;CHAR(39)&amp;"!r2c"&amp;$C2239,0),variables,2,0)</f>
        <v>10819</v>
      </c>
      <c r="H2239" s="71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66" t="s">
        <v>1045</v>
      </c>
      <c r="B2240" s="66">
        <f t="shared" si="4569"/>
        <v>22</v>
      </c>
      <c r="C2240" s="66">
        <f t="shared" si="4540"/>
        <v>81</v>
      </c>
      <c r="E2240" s="66">
        <f t="shared" ref="E2240" si="4594">plan_id</f>
        <v>1952</v>
      </c>
      <c r="F2240" s="66">
        <f t="shared" ca="1" si="4542"/>
        <v>2019</v>
      </c>
      <c r="G2240" s="66">
        <f t="shared" ref="G2240" ca="1" si="4595">VLOOKUP(INDIRECT(CHAR(39)&amp;$A2240&amp;CHAR(39)&amp;"!r2c"&amp;$C2240,0),variables,2,0)</f>
        <v>10820</v>
      </c>
      <c r="H2240" s="71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-358100000</v>
      </c>
    </row>
    <row r="2241" spans="1:8" x14ac:dyDescent="0.2">
      <c r="A2241" s="66" t="s">
        <v>1045</v>
      </c>
      <c r="B2241" s="66">
        <f t="shared" si="4569"/>
        <v>22</v>
      </c>
      <c r="C2241" s="66">
        <f t="shared" si="4540"/>
        <v>82</v>
      </c>
      <c r="E2241" s="66">
        <f t="shared" ref="E2241" si="4596">plan_id</f>
        <v>1952</v>
      </c>
      <c r="F2241" s="66">
        <f t="shared" ca="1" si="4542"/>
        <v>2019</v>
      </c>
      <c r="G2241" s="66">
        <f t="shared" ref="G2241" ca="1" si="4597">VLOOKUP(INDIRECT(CHAR(39)&amp;$A2241&amp;CHAR(39)&amp;"!r2c"&amp;$C2241,0),variables,2,0)</f>
        <v>10821</v>
      </c>
      <c r="H2241" s="71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66" t="s">
        <v>1045</v>
      </c>
      <c r="B2242" s="66">
        <f t="shared" si="4569"/>
        <v>22</v>
      </c>
      <c r="C2242" s="66">
        <f t="shared" si="4540"/>
        <v>83</v>
      </c>
      <c r="E2242" s="66">
        <f t="shared" ref="E2242" si="4598">plan_id</f>
        <v>1952</v>
      </c>
      <c r="F2242" s="66">
        <f t="shared" ca="1" si="4542"/>
        <v>2019</v>
      </c>
      <c r="G2242" s="66">
        <f t="shared" ref="G2242" ca="1" si="4599">VLOOKUP(INDIRECT(CHAR(39)&amp;$A2242&amp;CHAR(39)&amp;"!r2c"&amp;$C2242,0),variables,2,0)</f>
        <v>10822</v>
      </c>
      <c r="H2242" s="71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66" t="s">
        <v>1045</v>
      </c>
      <c r="B2243" s="66">
        <f t="shared" si="4569"/>
        <v>22</v>
      </c>
      <c r="C2243" s="66">
        <f t="shared" si="4540"/>
        <v>84</v>
      </c>
      <c r="E2243" s="66">
        <f t="shared" ref="E2243" si="4600">plan_id</f>
        <v>1952</v>
      </c>
      <c r="F2243" s="66">
        <f t="shared" ca="1" si="4542"/>
        <v>2019</v>
      </c>
      <c r="G2243" s="66">
        <f t="shared" ref="G2243" ca="1" si="4601">VLOOKUP(INDIRECT(CHAR(39)&amp;$A2243&amp;CHAR(39)&amp;"!r2c"&amp;$C2243,0),variables,2,0)</f>
        <v>10829</v>
      </c>
      <c r="H2243" s="71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1705151000</v>
      </c>
    </row>
    <row r="2244" spans="1:8" x14ac:dyDescent="0.2">
      <c r="A2244" s="66" t="s">
        <v>1045</v>
      </c>
      <c r="B2244" s="66">
        <f t="shared" si="4569"/>
        <v>22</v>
      </c>
      <c r="C2244" s="66">
        <f t="shared" si="4540"/>
        <v>85</v>
      </c>
      <c r="E2244" s="66">
        <f t="shared" ref="E2244" si="4602">plan_id</f>
        <v>1952</v>
      </c>
      <c r="F2244" s="66">
        <f t="shared" ca="1" si="4542"/>
        <v>2019</v>
      </c>
      <c r="G2244" s="66">
        <f t="shared" ref="G2244" ca="1" si="4603">VLOOKUP(INDIRECT(CHAR(39)&amp;$A2244&amp;CHAR(39)&amp;"!r2c"&amp;$C2244,0),variables,2,0)</f>
        <v>10823</v>
      </c>
      <c r="H2244" s="7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2919800000</v>
      </c>
    </row>
    <row r="2245" spans="1:8" x14ac:dyDescent="0.2">
      <c r="A2245" s="66" t="s">
        <v>1045</v>
      </c>
      <c r="B2245" s="66">
        <f t="shared" si="4569"/>
        <v>22</v>
      </c>
      <c r="C2245" s="66">
        <f t="shared" si="4540"/>
        <v>86</v>
      </c>
      <c r="E2245" s="66">
        <f t="shared" ref="E2245" si="4604">plan_id</f>
        <v>1952</v>
      </c>
      <c r="F2245" s="66">
        <f t="shared" ca="1" si="4542"/>
        <v>2019</v>
      </c>
      <c r="G2245" s="66">
        <f t="shared" ref="G2245" ca="1" si="4605">VLOOKUP(INDIRECT(CHAR(39)&amp;$A2245&amp;CHAR(39)&amp;"!r2c"&amp;$C2245,0),variables,2,0)</f>
        <v>10798</v>
      </c>
      <c r="H2245" s="71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-121300000</v>
      </c>
    </row>
    <row r="2246" spans="1:8" x14ac:dyDescent="0.2">
      <c r="A2246" s="66" t="s">
        <v>1045</v>
      </c>
      <c r="B2246" s="66">
        <f t="shared" si="4569"/>
        <v>22</v>
      </c>
      <c r="C2246" s="66">
        <f t="shared" si="4540"/>
        <v>87</v>
      </c>
      <c r="E2246" s="66">
        <f t="shared" ref="E2246" si="4606">plan_id</f>
        <v>1952</v>
      </c>
      <c r="F2246" s="66">
        <f t="shared" ca="1" si="4542"/>
        <v>2019</v>
      </c>
      <c r="G2246" s="66">
        <f t="shared" ref="G2246" ca="1" si="4607">VLOOKUP(INDIRECT(CHAR(39)&amp;$A2246&amp;CHAR(39)&amp;"!r2c"&amp;$C2246,0),variables,2,0)</f>
        <v>10799</v>
      </c>
      <c r="H2246" s="71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-29500000</v>
      </c>
    </row>
    <row r="2247" spans="1:8" x14ac:dyDescent="0.2">
      <c r="A2247" s="66" t="s">
        <v>1045</v>
      </c>
      <c r="B2247" s="66">
        <f t="shared" si="4569"/>
        <v>22</v>
      </c>
      <c r="C2247" s="66">
        <f t="shared" si="4540"/>
        <v>88</v>
      </c>
      <c r="E2247" s="66">
        <f t="shared" ref="E2247" si="4608">plan_id</f>
        <v>1952</v>
      </c>
      <c r="F2247" s="66">
        <f t="shared" ca="1" si="4542"/>
        <v>2019</v>
      </c>
      <c r="G2247" s="66">
        <f t="shared" ref="G2247" ca="1" si="4609">VLOOKUP(INDIRECT(CHAR(39)&amp;$A2247&amp;CHAR(39)&amp;"!r2c"&amp;$C2247,0),variables,2,0)</f>
        <v>10800</v>
      </c>
      <c r="H2247" s="7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66" t="s">
        <v>1045</v>
      </c>
      <c r="B2248" s="66">
        <f t="shared" si="4569"/>
        <v>22</v>
      </c>
      <c r="C2248" s="66">
        <f t="shared" si="4540"/>
        <v>89</v>
      </c>
      <c r="E2248" s="66">
        <f t="shared" ref="E2248" si="4610">plan_id</f>
        <v>1952</v>
      </c>
      <c r="F2248" s="66">
        <f t="shared" ca="1" si="4542"/>
        <v>2019</v>
      </c>
      <c r="G2248" s="66">
        <f t="shared" ref="G2248" ca="1" si="4611">VLOOKUP(INDIRECT(CHAR(39)&amp;$A2248&amp;CHAR(39)&amp;"!r2c"&amp;$C2248,0),variables,2,0)</f>
        <v>10824</v>
      </c>
      <c r="H2248" s="71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66" t="s">
        <v>1045</v>
      </c>
      <c r="B2249" s="66">
        <f t="shared" si="4569"/>
        <v>22</v>
      </c>
      <c r="C2249" s="66">
        <f t="shared" si="4540"/>
        <v>90</v>
      </c>
      <c r="E2249" s="66">
        <f t="shared" ref="E2249" si="4612">plan_id</f>
        <v>1952</v>
      </c>
      <c r="F2249" s="66">
        <f t="shared" ca="1" si="4542"/>
        <v>2019</v>
      </c>
      <c r="G2249" s="66">
        <f t="shared" ref="G2249" ca="1" si="4613">VLOOKUP(INDIRECT(CHAR(39)&amp;$A2249&amp;CHAR(39)&amp;"!r2c"&amp;$C2249,0),variables,2,0)</f>
        <v>10825</v>
      </c>
      <c r="H2249" s="7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2862100000</v>
      </c>
    </row>
    <row r="2250" spans="1:8" x14ac:dyDescent="0.2">
      <c r="A2250" s="66" t="s">
        <v>1045</v>
      </c>
      <c r="B2250" s="66">
        <f t="shared" si="4569"/>
        <v>22</v>
      </c>
      <c r="C2250" s="66">
        <f t="shared" si="4540"/>
        <v>91</v>
      </c>
      <c r="E2250" s="66">
        <f t="shared" ref="E2250" si="4614">plan_id</f>
        <v>1952</v>
      </c>
      <c r="F2250" s="66">
        <f t="shared" ca="1" si="4542"/>
        <v>2019</v>
      </c>
      <c r="G2250" s="66">
        <f t="shared" ref="G2250" ca="1" si="4615">VLOOKUP(INDIRECT(CHAR(39)&amp;$A2250&amp;CHAR(39)&amp;"!r2c"&amp;$C2250,0),variables,2,0)</f>
        <v>10826</v>
      </c>
      <c r="H2250" s="7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1407805000</v>
      </c>
    </row>
    <row r="2251" spans="1:8" x14ac:dyDescent="0.2">
      <c r="A2251" s="66" t="s">
        <v>1045</v>
      </c>
      <c r="B2251" s="66">
        <f t="shared" si="4569"/>
        <v>22</v>
      </c>
      <c r="C2251" s="66">
        <f t="shared" si="4540"/>
        <v>92</v>
      </c>
      <c r="E2251" s="66">
        <f t="shared" ref="E2251" si="4616">plan_id</f>
        <v>1952</v>
      </c>
      <c r="F2251" s="66">
        <f t="shared" ca="1" si="4542"/>
        <v>2019</v>
      </c>
      <c r="G2251" s="66">
        <f t="shared" ref="G2251" ca="1" si="4617">VLOOKUP(INDIRECT(CHAR(39)&amp;$A2251&amp;CHAR(39)&amp;"!r2c"&amp;$C2251,0),variables,2,0)</f>
        <v>10828</v>
      </c>
      <c r="H2251" s="7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66" t="s">
        <v>1045</v>
      </c>
      <c r="B2252" s="66">
        <f t="shared" si="4569"/>
        <v>22</v>
      </c>
      <c r="C2252" s="66">
        <f t="shared" si="4540"/>
        <v>93</v>
      </c>
      <c r="E2252" s="66">
        <f t="shared" ref="E2252" si="4618">plan_id</f>
        <v>1952</v>
      </c>
      <c r="F2252" s="66">
        <f t="shared" ca="1" si="4542"/>
        <v>2019</v>
      </c>
      <c r="G2252" s="66">
        <f t="shared" ref="G2252" ca="1" si="4619">VLOOKUP(INDIRECT(CHAR(39)&amp;$A2252&amp;CHAR(39)&amp;"!r2c"&amp;$C2252,0),variables,2,0)</f>
        <v>10827</v>
      </c>
      <c r="H2252" s="71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-186400000</v>
      </c>
    </row>
    <row r="2253" spans="1:8" x14ac:dyDescent="0.2">
      <c r="A2253" s="66" t="s">
        <v>1045</v>
      </c>
      <c r="B2253" s="66">
        <f t="shared" ref="B2253:B2316" si="4620">B2188+1</f>
        <v>23</v>
      </c>
      <c r="C2253" s="66">
        <f t="shared" si="4540"/>
        <v>3</v>
      </c>
      <c r="E2253" s="66">
        <f t="shared" ref="E2253" si="4621">plan_id</f>
        <v>1952</v>
      </c>
      <c r="F2253" s="66">
        <f t="shared" ca="1" si="4542"/>
        <v>2020</v>
      </c>
      <c r="G2253" s="66">
        <f t="shared" ref="G2253" ca="1" si="4622">VLOOKUP(INDIRECT(CHAR(39)&amp;$A2253&amp;CHAR(39)&amp;"!r2c"&amp;$C2253,0),variables,2,0)</f>
        <v>10703</v>
      </c>
      <c r="H2253" s="71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NA</v>
      </c>
    </row>
    <row r="2254" spans="1:8" x14ac:dyDescent="0.2">
      <c r="A2254" s="66" t="s">
        <v>1045</v>
      </c>
      <c r="B2254" s="66">
        <f t="shared" si="4620"/>
        <v>23</v>
      </c>
      <c r="C2254" s="66">
        <f t="shared" si="4540"/>
        <v>4</v>
      </c>
      <c r="E2254" s="66">
        <f t="shared" ref="E2254" si="4623">plan_id</f>
        <v>1952</v>
      </c>
      <c r="F2254" s="66">
        <f t="shared" ca="1" si="4542"/>
        <v>2020</v>
      </c>
      <c r="G2254" s="66">
        <f t="shared" ref="G2254" ca="1" si="4624">VLOOKUP(INDIRECT(CHAR(39)&amp;$A2254&amp;CHAR(39)&amp;"!r2c"&amp;$C2254,0),variables,2,0)</f>
        <v>10845</v>
      </c>
      <c r="H2254" s="71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,LLC</v>
      </c>
    </row>
    <row r="2255" spans="1:8" x14ac:dyDescent="0.2">
      <c r="A2255" s="66" t="s">
        <v>1045</v>
      </c>
      <c r="B2255" s="66">
        <f t="shared" si="4620"/>
        <v>23</v>
      </c>
      <c r="C2255" s="66">
        <f t="shared" si="4540"/>
        <v>5</v>
      </c>
      <c r="E2255" s="66">
        <f t="shared" ref="E2255" si="4625">plan_id</f>
        <v>1952</v>
      </c>
      <c r="F2255" s="66">
        <f t="shared" ca="1" si="4542"/>
        <v>2020</v>
      </c>
      <c r="G2255" s="66">
        <f t="shared" ref="G2255" ca="1" si="4626">VLOOKUP(INDIRECT(CHAR(39)&amp;$A2255&amp;CHAR(39)&amp;"!r2c"&amp;$C2255,0),variables,2,0)</f>
        <v>10924</v>
      </c>
      <c r="H2255" s="71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(i)9.55%; (ii)11.03%</v>
      </c>
    </row>
    <row r="2256" spans="1:8" x14ac:dyDescent="0.2">
      <c r="A2256" s="66" t="s">
        <v>1045</v>
      </c>
      <c r="B2256" s="66">
        <f t="shared" si="4620"/>
        <v>23</v>
      </c>
      <c r="C2256" s="66">
        <f t="shared" si="4540"/>
        <v>6</v>
      </c>
      <c r="E2256" s="66">
        <f t="shared" ref="E2256" si="4627">plan_id</f>
        <v>1952</v>
      </c>
      <c r="F2256" s="66">
        <f t="shared" ca="1" si="4542"/>
        <v>2020</v>
      </c>
      <c r="G2256" s="66">
        <f t="shared" ref="G2256" ca="1" si="4628">VLOOKUP(INDIRECT(CHAR(39)&amp;$A2256&amp;CHAR(39)&amp;"!r2c"&amp;$C2256,0),variables,2,0)</f>
        <v>10925</v>
      </c>
      <c r="H2256" s="71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(i)4.98%; (ii)6.38%</v>
      </c>
    </row>
    <row r="2257" spans="1:8" x14ac:dyDescent="0.2">
      <c r="A2257" s="66" t="s">
        <v>1045</v>
      </c>
      <c r="B2257" s="66">
        <f t="shared" si="4620"/>
        <v>23</v>
      </c>
      <c r="C2257" s="66">
        <f t="shared" si="4540"/>
        <v>7</v>
      </c>
      <c r="E2257" s="66">
        <f t="shared" ref="E2257" si="4629">plan_id</f>
        <v>1952</v>
      </c>
      <c r="F2257" s="66">
        <f t="shared" ca="1" si="4542"/>
        <v>2020</v>
      </c>
      <c r="G2257" s="66">
        <f t="shared" ref="G2257" ca="1" si="4630">VLOOKUP(INDIRECT(CHAR(39)&amp;$A2257&amp;CHAR(39)&amp;"!r2c"&amp;$C2257,0),variables,2,0)</f>
        <v>10926</v>
      </c>
      <c r="H2257" s="71" t="str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(i)4.57%; (ii)4.65%</v>
      </c>
    </row>
    <row r="2258" spans="1:8" x14ac:dyDescent="0.2">
      <c r="A2258" s="66" t="s">
        <v>1045</v>
      </c>
      <c r="B2258" s="66">
        <f t="shared" si="4620"/>
        <v>23</v>
      </c>
      <c r="C2258" s="66">
        <f t="shared" si="4540"/>
        <v>8</v>
      </c>
      <c r="E2258" s="66">
        <f t="shared" ref="E2258" si="4631">plan_id</f>
        <v>1952</v>
      </c>
      <c r="F2258" s="66">
        <f t="shared" ca="1" si="4542"/>
        <v>2020</v>
      </c>
      <c r="G2258" s="66">
        <f t="shared" ref="G2258" ca="1" si="4632">VLOOKUP(INDIRECT(CHAR(39)&amp;$A2258&amp;CHAR(39)&amp;"!r2c"&amp;$C2258,0),variables,2,0)</f>
        <v>10704</v>
      </c>
      <c r="H2258" s="71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1207955553</v>
      </c>
    </row>
    <row r="2259" spans="1:8" x14ac:dyDescent="0.2">
      <c r="A2259" s="66" t="s">
        <v>1045</v>
      </c>
      <c r="B2259" s="66">
        <f t="shared" si="4620"/>
        <v>23</v>
      </c>
      <c r="C2259" s="66">
        <f t="shared" si="4540"/>
        <v>9</v>
      </c>
      <c r="E2259" s="66">
        <f t="shared" ref="E2259" si="4633">plan_id</f>
        <v>1952</v>
      </c>
      <c r="F2259" s="66">
        <f t="shared" ca="1" si="4542"/>
        <v>2020</v>
      </c>
      <c r="G2259" s="66">
        <f t="shared" ref="G2259" ca="1" si="4634">VLOOKUP(INDIRECT(CHAR(39)&amp;$A2259&amp;CHAR(39)&amp;"!r2c"&amp;$C2259,0),variables,2,0)</f>
        <v>10928</v>
      </c>
      <c r="H2259" s="71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(i)8.60%; (ii)9.52%</v>
      </c>
    </row>
    <row r="2260" spans="1:8" x14ac:dyDescent="0.2">
      <c r="A2260" s="66" t="s">
        <v>1045</v>
      </c>
      <c r="B2260" s="66">
        <f t="shared" si="4620"/>
        <v>23</v>
      </c>
      <c r="C2260" s="66">
        <f t="shared" si="4540"/>
        <v>10</v>
      </c>
      <c r="E2260" s="66">
        <f t="shared" ref="E2260" si="4635">plan_id</f>
        <v>1952</v>
      </c>
      <c r="F2260" s="66">
        <f t="shared" ca="1" si="4542"/>
        <v>2020</v>
      </c>
      <c r="G2260" s="66">
        <f t="shared" ref="G2260" ca="1" si="4636">VLOOKUP(INDIRECT(CHAR(39)&amp;$A2260&amp;CHAR(39)&amp;"!r2c"&amp;$C2260,0),variables,2,0)</f>
        <v>10929</v>
      </c>
      <c r="H2260" s="71" t="str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(i)8.60%; (ii)9.52%</v>
      </c>
    </row>
    <row r="2261" spans="1:8" x14ac:dyDescent="0.2">
      <c r="A2261" s="66" t="s">
        <v>1045</v>
      </c>
      <c r="B2261" s="66">
        <f t="shared" si="4620"/>
        <v>23</v>
      </c>
      <c r="C2261" s="66">
        <f t="shared" si="4540"/>
        <v>11</v>
      </c>
      <c r="E2261" s="66">
        <f t="shared" ref="E2261" si="4637">plan_id</f>
        <v>1952</v>
      </c>
      <c r="F2261" s="66">
        <f t="shared" ca="1" si="4542"/>
        <v>2020</v>
      </c>
      <c r="G2261" s="66">
        <f t="shared" ref="G2261" ca="1" si="4638">VLOOKUP(INDIRECT(CHAR(39)&amp;$A2261&amp;CHAR(39)&amp;"!r2c"&amp;$C2261,0),variables,2,0)</f>
        <v>10930</v>
      </c>
      <c r="H2261" s="71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66" t="s">
        <v>1045</v>
      </c>
      <c r="B2262" s="66">
        <f t="shared" si="4620"/>
        <v>23</v>
      </c>
      <c r="C2262" s="66">
        <f t="shared" si="4540"/>
        <v>12</v>
      </c>
      <c r="E2262" s="66">
        <f t="shared" ref="E2262" si="4639">plan_id</f>
        <v>1952</v>
      </c>
      <c r="F2262" s="66">
        <f t="shared" ca="1" si="4542"/>
        <v>2020</v>
      </c>
      <c r="G2262" s="66">
        <f t="shared" ref="G2262" ca="1" si="4640">VLOOKUP(INDIRECT(CHAR(39)&amp;$A2262&amp;CHAR(39)&amp;"!r2c"&amp;$C2262,0),variables,2,0)</f>
        <v>10705</v>
      </c>
      <c r="H2262" s="71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888213000</v>
      </c>
    </row>
    <row r="2263" spans="1:8" x14ac:dyDescent="0.2">
      <c r="A2263" s="66" t="s">
        <v>1045</v>
      </c>
      <c r="B2263" s="66">
        <f t="shared" si="4620"/>
        <v>23</v>
      </c>
      <c r="C2263" s="66">
        <f t="shared" si="4540"/>
        <v>13</v>
      </c>
      <c r="E2263" s="66">
        <f t="shared" ref="E2263" si="4641">plan_id</f>
        <v>1952</v>
      </c>
      <c r="F2263" s="66">
        <f t="shared" ca="1" si="4542"/>
        <v>2020</v>
      </c>
      <c r="G2263" s="66">
        <f t="shared" ref="G2263" ca="1" si="4642">VLOOKUP(INDIRECT(CHAR(39)&amp;$A2263&amp;CHAR(39)&amp;"!r2c"&amp;$C2263,0),variables,2,0)</f>
        <v>10842</v>
      </c>
      <c r="H2263" s="7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66" t="s">
        <v>1045</v>
      </c>
      <c r="B2264" s="66">
        <f t="shared" si="4620"/>
        <v>23</v>
      </c>
      <c r="C2264" s="66">
        <f t="shared" si="4540"/>
        <v>14</v>
      </c>
      <c r="E2264" s="66">
        <f t="shared" ref="E2264" si="4643">plan_id</f>
        <v>1952</v>
      </c>
      <c r="F2264" s="66">
        <f t="shared" ca="1" si="4542"/>
        <v>2020</v>
      </c>
      <c r="G2264" s="66">
        <f t="shared" ref="G2264" ca="1" si="4644">VLOOKUP(INDIRECT(CHAR(39)&amp;$A2264&amp;CHAR(39)&amp;"!r2c"&amp;$C2264,0),variables,2,0)</f>
        <v>10843</v>
      </c>
      <c r="H2264" s="71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66" t="s">
        <v>1045</v>
      </c>
      <c r="B2265" s="66">
        <f t="shared" si="4620"/>
        <v>23</v>
      </c>
      <c r="C2265" s="66">
        <f t="shared" si="4540"/>
        <v>15</v>
      </c>
      <c r="E2265" s="66">
        <f t="shared" ref="E2265" si="4645">plan_id</f>
        <v>1952</v>
      </c>
      <c r="F2265" s="66">
        <f t="shared" ca="1" si="4542"/>
        <v>2020</v>
      </c>
      <c r="G2265" s="66">
        <f t="shared" ref="G2265" ca="1" si="4646">VLOOKUP(INDIRECT(CHAR(39)&amp;$A2265&amp;CHAR(39)&amp;"!r2c"&amp;$C2265,0),variables,2,0)</f>
        <v>10931</v>
      </c>
      <c r="H2265" s="71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66" t="s">
        <v>1045</v>
      </c>
      <c r="B2266" s="66">
        <f t="shared" si="4620"/>
        <v>23</v>
      </c>
      <c r="C2266" s="66">
        <f t="shared" si="4540"/>
        <v>16</v>
      </c>
      <c r="E2266" s="66">
        <f t="shared" ref="E2266" si="4647">plan_id</f>
        <v>1952</v>
      </c>
      <c r="F2266" s="66">
        <f t="shared" ca="1" si="4542"/>
        <v>2020</v>
      </c>
      <c r="G2266" s="66">
        <f t="shared" ref="G2266" ca="1" si="4648">VLOOKUP(INDIRECT(CHAR(39)&amp;$A2266&amp;CHAR(39)&amp;"!r2c"&amp;$C2266,0),variables,2,0)</f>
        <v>10932</v>
      </c>
      <c r="H2266" s="71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66" t="s">
        <v>1045</v>
      </c>
      <c r="B2267" s="66">
        <f t="shared" si="4620"/>
        <v>23</v>
      </c>
      <c r="C2267" s="66">
        <f t="shared" si="4540"/>
        <v>17</v>
      </c>
      <c r="E2267" s="66">
        <f t="shared" ref="E2267" si="4649">plan_id</f>
        <v>1952</v>
      </c>
      <c r="F2267" s="66">
        <f t="shared" ca="1" si="4542"/>
        <v>2020</v>
      </c>
      <c r="G2267" s="66">
        <f t="shared" ref="G2267" ca="1" si="4650">VLOOKUP(INDIRECT(CHAR(39)&amp;$A2267&amp;CHAR(39)&amp;"!r2c"&amp;$C2267,0),variables,2,0)</f>
        <v>10933</v>
      </c>
      <c r="H2267" s="71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(i)13.58%; (ii)15.90%</v>
      </c>
    </row>
    <row r="2268" spans="1:8" x14ac:dyDescent="0.2">
      <c r="A2268" s="66" t="s">
        <v>1045</v>
      </c>
      <c r="B2268" s="66">
        <f t="shared" si="4620"/>
        <v>23</v>
      </c>
      <c r="C2268" s="66">
        <f t="shared" si="4540"/>
        <v>18</v>
      </c>
      <c r="E2268" s="66">
        <f t="shared" ref="E2268" si="4651">plan_id</f>
        <v>1952</v>
      </c>
      <c r="F2268" s="66">
        <f t="shared" ca="1" si="4542"/>
        <v>2020</v>
      </c>
      <c r="G2268" s="66">
        <f t="shared" ref="G2268" ca="1" si="4652">VLOOKUP(INDIRECT(CHAR(39)&amp;$A2268&amp;CHAR(39)&amp;"!r2c"&amp;$C2268,0),variables,2,0)</f>
        <v>10934</v>
      </c>
      <c r="H2268" s="71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(i)4.57%; (ii)4.65%</v>
      </c>
    </row>
    <row r="2269" spans="1:8" x14ac:dyDescent="0.2">
      <c r="A2269" s="66" t="s">
        <v>1045</v>
      </c>
      <c r="B2269" s="66">
        <f t="shared" si="4620"/>
        <v>23</v>
      </c>
      <c r="C2269" s="66">
        <f t="shared" si="4540"/>
        <v>19</v>
      </c>
      <c r="E2269" s="66">
        <f t="shared" ref="E2269" si="4653">plan_id</f>
        <v>1952</v>
      </c>
      <c r="F2269" s="66">
        <f t="shared" ca="1" si="4542"/>
        <v>2020</v>
      </c>
      <c r="G2269" s="66">
        <f t="shared" ref="G2269" ca="1" si="4654">VLOOKUP(INDIRECT(CHAR(39)&amp;$A2269&amp;CHAR(39)&amp;"!r2c"&amp;$C2269,0),variables,2,0)</f>
        <v>10935</v>
      </c>
      <c r="H2269" s="71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66" t="s">
        <v>1045</v>
      </c>
      <c r="B2270" s="66">
        <f t="shared" si="4620"/>
        <v>23</v>
      </c>
      <c r="C2270" s="66">
        <f t="shared" si="4540"/>
        <v>20</v>
      </c>
      <c r="E2270" s="66">
        <f t="shared" ref="E2270" si="4655">plan_id</f>
        <v>1952</v>
      </c>
      <c r="F2270" s="66">
        <f t="shared" ca="1" si="4542"/>
        <v>2020</v>
      </c>
      <c r="G2270" s="66">
        <f t="shared" ref="G2270" ca="1" si="4656">VLOOKUP(INDIRECT(CHAR(39)&amp;$A2270&amp;CHAR(39)&amp;"!r2c"&amp;$C2270,0),variables,2,0)</f>
        <v>10937</v>
      </c>
      <c r="H2270" s="71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66" t="s">
        <v>1045</v>
      </c>
      <c r="B2271" s="66">
        <f t="shared" si="4620"/>
        <v>23</v>
      </c>
      <c r="C2271" s="66">
        <f t="shared" si="4540"/>
        <v>21</v>
      </c>
      <c r="E2271" s="66">
        <f t="shared" ref="E2271" si="4657">plan_id</f>
        <v>1952</v>
      </c>
      <c r="F2271" s="66">
        <f t="shared" ca="1" si="4542"/>
        <v>2020</v>
      </c>
      <c r="G2271" s="66">
        <f t="shared" ref="G2271" ca="1" si="4658">VLOOKUP(INDIRECT(CHAR(39)&amp;$A2271&amp;CHAR(39)&amp;"!r2c"&amp;$C2271,0),variables,2,0)</f>
        <v>10938</v>
      </c>
      <c r="H2271" s="7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66" t="s">
        <v>1045</v>
      </c>
      <c r="B2272" s="66">
        <f t="shared" si="4620"/>
        <v>23</v>
      </c>
      <c r="C2272" s="66">
        <f t="shared" si="4540"/>
        <v>22</v>
      </c>
      <c r="E2272" s="66">
        <f t="shared" ref="E2272" si="4659">plan_id</f>
        <v>1952</v>
      </c>
      <c r="F2272" s="66">
        <f t="shared" ca="1" si="4542"/>
        <v>2020</v>
      </c>
      <c r="G2272" s="66">
        <f t="shared" ref="G2272" ca="1" si="4660">VLOOKUP(INDIRECT(CHAR(39)&amp;$A2272&amp;CHAR(39)&amp;"!r2c"&amp;$C2272,0),variables,2,0)</f>
        <v>11007</v>
      </c>
      <c r="H2272" s="71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 xml:space="preserve">Plan 1: 1.7% of AFC times years of service; Plan 2: 1.7% AFC times years of service up to 1/1/13 + 1.65% AFC times years of service from 1/1/13; Hybrid: 1% AFC times years of service </v>
      </c>
    </row>
    <row r="2273" spans="1:8" x14ac:dyDescent="0.2">
      <c r="A2273" s="66" t="s">
        <v>1045</v>
      </c>
      <c r="B2273" s="66">
        <f t="shared" si="4620"/>
        <v>23</v>
      </c>
      <c r="C2273" s="66">
        <f t="shared" si="4540"/>
        <v>23</v>
      </c>
      <c r="E2273" s="66">
        <f t="shared" ref="E2273" si="4661">plan_id</f>
        <v>1952</v>
      </c>
      <c r="F2273" s="66">
        <f t="shared" ca="1" si="4542"/>
        <v>2020</v>
      </c>
      <c r="G2273" s="66">
        <f t="shared" ref="G2273" ca="1" si="4662">VLOOKUP(INDIRECT(CHAR(39)&amp;$A2273&amp;CHAR(39)&amp;"!r2c"&amp;$C2273,0),variables,2,0)</f>
        <v>10941</v>
      </c>
      <c r="H2273" s="7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66" t="s">
        <v>1045</v>
      </c>
      <c r="B2274" s="66">
        <f t="shared" si="4620"/>
        <v>23</v>
      </c>
      <c r="C2274" s="66">
        <f t="shared" si="4540"/>
        <v>24</v>
      </c>
      <c r="E2274" s="66">
        <f t="shared" ref="E2274" si="4663">plan_id</f>
        <v>1952</v>
      </c>
      <c r="F2274" s="66">
        <f t="shared" ca="1" si="4542"/>
        <v>2020</v>
      </c>
      <c r="G2274" s="66">
        <f t="shared" ref="G2274" ca="1" si="4664">VLOOKUP(INDIRECT(CHAR(39)&amp;$A2274&amp;CHAR(39)&amp;"!r2c"&amp;$C2274,0),variables,2,0)</f>
        <v>10942</v>
      </c>
      <c r="H2274" s="71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66" t="s">
        <v>1045</v>
      </c>
      <c r="B2275" s="66">
        <f t="shared" si="4620"/>
        <v>23</v>
      </c>
      <c r="C2275" s="66">
        <f t="shared" si="4540"/>
        <v>25</v>
      </c>
      <c r="E2275" s="66">
        <f t="shared" ref="E2275" si="4665">plan_id</f>
        <v>1952</v>
      </c>
      <c r="F2275" s="66">
        <f t="shared" ca="1" si="4542"/>
        <v>2020</v>
      </c>
      <c r="G2275" s="66">
        <f t="shared" ref="G2275" ca="1" si="4666">VLOOKUP(INDIRECT(CHAR(39)&amp;$A2275&amp;CHAR(39)&amp;"!r2c"&amp;$C2275,0),variables,2,0)</f>
        <v>10701</v>
      </c>
      <c r="H2275" s="71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2">
      <c r="A2276" s="66" t="s">
        <v>1045</v>
      </c>
      <c r="B2276" s="66">
        <f t="shared" si="4620"/>
        <v>23</v>
      </c>
      <c r="C2276" s="66">
        <f t="shared" si="4540"/>
        <v>26</v>
      </c>
      <c r="E2276" s="66">
        <f t="shared" ref="E2276" si="4667">plan_id</f>
        <v>1952</v>
      </c>
      <c r="F2276" s="66">
        <f t="shared" ca="1" si="4542"/>
        <v>2020</v>
      </c>
      <c r="G2276" s="66">
        <f t="shared" ref="G2276" ca="1" si="4668">VLOOKUP(INDIRECT(CHAR(39)&amp;$A2276&amp;CHAR(39)&amp;"!r2c"&amp;$C2276,0),variables,2,0)</f>
        <v>10702</v>
      </c>
      <c r="H2276" s="7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66" t="s">
        <v>1045</v>
      </c>
      <c r="B2277" s="66">
        <f t="shared" si="4620"/>
        <v>23</v>
      </c>
      <c r="C2277" s="66">
        <f t="shared" si="4540"/>
        <v>27</v>
      </c>
      <c r="E2277" s="66">
        <f t="shared" ref="E2277" si="4669">plan_id</f>
        <v>1952</v>
      </c>
      <c r="F2277" s="66">
        <f t="shared" ca="1" si="4542"/>
        <v>2020</v>
      </c>
      <c r="G2277" s="66">
        <f t="shared" ref="G2277" ca="1" si="4670">VLOOKUP(INDIRECT(CHAR(39)&amp;$A2277&amp;CHAR(39)&amp;"!r2c"&amp;$C2277,0),variables,2,0)</f>
        <v>10943</v>
      </c>
      <c r="H2277" s="71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Plan 1: 2.50%; Plan 2: 2.25%</v>
      </c>
    </row>
    <row r="2278" spans="1:8" x14ac:dyDescent="0.2">
      <c r="A2278" s="66" t="s">
        <v>1045</v>
      </c>
      <c r="B2278" s="66">
        <f t="shared" si="4620"/>
        <v>23</v>
      </c>
      <c r="C2278" s="66">
        <f t="shared" si="4540"/>
        <v>28</v>
      </c>
      <c r="E2278" s="66">
        <f t="shared" ref="E2278" si="4671">plan_id</f>
        <v>1952</v>
      </c>
      <c r="F2278" s="66">
        <f t="shared" ca="1" si="4542"/>
        <v>2020</v>
      </c>
      <c r="G2278" s="66">
        <f t="shared" ref="G2278" ca="1" si="4672">VLOOKUP(INDIRECT(CHAR(39)&amp;$A2278&amp;CHAR(39)&amp;"!r2c"&amp;$C2278,0),variables,2,0)</f>
        <v>10944</v>
      </c>
      <c r="H2278" s="71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66" t="s">
        <v>1045</v>
      </c>
      <c r="B2279" s="66">
        <f t="shared" si="4620"/>
        <v>23</v>
      </c>
      <c r="C2279" s="66">
        <f t="shared" ref="C2279:C2342" si="4673">C2188</f>
        <v>29</v>
      </c>
      <c r="E2279" s="66">
        <f t="shared" ref="E2279" si="4674">plan_id</f>
        <v>1952</v>
      </c>
      <c r="F2279" s="66">
        <f t="shared" ref="F2279:F2524" ca="1" si="4675">INDIRECT(CHAR(39)&amp;$A2279&amp;CHAR(39)&amp;"!r"&amp;$B2279&amp;"c2",0)</f>
        <v>2020</v>
      </c>
      <c r="G2279" s="66">
        <f t="shared" ref="G2279" ca="1" si="4676">VLOOKUP(INDIRECT(CHAR(39)&amp;$A2279&amp;CHAR(39)&amp;"!r2c"&amp;$C2279,0),variables,2,0)</f>
        <v>10945</v>
      </c>
      <c r="H2279" s="71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66" t="s">
        <v>1045</v>
      </c>
      <c r="B2280" s="66">
        <f t="shared" si="4620"/>
        <v>23</v>
      </c>
      <c r="C2280" s="66">
        <f t="shared" si="4673"/>
        <v>30</v>
      </c>
      <c r="E2280" s="66">
        <f t="shared" ref="E2280" si="4677">plan_id</f>
        <v>1952</v>
      </c>
      <c r="F2280" s="66">
        <f t="shared" ca="1" si="4675"/>
        <v>2020</v>
      </c>
      <c r="G2280" s="66">
        <f t="shared" ref="G2280" ca="1" si="4678">VLOOKUP(INDIRECT(CHAR(39)&amp;$A2280&amp;CHAR(39)&amp;"!r2c"&amp;$C2280,0),variables,2,0)</f>
        <v>10947</v>
      </c>
      <c r="H2280" s="71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66" t="s">
        <v>1045</v>
      </c>
      <c r="B2281" s="66">
        <f t="shared" si="4620"/>
        <v>23</v>
      </c>
      <c r="C2281" s="66">
        <f t="shared" si="4673"/>
        <v>31</v>
      </c>
      <c r="E2281" s="66">
        <f t="shared" ref="E2281" si="4679">plan_id</f>
        <v>1952</v>
      </c>
      <c r="F2281" s="66">
        <f t="shared" ca="1" si="4675"/>
        <v>2020</v>
      </c>
      <c r="G2281" s="66">
        <f t="shared" ref="G2281" ca="1" si="4680">VLOOKUP(INDIRECT(CHAR(39)&amp;$A2281&amp;CHAR(39)&amp;"!r2c"&amp;$C2281,0),variables,2,0)</f>
        <v>10948</v>
      </c>
      <c r="H2281" s="71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2">
      <c r="A2282" s="66" t="s">
        <v>1045</v>
      </c>
      <c r="B2282" s="66">
        <f t="shared" si="4620"/>
        <v>23</v>
      </c>
      <c r="C2282" s="66">
        <f t="shared" si="4673"/>
        <v>32</v>
      </c>
      <c r="E2282" s="66">
        <f t="shared" ref="E2282" si="4681">plan_id</f>
        <v>1952</v>
      </c>
      <c r="F2282" s="66">
        <f t="shared" ca="1" si="4675"/>
        <v>2020</v>
      </c>
      <c r="G2282" s="66">
        <f t="shared" ref="G2282" ca="1" si="4682">VLOOKUP(INDIRECT(CHAR(39)&amp;$A2282&amp;CHAR(39)&amp;"!r2c"&amp;$C2282,0),variables,2,0)</f>
        <v>10949</v>
      </c>
      <c r="H2282" s="71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Yes</v>
      </c>
    </row>
    <row r="2283" spans="1:8" x14ac:dyDescent="0.2">
      <c r="A2283" s="66" t="s">
        <v>1045</v>
      </c>
      <c r="B2283" s="66">
        <f t="shared" si="4620"/>
        <v>23</v>
      </c>
      <c r="C2283" s="66">
        <f t="shared" si="4673"/>
        <v>33</v>
      </c>
      <c r="E2283" s="66">
        <f t="shared" ref="E2283" si="4683">plan_id</f>
        <v>1952</v>
      </c>
      <c r="F2283" s="66">
        <f t="shared" ca="1" si="4675"/>
        <v>2020</v>
      </c>
      <c r="G2283" s="66">
        <f t="shared" ref="G2283" ca="1" si="4684">VLOOKUP(INDIRECT(CHAR(39)&amp;$A2283&amp;CHAR(39)&amp;"!r2c"&amp;$C2283,0),variables,2,0)</f>
        <v>10951</v>
      </c>
      <c r="H2283" s="71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2">
      <c r="A2284" s="66" t="s">
        <v>1045</v>
      </c>
      <c r="B2284" s="66">
        <f t="shared" si="4620"/>
        <v>23</v>
      </c>
      <c r="C2284" s="66">
        <f t="shared" si="4673"/>
        <v>34</v>
      </c>
      <c r="E2284" s="66">
        <f t="shared" ref="E2284" si="4685">plan_id</f>
        <v>1952</v>
      </c>
      <c r="F2284" s="66">
        <f t="shared" ca="1" si="4675"/>
        <v>2020</v>
      </c>
      <c r="G2284" s="66">
        <f t="shared" ref="G2284" ca="1" si="4686">VLOOKUP(INDIRECT(CHAR(39)&amp;$A2284&amp;CHAR(39)&amp;"!r2c"&amp;$C2284,0),variables,2,0)</f>
        <v>10950</v>
      </c>
      <c r="H2284" s="71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2">
      <c r="A2285" s="66" t="s">
        <v>1045</v>
      </c>
      <c r="B2285" s="66">
        <f t="shared" si="4620"/>
        <v>23</v>
      </c>
      <c r="C2285" s="66">
        <f t="shared" si="4673"/>
        <v>35</v>
      </c>
      <c r="E2285" s="66">
        <f t="shared" ref="E2285" si="4687">plan_id</f>
        <v>1952</v>
      </c>
      <c r="F2285" s="66">
        <f t="shared" ca="1" si="4675"/>
        <v>2020</v>
      </c>
      <c r="G2285" s="66">
        <f t="shared" ref="G2285" ca="1" si="4688">VLOOKUP(INDIRECT(CHAR(39)&amp;$A2285&amp;CHAR(39)&amp;"!r2c"&amp;$C2285,0),variables,2,0)</f>
        <v>10954</v>
      </c>
      <c r="H2285" s="71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66" t="s">
        <v>1045</v>
      </c>
      <c r="B2286" s="66">
        <f t="shared" si="4620"/>
        <v>23</v>
      </c>
      <c r="C2286" s="66">
        <f t="shared" si="4673"/>
        <v>36</v>
      </c>
      <c r="E2286" s="66">
        <f t="shared" ref="E2286" si="4689">plan_id</f>
        <v>1952</v>
      </c>
      <c r="F2286" s="66">
        <f t="shared" ca="1" si="4675"/>
        <v>2020</v>
      </c>
      <c r="G2286" s="66">
        <f t="shared" ref="G2286" ca="1" si="4690">VLOOKUP(INDIRECT(CHAR(39)&amp;$A2286&amp;CHAR(39)&amp;"!r2c"&amp;$C2286,0),variables,2,0)</f>
        <v>10955</v>
      </c>
      <c r="H2286" s="71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</row>
    <row r="2287" spans="1:8" x14ac:dyDescent="0.2">
      <c r="A2287" s="66" t="s">
        <v>1045</v>
      </c>
      <c r="B2287" s="66">
        <f t="shared" si="4620"/>
        <v>23</v>
      </c>
      <c r="C2287" s="66">
        <f t="shared" si="4673"/>
        <v>37</v>
      </c>
      <c r="E2287" s="66">
        <f t="shared" ref="E2287" si="4691">plan_id</f>
        <v>1952</v>
      </c>
      <c r="F2287" s="66">
        <f t="shared" ca="1" si="4675"/>
        <v>2020</v>
      </c>
      <c r="G2287" s="66">
        <f t="shared" ref="G2287" ca="1" si="4692">VLOOKUP(INDIRECT(CHAR(39)&amp;$A2287&amp;CHAR(39)&amp;"!r2c"&amp;$C2287,0),variables,2,0)</f>
        <v>10956</v>
      </c>
      <c r="H2287" s="71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2">
      <c r="A2288" s="66" t="s">
        <v>1045</v>
      </c>
      <c r="B2288" s="66">
        <f t="shared" si="4620"/>
        <v>23</v>
      </c>
      <c r="C2288" s="66">
        <f t="shared" si="4673"/>
        <v>38</v>
      </c>
      <c r="E2288" s="66">
        <f t="shared" ref="E2288" si="4693">plan_id</f>
        <v>1952</v>
      </c>
      <c r="F2288" s="66">
        <f t="shared" ca="1" si="4675"/>
        <v>2020</v>
      </c>
      <c r="G2288" s="66">
        <f t="shared" ref="G2288" ca="1" si="4694">VLOOKUP(INDIRECT(CHAR(39)&amp;$A2288&amp;CHAR(39)&amp;"!r2c"&amp;$C2288,0),variables,2,0)</f>
        <v>10959</v>
      </c>
      <c r="H2288" s="71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SE-3.50% to 5.35% &amp; Teach 3.50% to 5.95%</v>
      </c>
    </row>
    <row r="2289" spans="1:8" x14ac:dyDescent="0.2">
      <c r="A2289" s="66" t="s">
        <v>1045</v>
      </c>
      <c r="B2289" s="66">
        <f t="shared" si="4620"/>
        <v>23</v>
      </c>
      <c r="C2289" s="66">
        <f t="shared" si="4673"/>
        <v>39</v>
      </c>
      <c r="E2289" s="66">
        <f t="shared" ref="E2289" si="4695">plan_id</f>
        <v>1952</v>
      </c>
      <c r="F2289" s="66">
        <f t="shared" ca="1" si="4675"/>
        <v>2020</v>
      </c>
      <c r="G2289" s="66">
        <f t="shared" ref="G2289" ca="1" si="4696">VLOOKUP(INDIRECT(CHAR(39)&amp;$A2289&amp;CHAR(39)&amp;"!r2c"&amp;$C2289,0),variables,2,0)</f>
        <v>10962</v>
      </c>
      <c r="H2289" s="71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69 &amp; 77</v>
      </c>
    </row>
    <row r="2290" spans="1:8" x14ac:dyDescent="0.2">
      <c r="A2290" s="66" t="s">
        <v>1045</v>
      </c>
      <c r="B2290" s="66">
        <f t="shared" si="4620"/>
        <v>23</v>
      </c>
      <c r="C2290" s="66">
        <f t="shared" si="4673"/>
        <v>40</v>
      </c>
      <c r="E2290" s="66">
        <f t="shared" ref="E2290" si="4697">plan_id</f>
        <v>1952</v>
      </c>
      <c r="F2290" s="66">
        <f t="shared" ca="1" si="4675"/>
        <v>2020</v>
      </c>
      <c r="G2290" s="66">
        <f t="shared" ref="G2290" ca="1" si="4698">VLOOKUP(INDIRECT(CHAR(39)&amp;$A2290&amp;CHAR(39)&amp;"!r2c"&amp;$C2290,0),variables,2,0)</f>
        <v>10964</v>
      </c>
      <c r="H2290" s="71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64-67 &amp; 72-75</v>
      </c>
    </row>
    <row r="2291" spans="1:8" x14ac:dyDescent="0.2">
      <c r="A2291" s="66" t="s">
        <v>1045</v>
      </c>
      <c r="B2291" s="66">
        <f t="shared" si="4620"/>
        <v>23</v>
      </c>
      <c r="C2291" s="66">
        <f t="shared" si="4673"/>
        <v>41</v>
      </c>
      <c r="E2291" s="66">
        <f t="shared" ref="E2291" si="4699">plan_id</f>
        <v>1952</v>
      </c>
      <c r="F2291" s="66">
        <f t="shared" ca="1" si="4675"/>
        <v>2020</v>
      </c>
      <c r="G2291" s="66">
        <f t="shared" ref="G2291" ca="1" si="4700">VLOOKUP(INDIRECT(CHAR(39)&amp;$A2291&amp;CHAR(39)&amp;"!r2c"&amp;$C2291,0),variables,2,0)</f>
        <v>10967</v>
      </c>
      <c r="H2291" s="71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Employee Rates, Annuitant Rates, White Collar Rates</v>
      </c>
    </row>
    <row r="2292" spans="1:8" x14ac:dyDescent="0.2">
      <c r="A2292" s="66" t="s">
        <v>1045</v>
      </c>
      <c r="B2292" s="66">
        <f t="shared" si="4620"/>
        <v>23</v>
      </c>
      <c r="C2292" s="66">
        <f t="shared" si="4673"/>
        <v>42</v>
      </c>
      <c r="E2292" s="66">
        <f t="shared" ref="E2292" si="4701">plan_id</f>
        <v>1952</v>
      </c>
      <c r="F2292" s="66">
        <f t="shared" ca="1" si="4675"/>
        <v>2020</v>
      </c>
      <c r="G2292" s="66">
        <f t="shared" ref="G2292" ca="1" si="4702">VLOOKUP(INDIRECT(CHAR(39)&amp;$A2292&amp;CHAR(39)&amp;"!r2c"&amp;$C2292,0),variables,2,0)</f>
        <v>10968</v>
      </c>
      <c r="H2292" s="71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2">
      <c r="A2293" s="66" t="s">
        <v>1045</v>
      </c>
      <c r="B2293" s="66">
        <f t="shared" si="4620"/>
        <v>23</v>
      </c>
      <c r="C2293" s="66">
        <f t="shared" si="4673"/>
        <v>43</v>
      </c>
      <c r="E2293" s="66">
        <f t="shared" ref="E2293" si="4703">plan_id</f>
        <v>1952</v>
      </c>
      <c r="F2293" s="66">
        <f t="shared" ca="1" si="4675"/>
        <v>2020</v>
      </c>
      <c r="G2293" s="66">
        <f t="shared" ref="G2293" ca="1" si="4704">VLOOKUP(INDIRECT(CHAR(39)&amp;$A2293&amp;CHAR(39)&amp;"!r2c"&amp;$C2293,0),variables,2,0)</f>
        <v>10969</v>
      </c>
      <c r="H2293" s="71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BB</v>
      </c>
    </row>
    <row r="2294" spans="1:8" x14ac:dyDescent="0.2">
      <c r="A2294" s="66" t="s">
        <v>1045</v>
      </c>
      <c r="B2294" s="66">
        <f t="shared" si="4620"/>
        <v>23</v>
      </c>
      <c r="C2294" s="66">
        <f t="shared" si="4673"/>
        <v>44</v>
      </c>
      <c r="E2294" s="66">
        <f t="shared" ref="E2294" si="4705">plan_id</f>
        <v>1952</v>
      </c>
      <c r="F2294" s="66">
        <f t="shared" ca="1" si="4675"/>
        <v>2020</v>
      </c>
      <c r="G2294" s="66">
        <f t="shared" ref="G2294" ca="1" si="4706">VLOOKUP(INDIRECT(CHAR(39)&amp;$A2294&amp;CHAR(39)&amp;"!r2c"&amp;$C2294,0),variables,2,0)</f>
        <v>10970</v>
      </c>
      <c r="H2294" s="71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State Pre- 1 Year, Post- Females 1 Year; Teachers: Females- 3 Years</v>
      </c>
    </row>
    <row r="2295" spans="1:8" x14ac:dyDescent="0.2">
      <c r="A2295" s="66" t="s">
        <v>1045</v>
      </c>
      <c r="B2295" s="66">
        <f t="shared" si="4620"/>
        <v>23</v>
      </c>
      <c r="C2295" s="66">
        <f t="shared" si="4673"/>
        <v>45</v>
      </c>
      <c r="E2295" s="66">
        <f t="shared" ref="E2295" si="4707">plan_id</f>
        <v>1952</v>
      </c>
      <c r="F2295" s="66">
        <f t="shared" ca="1" si="4675"/>
        <v>2020</v>
      </c>
      <c r="G2295" s="66">
        <f t="shared" ref="G2295" ca="1" si="4708">VLOOKUP(INDIRECT(CHAR(39)&amp;$A2295&amp;CHAR(39)&amp;"!r2c"&amp;$C2295,0),variables,2,0)</f>
        <v>10971</v>
      </c>
      <c r="H2295" s="71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State Post- Males: 1 Year</v>
      </c>
    </row>
    <row r="2296" spans="1:8" x14ac:dyDescent="0.2">
      <c r="A2296" s="66" t="s">
        <v>1045</v>
      </c>
      <c r="B2296" s="66">
        <f t="shared" si="4620"/>
        <v>23</v>
      </c>
      <c r="C2296" s="66">
        <f t="shared" si="4673"/>
        <v>46</v>
      </c>
      <c r="E2296" s="66">
        <f t="shared" ref="E2296" si="4709">plan_id</f>
        <v>1952</v>
      </c>
      <c r="F2296" s="66">
        <f t="shared" ca="1" si="4675"/>
        <v>2020</v>
      </c>
      <c r="G2296" s="66">
        <f t="shared" ref="G2296" ca="1" si="4710">VLOOKUP(INDIRECT(CHAR(39)&amp;$A2296&amp;CHAR(39)&amp;"!r2c"&amp;$C2296,0),variables,2,0)</f>
        <v>10972</v>
      </c>
      <c r="H2296" s="71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Payroll, Closed</v>
      </c>
    </row>
    <row r="2297" spans="1:8" x14ac:dyDescent="0.2">
      <c r="A2297" s="66" t="s">
        <v>1045</v>
      </c>
      <c r="B2297" s="66">
        <f t="shared" si="4620"/>
        <v>23</v>
      </c>
      <c r="C2297" s="66">
        <f t="shared" si="4673"/>
        <v>47</v>
      </c>
      <c r="E2297" s="66">
        <f t="shared" ref="E2297" si="4711">plan_id</f>
        <v>1952</v>
      </c>
      <c r="F2297" s="66">
        <f t="shared" ca="1" si="4675"/>
        <v>2020</v>
      </c>
      <c r="G2297" s="66">
        <f t="shared" ref="G2297" ca="1" si="4712">VLOOKUP(INDIRECT(CHAR(39)&amp;$A2297&amp;CHAR(39)&amp;"!r2c"&amp;$C2297,0),variables,2,0)</f>
        <v>10973</v>
      </c>
      <c r="H2297" s="71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23 Years</v>
      </c>
    </row>
    <row r="2298" spans="1:8" x14ac:dyDescent="0.2">
      <c r="A2298" s="66" t="s">
        <v>1045</v>
      </c>
      <c r="B2298" s="66">
        <f t="shared" si="4620"/>
        <v>23</v>
      </c>
      <c r="C2298" s="66">
        <f t="shared" si="4673"/>
        <v>48</v>
      </c>
      <c r="E2298" s="66">
        <f t="shared" ref="E2298" si="4713">plan_id</f>
        <v>1952</v>
      </c>
      <c r="F2298" s="66">
        <f t="shared" ca="1" si="4675"/>
        <v>2020</v>
      </c>
      <c r="G2298" s="66">
        <f t="shared" ref="G2298" ca="1" si="4714">VLOOKUP(INDIRECT(CHAR(39)&amp;$A2298&amp;CHAR(39)&amp;"!r2c"&amp;$C2298,0),variables,2,0)</f>
        <v>10975</v>
      </c>
      <c r="H2298" s="71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2">
      <c r="A2299" s="66" t="s">
        <v>1045</v>
      </c>
      <c r="B2299" s="66">
        <f t="shared" si="4620"/>
        <v>23</v>
      </c>
      <c r="C2299" s="66">
        <f t="shared" si="4673"/>
        <v>49</v>
      </c>
      <c r="E2299" s="66">
        <f t="shared" ref="E2299" si="4715">plan_id</f>
        <v>1952</v>
      </c>
      <c r="F2299" s="66">
        <f t="shared" ca="1" si="4675"/>
        <v>2020</v>
      </c>
      <c r="G2299" s="66">
        <f t="shared" ref="G2299" ca="1" si="4716">VLOOKUP(INDIRECT(CHAR(39)&amp;$A2299&amp;CHAR(39)&amp;"!r2c"&amp;$C2299,0),variables,2,0)</f>
        <v>10976</v>
      </c>
      <c r="H2299" s="71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</row>
    <row r="2300" spans="1:8" x14ac:dyDescent="0.2">
      <c r="A2300" s="66" t="s">
        <v>1045</v>
      </c>
      <c r="B2300" s="66">
        <f t="shared" si="4620"/>
        <v>23</v>
      </c>
      <c r="C2300" s="66">
        <f t="shared" si="4673"/>
        <v>50</v>
      </c>
      <c r="E2300" s="66">
        <f t="shared" ref="E2300" si="4717">plan_id</f>
        <v>1952</v>
      </c>
      <c r="F2300" s="66">
        <f t="shared" ca="1" si="4675"/>
        <v>2020</v>
      </c>
      <c r="G2300" s="66">
        <f t="shared" ref="G2300" ca="1" si="4718">VLOOKUP(INDIRECT(CHAR(39)&amp;$A2300&amp;CHAR(39)&amp;"!r2c"&amp;$C2300,0),variables,2,0)</f>
        <v>10977</v>
      </c>
      <c r="H2300" s="7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66" t="s">
        <v>1045</v>
      </c>
      <c r="B2301" s="66">
        <f t="shared" si="4620"/>
        <v>23</v>
      </c>
      <c r="C2301" s="66">
        <f t="shared" si="4673"/>
        <v>51</v>
      </c>
      <c r="E2301" s="66">
        <f t="shared" ref="E2301" si="4719">plan_id</f>
        <v>1952</v>
      </c>
      <c r="F2301" s="66">
        <f t="shared" ca="1" si="4675"/>
        <v>2020</v>
      </c>
      <c r="G2301" s="66">
        <f t="shared" ref="G2301" ca="1" si="4720">VLOOKUP(INDIRECT(CHAR(39)&amp;$A2301&amp;CHAR(39)&amp;"!r2c"&amp;$C2301,0),variables,2,0)</f>
        <v>10978</v>
      </c>
      <c r="H2301" s="7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</row>
    <row r="2302" spans="1:8" x14ac:dyDescent="0.2">
      <c r="A2302" s="66" t="s">
        <v>1045</v>
      </c>
      <c r="B2302" s="66">
        <f t="shared" si="4620"/>
        <v>23</v>
      </c>
      <c r="C2302" s="66">
        <f t="shared" si="4673"/>
        <v>52</v>
      </c>
      <c r="E2302" s="66">
        <f t="shared" ref="E2302" si="4721">plan_id</f>
        <v>1952</v>
      </c>
      <c r="F2302" s="66">
        <f t="shared" ca="1" si="4675"/>
        <v>2020</v>
      </c>
      <c r="G2302" s="66">
        <f t="shared" ref="G2302" ca="1" si="4722">VLOOKUP(INDIRECT(CHAR(39)&amp;$A2302&amp;CHAR(39)&amp;"!r2c"&amp;$C2302,0),variables,2,0)</f>
        <v>10979</v>
      </c>
      <c r="H2302" s="71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2">
      <c r="A2303" s="66" t="s">
        <v>1045</v>
      </c>
      <c r="B2303" s="66">
        <f t="shared" si="4620"/>
        <v>23</v>
      </c>
      <c r="C2303" s="66">
        <f t="shared" si="4673"/>
        <v>53</v>
      </c>
      <c r="E2303" s="66">
        <f t="shared" ref="E2303" si="4723">plan_id</f>
        <v>1952</v>
      </c>
      <c r="F2303" s="66">
        <f t="shared" ca="1" si="4675"/>
        <v>2020</v>
      </c>
      <c r="G2303" s="66">
        <f t="shared" ref="G2303" ca="1" si="4724">VLOOKUP(INDIRECT(CHAR(39)&amp;$A2303&amp;CHAR(39)&amp;"!r2c"&amp;$C2303,0),variables,2,0)</f>
        <v>10980</v>
      </c>
      <c r="H2303" s="7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2">
      <c r="A2304" s="66" t="s">
        <v>1045</v>
      </c>
      <c r="B2304" s="66">
        <f t="shared" si="4620"/>
        <v>23</v>
      </c>
      <c r="C2304" s="66">
        <f t="shared" si="4673"/>
        <v>54</v>
      </c>
      <c r="E2304" s="66">
        <f t="shared" ref="E2304" si="4725">plan_id</f>
        <v>1952</v>
      </c>
      <c r="F2304" s="66">
        <f t="shared" ca="1" si="4675"/>
        <v>2020</v>
      </c>
      <c r="G2304" s="66">
        <f t="shared" ref="G2304" ca="1" si="4726">VLOOKUP(INDIRECT(CHAR(39)&amp;$A2304&amp;CHAR(39)&amp;"!r2c"&amp;$C2304,0),variables,2,0)</f>
        <v>10981</v>
      </c>
      <c r="H2304" s="7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2">
      <c r="A2305" s="66" t="s">
        <v>1045</v>
      </c>
      <c r="B2305" s="66">
        <f t="shared" si="4620"/>
        <v>23</v>
      </c>
      <c r="C2305" s="66">
        <f t="shared" si="4673"/>
        <v>55</v>
      </c>
      <c r="E2305" s="66">
        <f t="shared" ref="E2305" si="4727">plan_id</f>
        <v>1952</v>
      </c>
      <c r="F2305" s="66">
        <f t="shared" ca="1" si="4675"/>
        <v>2020</v>
      </c>
      <c r="G2305" s="66">
        <f t="shared" ref="G2305" ca="1" si="4728">VLOOKUP(INDIRECT(CHAR(39)&amp;$A2305&amp;CHAR(39)&amp;"!r2c"&amp;$C2305,0),variables,2,0)</f>
        <v>10706</v>
      </c>
      <c r="H2305" s="7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6.5522276135100775E-4</v>
      </c>
    </row>
    <row r="2306" spans="1:8" x14ac:dyDescent="0.2">
      <c r="A2306" s="66" t="s">
        <v>1045</v>
      </c>
      <c r="B2306" s="66">
        <f t="shared" si="4620"/>
        <v>23</v>
      </c>
      <c r="C2306" s="66">
        <f t="shared" si="4673"/>
        <v>56</v>
      </c>
      <c r="E2306" s="66">
        <f t="shared" ref="E2306" si="4729">plan_id</f>
        <v>1952</v>
      </c>
      <c r="F2306" s="66">
        <f t="shared" ca="1" si="4675"/>
        <v>2020</v>
      </c>
      <c r="G2306" s="66">
        <f t="shared" ref="G2306" ca="1" si="4730">VLOOKUP(INDIRECT(CHAR(39)&amp;$A2306&amp;CHAR(39)&amp;"!r2c"&amp;$C2306,0),variables,2,0)</f>
        <v>10983</v>
      </c>
      <c r="H2306" s="71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66" t="s">
        <v>1045</v>
      </c>
      <c r="B2307" s="66">
        <f t="shared" si="4620"/>
        <v>23</v>
      </c>
      <c r="C2307" s="66">
        <f t="shared" si="4673"/>
        <v>57</v>
      </c>
      <c r="E2307" s="66">
        <f t="shared" ref="E2307" si="4731">plan_id</f>
        <v>1952</v>
      </c>
      <c r="F2307" s="66">
        <f t="shared" ca="1" si="4675"/>
        <v>2020</v>
      </c>
      <c r="G2307" s="66">
        <f t="shared" ref="G2307" ca="1" si="4732">VLOOKUP(INDIRECT(CHAR(39)&amp;$A2307&amp;CHAR(39)&amp;"!r2c"&amp;$C2307,0),variables,2,0)</f>
        <v>10989</v>
      </c>
      <c r="H2307" s="71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78759722000</v>
      </c>
    </row>
    <row r="2308" spans="1:8" x14ac:dyDescent="0.2">
      <c r="A2308" s="66" t="s">
        <v>1045</v>
      </c>
      <c r="B2308" s="66">
        <f t="shared" si="4620"/>
        <v>23</v>
      </c>
      <c r="C2308" s="66">
        <f t="shared" si="4673"/>
        <v>58</v>
      </c>
      <c r="E2308" s="66">
        <f t="shared" ref="E2308" si="4733">plan_id</f>
        <v>1952</v>
      </c>
      <c r="F2308" s="66">
        <f t="shared" ca="1" si="4675"/>
        <v>2020</v>
      </c>
      <c r="G2308" s="66">
        <f t="shared" ref="G2308" ca="1" si="4734">VLOOKUP(INDIRECT(CHAR(39)&amp;$A2308&amp;CHAR(39)&amp;"!r2c"&amp;$C2308,0),variables,2,0)</f>
        <v>10990</v>
      </c>
      <c r="H2308" s="71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101893256000</v>
      </c>
    </row>
    <row r="2309" spans="1:8" x14ac:dyDescent="0.2">
      <c r="A2309" s="66" t="s">
        <v>1045</v>
      </c>
      <c r="B2309" s="66">
        <f t="shared" si="4620"/>
        <v>23</v>
      </c>
      <c r="C2309" s="66">
        <f t="shared" si="4673"/>
        <v>59</v>
      </c>
      <c r="E2309" s="66">
        <f t="shared" ref="E2309" si="4735">plan_id</f>
        <v>1952</v>
      </c>
      <c r="F2309" s="66">
        <f t="shared" ca="1" si="4675"/>
        <v>2020</v>
      </c>
      <c r="G2309" s="66">
        <f t="shared" ref="G2309" ca="1" si="4736">VLOOKUP(INDIRECT(CHAR(39)&amp;$A2309&amp;CHAR(39)&amp;"!r2c"&amp;$C2309,0),variables,2,0)</f>
        <v>10991</v>
      </c>
      <c r="H2309" s="71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23133534000</v>
      </c>
    </row>
    <row r="2310" spans="1:8" x14ac:dyDescent="0.2">
      <c r="A2310" s="66" t="s">
        <v>1045</v>
      </c>
      <c r="B2310" s="66">
        <f t="shared" si="4620"/>
        <v>23</v>
      </c>
      <c r="C2310" s="66">
        <f t="shared" si="4673"/>
        <v>60</v>
      </c>
      <c r="E2310" s="66">
        <f t="shared" ref="E2310" si="4737">plan_id</f>
        <v>1952</v>
      </c>
      <c r="F2310" s="66">
        <f t="shared" ca="1" si="4675"/>
        <v>2020</v>
      </c>
      <c r="G2310" s="66">
        <f t="shared" ref="G2310" ca="1" si="4738">VLOOKUP(INDIRECT(CHAR(39)&amp;$A2310&amp;CHAR(39)&amp;"!r2c"&amp;$C2310,0),variables,2,0)</f>
        <v>10992</v>
      </c>
      <c r="H2310" s="71" t="str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State Employees: 75.08%; Teachers: 73.88%; Political Subdivisions: 86.42%</v>
      </c>
    </row>
    <row r="2311" spans="1:8" x14ac:dyDescent="0.2">
      <c r="A2311" s="66" t="s">
        <v>1045</v>
      </c>
      <c r="B2311" s="66">
        <f t="shared" si="4620"/>
        <v>23</v>
      </c>
      <c r="C2311" s="66">
        <f t="shared" si="4673"/>
        <v>61</v>
      </c>
      <c r="E2311" s="66">
        <f t="shared" ref="E2311" si="4739">plan_id</f>
        <v>1952</v>
      </c>
      <c r="F2311" s="66">
        <f t="shared" ca="1" si="4675"/>
        <v>2020</v>
      </c>
      <c r="G2311" s="66">
        <f t="shared" ref="G2311" ca="1" si="4740">VLOOKUP(INDIRECT(CHAR(39)&amp;$A2311&amp;CHAR(39)&amp;"!r2c"&amp;$C2311,0),variables,2,0)</f>
        <v>10993</v>
      </c>
      <c r="H2311" s="71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18749343000</v>
      </c>
    </row>
    <row r="2312" spans="1:8" x14ac:dyDescent="0.2">
      <c r="A2312" s="66" t="s">
        <v>1045</v>
      </c>
      <c r="B2312" s="66">
        <f t="shared" si="4620"/>
        <v>23</v>
      </c>
      <c r="C2312" s="66">
        <f t="shared" si="4673"/>
        <v>62</v>
      </c>
      <c r="E2312" s="66">
        <f t="shared" ref="E2312" si="4741">plan_id</f>
        <v>1952</v>
      </c>
      <c r="F2312" s="66">
        <f t="shared" ca="1" si="4675"/>
        <v>2020</v>
      </c>
      <c r="G2312" s="66">
        <f t="shared" ref="G2312" ca="1" si="4742">VLOOKUP(INDIRECT(CHAR(39)&amp;$A2312&amp;CHAR(39)&amp;"!r2c"&amp;$C2312,0),variables,2,0)</f>
        <v>10801</v>
      </c>
      <c r="H2312" s="71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694100000</v>
      </c>
    </row>
    <row r="2313" spans="1:8" x14ac:dyDescent="0.2">
      <c r="A2313" s="66" t="s">
        <v>1045</v>
      </c>
      <c r="B2313" s="66">
        <f t="shared" si="4620"/>
        <v>23</v>
      </c>
      <c r="C2313" s="66">
        <f t="shared" si="4673"/>
        <v>63</v>
      </c>
      <c r="E2313" s="66">
        <f t="shared" ref="E2313" si="4743">plan_id</f>
        <v>1952</v>
      </c>
      <c r="F2313" s="66">
        <f t="shared" ca="1" si="4675"/>
        <v>2020</v>
      </c>
      <c r="G2313" s="66">
        <f t="shared" ref="G2313" ca="1" si="4744">VLOOKUP(INDIRECT(CHAR(39)&amp;$A2313&amp;CHAR(39)&amp;"!r2c"&amp;$C2313,0),variables,2,0)</f>
        <v>10802</v>
      </c>
      <c r="H2313" s="71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61700000</v>
      </c>
    </row>
    <row r="2314" spans="1:8" x14ac:dyDescent="0.2">
      <c r="A2314" s="66" t="s">
        <v>1045</v>
      </c>
      <c r="B2314" s="66">
        <f t="shared" si="4620"/>
        <v>23</v>
      </c>
      <c r="C2314" s="66">
        <f t="shared" si="4673"/>
        <v>64</v>
      </c>
      <c r="E2314" s="66">
        <f t="shared" ref="E2314" si="4745">plan_id</f>
        <v>1952</v>
      </c>
      <c r="F2314" s="66">
        <f t="shared" ca="1" si="4675"/>
        <v>2020</v>
      </c>
      <c r="G2314" s="66">
        <f t="shared" ref="G2314" ca="1" si="4746">VLOOKUP(INDIRECT(CHAR(39)&amp;$A2314&amp;CHAR(39)&amp;"!r2c"&amp;$C2314,0),variables,2,0)</f>
        <v>10803</v>
      </c>
      <c r="H2314" s="71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66" t="s">
        <v>1045</v>
      </c>
      <c r="B2315" s="66">
        <f t="shared" si="4620"/>
        <v>23</v>
      </c>
      <c r="C2315" s="66">
        <f t="shared" si="4673"/>
        <v>65</v>
      </c>
      <c r="E2315" s="66">
        <f t="shared" ref="E2315" si="4747">plan_id</f>
        <v>1952</v>
      </c>
      <c r="F2315" s="66">
        <f t="shared" ca="1" si="4675"/>
        <v>2020</v>
      </c>
      <c r="G2315" s="66">
        <f t="shared" ref="G2315" ca="1" si="4748">VLOOKUP(INDIRECT(CHAR(39)&amp;$A2315&amp;CHAR(39)&amp;"!r2c"&amp;$C2315,0),variables,2,0)</f>
        <v>10804</v>
      </c>
      <c r="H2315" s="71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66" t="s">
        <v>1045</v>
      </c>
      <c r="B2316" s="66">
        <f t="shared" si="4620"/>
        <v>23</v>
      </c>
      <c r="C2316" s="66">
        <f t="shared" si="4673"/>
        <v>66</v>
      </c>
      <c r="E2316" s="66">
        <f t="shared" ref="E2316" si="4749">plan_id</f>
        <v>1952</v>
      </c>
      <c r="F2316" s="66">
        <f t="shared" ca="1" si="4675"/>
        <v>2020</v>
      </c>
      <c r="G2316" s="66">
        <f t="shared" ref="G2316" ca="1" si="4750">VLOOKUP(INDIRECT(CHAR(39)&amp;$A2316&amp;CHAR(39)&amp;"!r2c"&amp;$C2316,0),variables,2,0)</f>
        <v>10805</v>
      </c>
      <c r="H2316" s="71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66" t="s">
        <v>1045</v>
      </c>
      <c r="B2317" s="66">
        <f t="shared" ref="B2317" si="4751">B2252+1</f>
        <v>23</v>
      </c>
      <c r="C2317" s="66">
        <f t="shared" si="4673"/>
        <v>67</v>
      </c>
      <c r="E2317" s="66">
        <f t="shared" ref="E2317" si="4752">plan_id</f>
        <v>1952</v>
      </c>
      <c r="F2317" s="66">
        <f t="shared" ca="1" si="4675"/>
        <v>2020</v>
      </c>
      <c r="G2317" s="66">
        <f t="shared" ref="G2317" ca="1" si="4753">VLOOKUP(INDIRECT(CHAR(39)&amp;$A2317&amp;CHAR(39)&amp;"!r2c"&amp;$C2317,0),variables,2,0)</f>
        <v>10806</v>
      </c>
      <c r="H2317" s="7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-34500000</v>
      </c>
    </row>
    <row r="2318" spans="1:8" x14ac:dyDescent="0.2">
      <c r="A2318" s="66" t="s">
        <v>1045</v>
      </c>
      <c r="B2318" s="66">
        <f>B2317</f>
        <v>23</v>
      </c>
      <c r="C2318" s="66">
        <f t="shared" si="4673"/>
        <v>68</v>
      </c>
      <c r="E2318" s="66">
        <f t="shared" ref="E2318" si="4754">plan_id</f>
        <v>1952</v>
      </c>
      <c r="F2318" s="66">
        <f t="shared" ca="1" si="4675"/>
        <v>2020</v>
      </c>
      <c r="G2318" s="66">
        <f t="shared" ref="G2318" ca="1" si="4755">VLOOKUP(INDIRECT(CHAR(39)&amp;$A2318&amp;CHAR(39)&amp;"!r2c"&amp;$C2318,0),variables,2,0)</f>
        <v>10807</v>
      </c>
      <c r="H2318" s="71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66" t="s">
        <v>1045</v>
      </c>
      <c r="B2319" s="66">
        <f t="shared" ref="B2319:B2343" si="4756">B2318</f>
        <v>23</v>
      </c>
      <c r="C2319" s="66">
        <f t="shared" si="4673"/>
        <v>69</v>
      </c>
      <c r="E2319" s="66">
        <f t="shared" ref="E2319" si="4757">plan_id</f>
        <v>1952</v>
      </c>
      <c r="F2319" s="66">
        <f t="shared" ca="1" si="4675"/>
        <v>2020</v>
      </c>
      <c r="G2319" s="66">
        <f t="shared" ref="G2319" ca="1" si="4758">VLOOKUP(INDIRECT(CHAR(39)&amp;$A2319&amp;CHAR(39)&amp;"!r2c"&amp;$C2319,0),variables,2,0)</f>
        <v>10808</v>
      </c>
      <c r="H2319" s="71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66" t="s">
        <v>1045</v>
      </c>
      <c r="B2320" s="66">
        <f t="shared" si="4756"/>
        <v>23</v>
      </c>
      <c r="C2320" s="66">
        <f t="shared" si="4673"/>
        <v>70</v>
      </c>
      <c r="E2320" s="66">
        <f t="shared" ref="E2320" si="4759">plan_id</f>
        <v>1952</v>
      </c>
      <c r="F2320" s="66">
        <f t="shared" ca="1" si="4675"/>
        <v>2020</v>
      </c>
      <c r="G2320" s="66">
        <f t="shared" ref="G2320" ca="1" si="4760">VLOOKUP(INDIRECT(CHAR(39)&amp;$A2320&amp;CHAR(39)&amp;"!r2c"&amp;$C2320,0),variables,2,0)</f>
        <v>10809</v>
      </c>
      <c r="H2320" s="71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66" t="s">
        <v>1045</v>
      </c>
      <c r="B2321" s="66">
        <f t="shared" si="4756"/>
        <v>23</v>
      </c>
      <c r="C2321" s="66">
        <f t="shared" si="4673"/>
        <v>71</v>
      </c>
      <c r="E2321" s="66">
        <f t="shared" ref="E2321" si="4761">plan_id</f>
        <v>1952</v>
      </c>
      <c r="F2321" s="66">
        <f t="shared" ca="1" si="4675"/>
        <v>2020</v>
      </c>
      <c r="G2321" s="66">
        <f t="shared" ref="G2321" ca="1" si="4762">VLOOKUP(INDIRECT(CHAR(39)&amp;$A2321&amp;CHAR(39)&amp;"!r2c"&amp;$C2321,0),variables,2,0)</f>
        <v>10810</v>
      </c>
      <c r="H2321" s="71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-97000000</v>
      </c>
    </row>
    <row r="2322" spans="1:8" x14ac:dyDescent="0.2">
      <c r="A2322" s="66" t="s">
        <v>1045</v>
      </c>
      <c r="B2322" s="66">
        <f t="shared" si="4756"/>
        <v>23</v>
      </c>
      <c r="C2322" s="66">
        <f t="shared" si="4673"/>
        <v>72</v>
      </c>
      <c r="E2322" s="66">
        <f t="shared" ref="E2322" si="4763">plan_id</f>
        <v>1952</v>
      </c>
      <c r="F2322" s="66">
        <f t="shared" ca="1" si="4675"/>
        <v>2020</v>
      </c>
      <c r="G2322" s="66">
        <f t="shared" ref="G2322" ca="1" si="4764">VLOOKUP(INDIRECT(CHAR(39)&amp;$A2322&amp;CHAR(39)&amp;"!r2c"&amp;$C2322,0),variables,2,0)</f>
        <v>10811</v>
      </c>
      <c r="H2322" s="71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66" t="s">
        <v>1045</v>
      </c>
      <c r="B2323" s="66">
        <f t="shared" si="4756"/>
        <v>23</v>
      </c>
      <c r="C2323" s="66">
        <f t="shared" si="4673"/>
        <v>73</v>
      </c>
      <c r="E2323" s="66">
        <f t="shared" ref="E2323" si="4765">plan_id</f>
        <v>1952</v>
      </c>
      <c r="F2323" s="66">
        <f t="shared" ca="1" si="4675"/>
        <v>2020</v>
      </c>
      <c r="G2323" s="66">
        <f t="shared" ref="G2323" ca="1" si="4766">VLOOKUP(INDIRECT(CHAR(39)&amp;$A2323&amp;CHAR(39)&amp;"!r2c"&amp;$C2323,0),variables,2,0)</f>
        <v>10812</v>
      </c>
      <c r="H2323" s="71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66" t="s">
        <v>1045</v>
      </c>
      <c r="B2324" s="66">
        <f t="shared" si="4756"/>
        <v>23</v>
      </c>
      <c r="C2324" s="66">
        <f t="shared" si="4673"/>
        <v>74</v>
      </c>
      <c r="E2324" s="66">
        <f t="shared" ref="E2324" si="4767">plan_id</f>
        <v>1952</v>
      </c>
      <c r="F2324" s="66">
        <f t="shared" ca="1" si="4675"/>
        <v>2020</v>
      </c>
      <c r="G2324" s="66">
        <f t="shared" ref="G2324" ca="1" si="4768">VLOOKUP(INDIRECT(CHAR(39)&amp;$A2324&amp;CHAR(39)&amp;"!r2c"&amp;$C2324,0),variables,2,0)</f>
        <v>10813</v>
      </c>
      <c r="H2324" s="71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66" t="s">
        <v>1045</v>
      </c>
      <c r="B2325" s="66">
        <f t="shared" si="4756"/>
        <v>23</v>
      </c>
      <c r="C2325" s="66">
        <f t="shared" si="4673"/>
        <v>75</v>
      </c>
      <c r="E2325" s="66">
        <f t="shared" ref="E2325" si="4769">plan_id</f>
        <v>1952</v>
      </c>
      <c r="F2325" s="66">
        <f t="shared" ca="1" si="4675"/>
        <v>2020</v>
      </c>
      <c r="G2325" s="66">
        <f t="shared" ref="G2325" ca="1" si="4770">VLOOKUP(INDIRECT(CHAR(39)&amp;$A2325&amp;CHAR(39)&amp;"!r2c"&amp;$C2325,0),variables,2,0)</f>
        <v>10814</v>
      </c>
      <c r="H2325" s="7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-1900000.0000000002</v>
      </c>
    </row>
    <row r="2326" spans="1:8" x14ac:dyDescent="0.2">
      <c r="A2326" s="66" t="s">
        <v>1045</v>
      </c>
      <c r="B2326" s="66">
        <f t="shared" si="4756"/>
        <v>23</v>
      </c>
      <c r="C2326" s="66">
        <f t="shared" si="4673"/>
        <v>76</v>
      </c>
      <c r="E2326" s="66">
        <f t="shared" ref="E2326" si="4771">plan_id</f>
        <v>1952</v>
      </c>
      <c r="F2326" s="66">
        <f t="shared" ca="1" si="4675"/>
        <v>2020</v>
      </c>
      <c r="G2326" s="66">
        <f t="shared" ref="G2326" ca="1" si="4772">VLOOKUP(INDIRECT(CHAR(39)&amp;$A2326&amp;CHAR(39)&amp;"!r2c"&amp;$C2326,0),variables,2,0)</f>
        <v>10815</v>
      </c>
      <c r="H2326" s="71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73800000</v>
      </c>
    </row>
    <row r="2327" spans="1:8" x14ac:dyDescent="0.2">
      <c r="A2327" s="66" t="s">
        <v>1045</v>
      </c>
      <c r="B2327" s="66">
        <f t="shared" si="4756"/>
        <v>23</v>
      </c>
      <c r="C2327" s="66">
        <f t="shared" si="4673"/>
        <v>77</v>
      </c>
      <c r="E2327" s="66">
        <f t="shared" ref="E2327" si="4773">plan_id</f>
        <v>1952</v>
      </c>
      <c r="F2327" s="66">
        <f t="shared" ca="1" si="4675"/>
        <v>2020</v>
      </c>
      <c r="G2327" s="66">
        <f t="shared" ref="G2327" ca="1" si="4774">VLOOKUP(INDIRECT(CHAR(39)&amp;$A2327&amp;CHAR(39)&amp;"!r2c"&amp;$C2327,0),variables,2,0)</f>
        <v>10816</v>
      </c>
      <c r="H2327" s="71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-226399999.99999997</v>
      </c>
    </row>
    <row r="2328" spans="1:8" x14ac:dyDescent="0.2">
      <c r="A2328" s="66" t="s">
        <v>1045</v>
      </c>
      <c r="B2328" s="66">
        <f t="shared" si="4756"/>
        <v>23</v>
      </c>
      <c r="C2328" s="66">
        <f t="shared" si="4673"/>
        <v>78</v>
      </c>
      <c r="E2328" s="66">
        <f t="shared" ref="E2328" si="4775">plan_id</f>
        <v>1952</v>
      </c>
      <c r="F2328" s="66">
        <f t="shared" ca="1" si="4675"/>
        <v>2020</v>
      </c>
      <c r="G2328" s="66">
        <f t="shared" ref="G2328" ca="1" si="4776">VLOOKUP(INDIRECT(CHAR(39)&amp;$A2328&amp;CHAR(39)&amp;"!r2c"&amp;$C2328,0),variables,2,0)</f>
        <v>10817</v>
      </c>
      <c r="H2328" s="7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66" t="s">
        <v>1045</v>
      </c>
      <c r="B2329" s="66">
        <f t="shared" si="4756"/>
        <v>23</v>
      </c>
      <c r="C2329" s="66">
        <f t="shared" si="4673"/>
        <v>79</v>
      </c>
      <c r="E2329" s="66">
        <f t="shared" ref="E2329" si="4777">plan_id</f>
        <v>1952</v>
      </c>
      <c r="F2329" s="66">
        <f t="shared" ca="1" si="4675"/>
        <v>2020</v>
      </c>
      <c r="G2329" s="66">
        <f t="shared" ref="G2329" ca="1" si="4778">VLOOKUP(INDIRECT(CHAR(39)&amp;$A2329&amp;CHAR(39)&amp;"!r2c"&amp;$C2329,0),variables,2,0)</f>
        <v>10818</v>
      </c>
      <c r="H2329" s="71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229100000</v>
      </c>
    </row>
    <row r="2330" spans="1:8" x14ac:dyDescent="0.2">
      <c r="A2330" s="66" t="s">
        <v>1045</v>
      </c>
      <c r="B2330" s="66">
        <f t="shared" si="4756"/>
        <v>23</v>
      </c>
      <c r="C2330" s="66">
        <f t="shared" si="4673"/>
        <v>80</v>
      </c>
      <c r="E2330" s="66">
        <f t="shared" ref="E2330" si="4779">plan_id</f>
        <v>1952</v>
      </c>
      <c r="F2330" s="66">
        <f t="shared" ca="1" si="4675"/>
        <v>2020</v>
      </c>
      <c r="G2330" s="66">
        <f t="shared" ref="G2330" ca="1" si="4780">VLOOKUP(INDIRECT(CHAR(39)&amp;$A2330&amp;CHAR(39)&amp;"!r2c"&amp;$C2330,0),variables,2,0)</f>
        <v>10819</v>
      </c>
      <c r="H2330" s="7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66" t="s">
        <v>1045</v>
      </c>
      <c r="B2331" s="66">
        <f t="shared" si="4756"/>
        <v>23</v>
      </c>
      <c r="C2331" s="66">
        <f t="shared" si="4673"/>
        <v>81</v>
      </c>
      <c r="E2331" s="66">
        <f t="shared" ref="E2331" si="4781">plan_id</f>
        <v>1952</v>
      </c>
      <c r="F2331" s="66">
        <f t="shared" ca="1" si="4675"/>
        <v>2020</v>
      </c>
      <c r="G2331" s="66">
        <f t="shared" ref="G2331" ca="1" si="4782">VLOOKUP(INDIRECT(CHAR(39)&amp;$A2331&amp;CHAR(39)&amp;"!r2c"&amp;$C2331,0),variables,2,0)</f>
        <v>10820</v>
      </c>
      <c r="H2331" s="7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-44900000</v>
      </c>
    </row>
    <row r="2332" spans="1:8" x14ac:dyDescent="0.2">
      <c r="A2332" s="66" t="s">
        <v>1045</v>
      </c>
      <c r="B2332" s="66">
        <f t="shared" si="4756"/>
        <v>23</v>
      </c>
      <c r="C2332" s="66">
        <f t="shared" si="4673"/>
        <v>82</v>
      </c>
      <c r="E2332" s="66">
        <f t="shared" ref="E2332" si="4783">plan_id</f>
        <v>1952</v>
      </c>
      <c r="F2332" s="66">
        <f t="shared" ca="1" si="4675"/>
        <v>2020</v>
      </c>
      <c r="G2332" s="66">
        <f t="shared" ref="G2332" ca="1" si="4784">VLOOKUP(INDIRECT(CHAR(39)&amp;$A2332&amp;CHAR(39)&amp;"!r2c"&amp;$C2332,0),variables,2,0)</f>
        <v>10821</v>
      </c>
      <c r="H2332" s="7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66" t="s">
        <v>1045</v>
      </c>
      <c r="B2333" s="66">
        <f t="shared" si="4756"/>
        <v>23</v>
      </c>
      <c r="C2333" s="66">
        <f t="shared" si="4673"/>
        <v>83</v>
      </c>
      <c r="E2333" s="66">
        <f t="shared" ref="E2333" si="4785">plan_id</f>
        <v>1952</v>
      </c>
      <c r="F2333" s="66">
        <f t="shared" ca="1" si="4675"/>
        <v>2020</v>
      </c>
      <c r="G2333" s="66">
        <f t="shared" ref="G2333" ca="1" si="4786">VLOOKUP(INDIRECT(CHAR(39)&amp;$A2333&amp;CHAR(39)&amp;"!r2c"&amp;$C2333,0),variables,2,0)</f>
        <v>10822</v>
      </c>
      <c r="H2333" s="71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66" t="s">
        <v>1045</v>
      </c>
      <c r="B2334" s="66">
        <f t="shared" si="4756"/>
        <v>23</v>
      </c>
      <c r="C2334" s="66">
        <f t="shared" si="4673"/>
        <v>84</v>
      </c>
      <c r="E2334" s="66">
        <f t="shared" ref="E2334" si="4787">plan_id</f>
        <v>1952</v>
      </c>
      <c r="F2334" s="66">
        <f t="shared" ca="1" si="4675"/>
        <v>2020</v>
      </c>
      <c r="G2334" s="66">
        <f t="shared" ref="G2334" ca="1" si="4788">VLOOKUP(INDIRECT(CHAR(39)&amp;$A2334&amp;CHAR(39)&amp;"!r2c"&amp;$C2334,0),variables,2,0)</f>
        <v>10829</v>
      </c>
      <c r="H2334" s="71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1825467000</v>
      </c>
    </row>
    <row r="2335" spans="1:8" x14ac:dyDescent="0.2">
      <c r="A2335" s="66" t="s">
        <v>1045</v>
      </c>
      <c r="B2335" s="66">
        <f t="shared" si="4756"/>
        <v>23</v>
      </c>
      <c r="C2335" s="66">
        <f t="shared" si="4673"/>
        <v>85</v>
      </c>
      <c r="E2335" s="66">
        <f t="shared" ref="E2335" si="4789">plan_id</f>
        <v>1952</v>
      </c>
      <c r="F2335" s="66">
        <f t="shared" ca="1" si="4675"/>
        <v>2020</v>
      </c>
      <c r="G2335" s="66">
        <f t="shared" ref="G2335" ca="1" si="4790">VLOOKUP(INDIRECT(CHAR(39)&amp;$A2335&amp;CHAR(39)&amp;"!r2c"&amp;$C2335,0),variables,2,0)</f>
        <v>10823</v>
      </c>
      <c r="H2335" s="71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243711000</v>
      </c>
    </row>
    <row r="2336" spans="1:8" x14ac:dyDescent="0.2">
      <c r="A2336" s="66" t="s">
        <v>1045</v>
      </c>
      <c r="B2336" s="66">
        <f t="shared" si="4756"/>
        <v>23</v>
      </c>
      <c r="C2336" s="66">
        <f t="shared" si="4673"/>
        <v>86</v>
      </c>
      <c r="E2336" s="66">
        <f t="shared" ref="E2336" si="4791">plan_id</f>
        <v>1952</v>
      </c>
      <c r="F2336" s="66">
        <f t="shared" ca="1" si="4675"/>
        <v>2020</v>
      </c>
      <c r="G2336" s="66">
        <f t="shared" ref="G2336" ca="1" si="4792">VLOOKUP(INDIRECT(CHAR(39)&amp;$A2336&amp;CHAR(39)&amp;"!r2c"&amp;$C2336,0),variables,2,0)</f>
        <v>10798</v>
      </c>
      <c r="H2336" s="71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-181200000</v>
      </c>
    </row>
    <row r="2337" spans="1:8" x14ac:dyDescent="0.2">
      <c r="A2337" s="66" t="s">
        <v>1045</v>
      </c>
      <c r="B2337" s="66">
        <f t="shared" si="4756"/>
        <v>23</v>
      </c>
      <c r="C2337" s="66">
        <f t="shared" si="4673"/>
        <v>87</v>
      </c>
      <c r="E2337" s="66">
        <f t="shared" ref="E2337" si="4793">plan_id</f>
        <v>1952</v>
      </c>
      <c r="F2337" s="66">
        <f t="shared" ca="1" si="4675"/>
        <v>2020</v>
      </c>
      <c r="G2337" s="66">
        <f t="shared" ref="G2337" ca="1" si="4794">VLOOKUP(INDIRECT(CHAR(39)&amp;$A2337&amp;CHAR(39)&amp;"!r2c"&amp;$C2337,0),variables,2,0)</f>
        <v>10799</v>
      </c>
      <c r="H2337" s="71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-363100000</v>
      </c>
    </row>
    <row r="2338" spans="1:8" x14ac:dyDescent="0.2">
      <c r="A2338" s="66" t="s">
        <v>1045</v>
      </c>
      <c r="B2338" s="66">
        <f t="shared" si="4756"/>
        <v>23</v>
      </c>
      <c r="C2338" s="66">
        <f t="shared" si="4673"/>
        <v>88</v>
      </c>
      <c r="E2338" s="66">
        <f t="shared" ref="E2338" si="4795">plan_id</f>
        <v>1952</v>
      </c>
      <c r="F2338" s="66">
        <f t="shared" ca="1" si="4675"/>
        <v>2020</v>
      </c>
      <c r="G2338" s="66">
        <f t="shared" ref="G2338" ca="1" si="4796">VLOOKUP(INDIRECT(CHAR(39)&amp;$A2338&amp;CHAR(39)&amp;"!r2c"&amp;$C2338,0),variables,2,0)</f>
        <v>10800</v>
      </c>
      <c r="H2338" s="71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66" t="s">
        <v>1045</v>
      </c>
      <c r="B2339" s="66">
        <f t="shared" si="4756"/>
        <v>23</v>
      </c>
      <c r="C2339" s="66">
        <f t="shared" si="4673"/>
        <v>89</v>
      </c>
      <c r="E2339" s="66">
        <f t="shared" ref="E2339" si="4797">plan_id</f>
        <v>1952</v>
      </c>
      <c r="F2339" s="66">
        <f t="shared" ca="1" si="4675"/>
        <v>2020</v>
      </c>
      <c r="G2339" s="66">
        <f t="shared" ref="G2339" ca="1" si="4798">VLOOKUP(INDIRECT(CHAR(39)&amp;$A2339&amp;CHAR(39)&amp;"!r2c"&amp;$C2339,0),variables,2,0)</f>
        <v>10824</v>
      </c>
      <c r="H2339" s="71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66" t="s">
        <v>1045</v>
      </c>
      <c r="B2340" s="66">
        <f t="shared" si="4756"/>
        <v>23</v>
      </c>
      <c r="C2340" s="66">
        <f t="shared" si="4673"/>
        <v>90</v>
      </c>
      <c r="E2340" s="66">
        <f t="shared" ref="E2340" si="4799">plan_id</f>
        <v>1952</v>
      </c>
      <c r="F2340" s="66">
        <f t="shared" ca="1" si="4675"/>
        <v>2020</v>
      </c>
      <c r="G2340" s="66">
        <f t="shared" ref="G2340" ca="1" si="4800">VLOOKUP(INDIRECT(CHAR(39)&amp;$A2340&amp;CHAR(39)&amp;"!r2c"&amp;$C2340,0),variables,2,0)</f>
        <v>10825</v>
      </c>
      <c r="H2340" s="71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12300000</v>
      </c>
    </row>
    <row r="2341" spans="1:8" x14ac:dyDescent="0.2">
      <c r="A2341" s="66" t="s">
        <v>1045</v>
      </c>
      <c r="B2341" s="66">
        <f t="shared" si="4756"/>
        <v>23</v>
      </c>
      <c r="C2341" s="66">
        <f t="shared" si="4673"/>
        <v>91</v>
      </c>
      <c r="E2341" s="66">
        <f t="shared" ref="E2341" si="4801">plan_id</f>
        <v>1952</v>
      </c>
      <c r="F2341" s="66">
        <f t="shared" ca="1" si="4675"/>
        <v>2020</v>
      </c>
      <c r="G2341" s="66">
        <f t="shared" ref="G2341" ca="1" si="4802">VLOOKUP(INDIRECT(CHAR(39)&amp;$A2341&amp;CHAR(39)&amp;"!r2c"&amp;$C2341,0),variables,2,0)</f>
        <v>10826</v>
      </c>
      <c r="H2341" s="71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1558193000</v>
      </c>
    </row>
    <row r="2342" spans="1:8" x14ac:dyDescent="0.2">
      <c r="A2342" s="66" t="s">
        <v>1045</v>
      </c>
      <c r="B2342" s="66">
        <f t="shared" si="4756"/>
        <v>23</v>
      </c>
      <c r="C2342" s="66">
        <f t="shared" si="4673"/>
        <v>92</v>
      </c>
      <c r="E2342" s="66">
        <f t="shared" ref="E2342" si="4803">plan_id</f>
        <v>1952</v>
      </c>
      <c r="F2342" s="66">
        <f t="shared" ca="1" si="4675"/>
        <v>2020</v>
      </c>
      <c r="G2342" s="66">
        <f t="shared" ref="G2342" ca="1" si="4804">VLOOKUP(INDIRECT(CHAR(39)&amp;$A2342&amp;CHAR(39)&amp;"!r2c"&amp;$C2342,0),variables,2,0)</f>
        <v>10828</v>
      </c>
      <c r="H2342" s="71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66" t="s">
        <v>1045</v>
      </c>
      <c r="B2343" s="66">
        <f t="shared" si="4756"/>
        <v>23</v>
      </c>
      <c r="C2343" s="66">
        <f t="shared" ref="C2343:C2406" si="4805">C2252</f>
        <v>93</v>
      </c>
      <c r="E2343" s="66">
        <f t="shared" ref="E2343" si="4806">plan_id</f>
        <v>1952</v>
      </c>
      <c r="F2343" s="66">
        <f t="shared" ca="1" si="4675"/>
        <v>2020</v>
      </c>
      <c r="G2343" s="66">
        <f t="shared" ref="G2343" ca="1" si="4807">VLOOKUP(INDIRECT(CHAR(39)&amp;$A2343&amp;CHAR(39)&amp;"!r2c"&amp;$C2343,0),variables,2,0)</f>
        <v>10827</v>
      </c>
      <c r="H2343" s="71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5000000</v>
      </c>
    </row>
    <row r="2344" spans="1:8" x14ac:dyDescent="0.2">
      <c r="A2344" s="66" t="s">
        <v>1045</v>
      </c>
      <c r="B2344" s="66">
        <v>24</v>
      </c>
      <c r="C2344" s="66">
        <f t="shared" si="4805"/>
        <v>3</v>
      </c>
      <c r="E2344" s="66">
        <f t="shared" ref="E2344" si="4808">plan_id</f>
        <v>1952</v>
      </c>
      <c r="F2344" s="66">
        <f t="shared" ca="1" si="4675"/>
        <v>2021</v>
      </c>
      <c r="G2344" s="66">
        <f t="shared" ref="G2344" ca="1" si="4809">VLOOKUP(INDIRECT(CHAR(39)&amp;$A2344&amp;CHAR(39)&amp;"!r2c"&amp;$C2344,0),variables,2,0)</f>
        <v>10703</v>
      </c>
      <c r="H2344" s="71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 &amp; 2024</v>
      </c>
    </row>
    <row r="2345" spans="1:8" x14ac:dyDescent="0.2">
      <c r="A2345" s="66" t="s">
        <v>1045</v>
      </c>
      <c r="B2345" s="66">
        <f t="shared" ref="B2345:B2408" si="4810">B2344</f>
        <v>24</v>
      </c>
      <c r="C2345" s="66">
        <f t="shared" si="4805"/>
        <v>4</v>
      </c>
      <c r="E2345" s="66">
        <f t="shared" ref="E2345" si="4811">plan_id</f>
        <v>1952</v>
      </c>
      <c r="F2345" s="66">
        <f t="shared" ca="1" si="4675"/>
        <v>2021</v>
      </c>
      <c r="G2345" s="66">
        <f t="shared" ref="G2345" ca="1" si="4812">VLOOKUP(INDIRECT(CHAR(39)&amp;$A2345&amp;CHAR(39)&amp;"!r2c"&amp;$C2345,0),variables,2,0)</f>
        <v>10845</v>
      </c>
      <c r="H2345" s="71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,LLC</v>
      </c>
    </row>
    <row r="2346" spans="1:8" x14ac:dyDescent="0.2">
      <c r="A2346" s="66" t="s">
        <v>1045</v>
      </c>
      <c r="B2346" s="66">
        <f t="shared" si="4810"/>
        <v>24</v>
      </c>
      <c r="C2346" s="66">
        <f t="shared" si="4805"/>
        <v>5</v>
      </c>
      <c r="E2346" s="66">
        <f t="shared" ref="E2346" si="4813">plan_id</f>
        <v>1952</v>
      </c>
      <c r="F2346" s="66">
        <f t="shared" ca="1" si="4675"/>
        <v>2021</v>
      </c>
      <c r="G2346" s="66">
        <f t="shared" ref="G2346" ca="1" si="4814">VLOOKUP(INDIRECT(CHAR(39)&amp;$A2346&amp;CHAR(39)&amp;"!r2c"&amp;$C2346,0),variables,2,0)</f>
        <v>10924</v>
      </c>
      <c r="H2346" s="71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(i)9.29%; (ii)10.25%</v>
      </c>
    </row>
    <row r="2347" spans="1:8" x14ac:dyDescent="0.2">
      <c r="A2347" s="66" t="s">
        <v>1045</v>
      </c>
      <c r="B2347" s="66">
        <f t="shared" si="4810"/>
        <v>24</v>
      </c>
      <c r="C2347" s="66">
        <f t="shared" si="4805"/>
        <v>6</v>
      </c>
      <c r="E2347" s="66">
        <f t="shared" ref="E2347" si="4815">plan_id</f>
        <v>1952</v>
      </c>
      <c r="F2347" s="66">
        <f t="shared" ca="1" si="4675"/>
        <v>2021</v>
      </c>
      <c r="G2347" s="66">
        <f t="shared" ref="G2347" ca="1" si="4816">VLOOKUP(INDIRECT(CHAR(39)&amp;$A2347&amp;CHAR(39)&amp;"!r2c"&amp;$C2347,0),variables,2,0)</f>
        <v>10925</v>
      </c>
      <c r="H2347" s="71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(i)4.76%; (ii)5.63%</v>
      </c>
    </row>
    <row r="2348" spans="1:8" x14ac:dyDescent="0.2">
      <c r="A2348" s="66" t="s">
        <v>1045</v>
      </c>
      <c r="B2348" s="66">
        <f t="shared" si="4810"/>
        <v>24</v>
      </c>
      <c r="C2348" s="66">
        <f t="shared" si="4805"/>
        <v>7</v>
      </c>
      <c r="E2348" s="66">
        <f t="shared" ref="E2348" si="4817">plan_id</f>
        <v>1952</v>
      </c>
      <c r="F2348" s="66">
        <f t="shared" ca="1" si="4675"/>
        <v>2021</v>
      </c>
      <c r="G2348" s="66">
        <f t="shared" ref="G2348" ca="1" si="4818">VLOOKUP(INDIRECT(CHAR(39)&amp;$A2348&amp;CHAR(39)&amp;"!r2c"&amp;$C2348,0),variables,2,0)</f>
        <v>10926</v>
      </c>
      <c r="H2348" s="71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(i)4.53%; (ii)4.62%</v>
      </c>
    </row>
    <row r="2349" spans="1:8" x14ac:dyDescent="0.2">
      <c r="A2349" s="66" t="s">
        <v>1045</v>
      </c>
      <c r="B2349" s="66">
        <f t="shared" si="4810"/>
        <v>24</v>
      </c>
      <c r="C2349" s="66">
        <f t="shared" si="4805"/>
        <v>8</v>
      </c>
      <c r="E2349" s="66">
        <f t="shared" ref="E2349" si="4819">plan_id</f>
        <v>1952</v>
      </c>
      <c r="F2349" s="66">
        <f t="shared" ca="1" si="4675"/>
        <v>2021</v>
      </c>
      <c r="G2349" s="66">
        <f t="shared" ref="G2349" ca="1" si="4820">VLOOKUP(INDIRECT(CHAR(39)&amp;$A2349&amp;CHAR(39)&amp;"!r2c"&amp;$C2349,0),variables,2,0)</f>
        <v>10704</v>
      </c>
      <c r="H2349" s="71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1070871297</v>
      </c>
    </row>
    <row r="2350" spans="1:8" x14ac:dyDescent="0.2">
      <c r="A2350" s="66" t="s">
        <v>1045</v>
      </c>
      <c r="B2350" s="66">
        <f t="shared" si="4810"/>
        <v>24</v>
      </c>
      <c r="C2350" s="66">
        <f t="shared" si="4805"/>
        <v>9</v>
      </c>
      <c r="E2350" s="66">
        <f t="shared" ref="E2350" si="4821">plan_id</f>
        <v>1952</v>
      </c>
      <c r="F2350" s="66">
        <f t="shared" ca="1" si="4675"/>
        <v>2021</v>
      </c>
      <c r="G2350" s="66">
        <f t="shared" ref="G2350" ca="1" si="4822">VLOOKUP(INDIRECT(CHAR(39)&amp;$A2350&amp;CHAR(39)&amp;"!r2c"&amp;$C2350,0),variables,2,0)</f>
        <v>10928</v>
      </c>
      <c r="H2350" s="71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(i)8.02%; (ii)8.04%</v>
      </c>
    </row>
    <row r="2351" spans="1:8" x14ac:dyDescent="0.2">
      <c r="A2351" s="66" t="s">
        <v>1045</v>
      </c>
      <c r="B2351" s="66">
        <f t="shared" si="4810"/>
        <v>24</v>
      </c>
      <c r="C2351" s="66">
        <f t="shared" si="4805"/>
        <v>10</v>
      </c>
      <c r="E2351" s="66">
        <f t="shared" ref="E2351" si="4823">plan_id</f>
        <v>1952</v>
      </c>
      <c r="F2351" s="66">
        <f t="shared" ca="1" si="4675"/>
        <v>2021</v>
      </c>
      <c r="G2351" s="66">
        <f t="shared" ref="G2351" ca="1" si="4824">VLOOKUP(INDIRECT(CHAR(39)&amp;$A2351&amp;CHAR(39)&amp;"!r2c"&amp;$C2351,0),variables,2,0)</f>
        <v>10929</v>
      </c>
      <c r="H2351" s="71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(i)8.02%; (ii)8.04%</v>
      </c>
    </row>
    <row r="2352" spans="1:8" x14ac:dyDescent="0.2">
      <c r="A2352" s="66" t="s">
        <v>1045</v>
      </c>
      <c r="B2352" s="66">
        <f t="shared" si="4810"/>
        <v>24</v>
      </c>
      <c r="C2352" s="66">
        <f t="shared" si="4805"/>
        <v>11</v>
      </c>
      <c r="E2352" s="66">
        <f t="shared" ref="E2352" si="4825">plan_id</f>
        <v>1952</v>
      </c>
      <c r="F2352" s="66">
        <f t="shared" ca="1" si="4675"/>
        <v>2021</v>
      </c>
      <c r="G2352" s="66">
        <f t="shared" ref="G2352" ca="1" si="4826">VLOOKUP(INDIRECT(CHAR(39)&amp;$A2352&amp;CHAR(39)&amp;"!r2c"&amp;$C2352,0),variables,2,0)</f>
        <v>10930</v>
      </c>
      <c r="H2352" s="7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66" t="s">
        <v>1045</v>
      </c>
      <c r="B2353" s="66">
        <f t="shared" si="4810"/>
        <v>24</v>
      </c>
      <c r="C2353" s="66">
        <f t="shared" si="4805"/>
        <v>12</v>
      </c>
      <c r="E2353" s="66">
        <f t="shared" ref="E2353" si="4827">plan_id</f>
        <v>1952</v>
      </c>
      <c r="F2353" s="66">
        <f t="shared" ca="1" si="4675"/>
        <v>2021</v>
      </c>
      <c r="G2353" s="66">
        <f t="shared" ref="G2353" ca="1" si="4828">VLOOKUP(INDIRECT(CHAR(39)&amp;$A2353&amp;CHAR(39)&amp;"!r2c"&amp;$C2353,0),variables,2,0)</f>
        <v>10705</v>
      </c>
      <c r="H2353" s="71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885042000</v>
      </c>
    </row>
    <row r="2354" spans="1:8" x14ac:dyDescent="0.2">
      <c r="A2354" s="66" t="s">
        <v>1045</v>
      </c>
      <c r="B2354" s="66">
        <f t="shared" si="4810"/>
        <v>24</v>
      </c>
      <c r="C2354" s="66">
        <f t="shared" si="4805"/>
        <v>13</v>
      </c>
      <c r="E2354" s="66">
        <f t="shared" ref="E2354" si="4829">plan_id</f>
        <v>1952</v>
      </c>
      <c r="F2354" s="66">
        <f t="shared" ca="1" si="4675"/>
        <v>2021</v>
      </c>
      <c r="G2354" s="66">
        <f t="shared" ref="G2354" ca="1" si="4830">VLOOKUP(INDIRECT(CHAR(39)&amp;$A2354&amp;CHAR(39)&amp;"!r2c"&amp;$C2354,0),variables,2,0)</f>
        <v>10842</v>
      </c>
      <c r="H2354" s="71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66" t="s">
        <v>1045</v>
      </c>
      <c r="B2355" s="66">
        <f t="shared" si="4810"/>
        <v>24</v>
      </c>
      <c r="C2355" s="66">
        <f t="shared" si="4805"/>
        <v>14</v>
      </c>
      <c r="E2355" s="66">
        <f t="shared" ref="E2355" si="4831">plan_id</f>
        <v>1952</v>
      </c>
      <c r="F2355" s="66">
        <f t="shared" ca="1" si="4675"/>
        <v>2021</v>
      </c>
      <c r="G2355" s="66">
        <f t="shared" ref="G2355" ca="1" si="4832">VLOOKUP(INDIRECT(CHAR(39)&amp;$A2355&amp;CHAR(39)&amp;"!r2c"&amp;$C2355,0),variables,2,0)</f>
        <v>10843</v>
      </c>
      <c r="H2355" s="71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66" t="s">
        <v>1045</v>
      </c>
      <c r="B2356" s="66">
        <f t="shared" si="4810"/>
        <v>24</v>
      </c>
      <c r="C2356" s="66">
        <f t="shared" si="4805"/>
        <v>15</v>
      </c>
      <c r="E2356" s="66">
        <f t="shared" ref="E2356" si="4833">plan_id</f>
        <v>1952</v>
      </c>
      <c r="F2356" s="66">
        <f t="shared" ca="1" si="4675"/>
        <v>2021</v>
      </c>
      <c r="G2356" s="66">
        <f t="shared" ref="G2356" ca="1" si="4834">VLOOKUP(INDIRECT(CHAR(39)&amp;$A2356&amp;CHAR(39)&amp;"!r2c"&amp;$C2356,0),variables,2,0)</f>
        <v>10931</v>
      </c>
      <c r="H2356" s="71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66" t="s">
        <v>1045</v>
      </c>
      <c r="B2357" s="66">
        <f t="shared" si="4810"/>
        <v>24</v>
      </c>
      <c r="C2357" s="66">
        <f t="shared" si="4805"/>
        <v>16</v>
      </c>
      <c r="E2357" s="66">
        <f t="shared" ref="E2357" si="4835">plan_id</f>
        <v>1952</v>
      </c>
      <c r="F2357" s="66">
        <f t="shared" ca="1" si="4675"/>
        <v>2021</v>
      </c>
      <c r="G2357" s="66">
        <f t="shared" ref="G2357" ca="1" si="4836">VLOOKUP(INDIRECT(CHAR(39)&amp;$A2357&amp;CHAR(39)&amp;"!r2c"&amp;$C2357,0),variables,2,0)</f>
        <v>10932</v>
      </c>
      <c r="H2357" s="7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66" t="s">
        <v>1045</v>
      </c>
      <c r="B2358" s="66">
        <f t="shared" si="4810"/>
        <v>24</v>
      </c>
      <c r="C2358" s="66">
        <f t="shared" si="4805"/>
        <v>17</v>
      </c>
      <c r="E2358" s="66">
        <f t="shared" ref="E2358" si="4837">plan_id</f>
        <v>1952</v>
      </c>
      <c r="F2358" s="66">
        <f t="shared" ca="1" si="4675"/>
        <v>2021</v>
      </c>
      <c r="G2358" s="66">
        <f t="shared" ref="G2358" ca="1" si="4838">VLOOKUP(INDIRECT(CHAR(39)&amp;$A2358&amp;CHAR(39)&amp;"!r2c"&amp;$C2358,0),variables,2,0)</f>
        <v>10933</v>
      </c>
      <c r="H2358" s="71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(i)13.07%; (ii)13.95%</v>
      </c>
    </row>
    <row r="2359" spans="1:8" x14ac:dyDescent="0.2">
      <c r="A2359" s="66" t="s">
        <v>1045</v>
      </c>
      <c r="B2359" s="66">
        <f t="shared" si="4810"/>
        <v>24</v>
      </c>
      <c r="C2359" s="66">
        <f t="shared" si="4805"/>
        <v>18</v>
      </c>
      <c r="E2359" s="66">
        <f t="shared" ref="E2359" si="4839">plan_id</f>
        <v>1952</v>
      </c>
      <c r="F2359" s="66">
        <f t="shared" ca="1" si="4675"/>
        <v>2021</v>
      </c>
      <c r="G2359" s="66">
        <f t="shared" ref="G2359" ca="1" si="4840">VLOOKUP(INDIRECT(CHAR(39)&amp;$A2359&amp;CHAR(39)&amp;"!r2c"&amp;$C2359,0),variables,2,0)</f>
        <v>10934</v>
      </c>
      <c r="H2359" s="71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(i)4.53%; (ii)4.62%</v>
      </c>
    </row>
    <row r="2360" spans="1:8" x14ac:dyDescent="0.2">
      <c r="A2360" s="66" t="s">
        <v>1045</v>
      </c>
      <c r="B2360" s="66">
        <f t="shared" si="4810"/>
        <v>24</v>
      </c>
      <c r="C2360" s="66">
        <f t="shared" si="4805"/>
        <v>19</v>
      </c>
      <c r="E2360" s="66">
        <f t="shared" ref="E2360" si="4841">plan_id</f>
        <v>1952</v>
      </c>
      <c r="F2360" s="66">
        <f t="shared" ca="1" si="4675"/>
        <v>2021</v>
      </c>
      <c r="G2360" s="66">
        <f t="shared" ref="G2360" ca="1" si="4842">VLOOKUP(INDIRECT(CHAR(39)&amp;$A2360&amp;CHAR(39)&amp;"!r2c"&amp;$C2360,0),variables,2,0)</f>
        <v>10935</v>
      </c>
      <c r="H2360" s="71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66" t="s">
        <v>1045</v>
      </c>
      <c r="B2361" s="66">
        <f t="shared" si="4810"/>
        <v>24</v>
      </c>
      <c r="C2361" s="66">
        <f t="shared" si="4805"/>
        <v>20</v>
      </c>
      <c r="E2361" s="66">
        <f t="shared" ref="E2361" si="4843">plan_id</f>
        <v>1952</v>
      </c>
      <c r="F2361" s="66">
        <f t="shared" ca="1" si="4675"/>
        <v>2021</v>
      </c>
      <c r="G2361" s="66">
        <f t="shared" ref="G2361" ca="1" si="4844">VLOOKUP(INDIRECT(CHAR(39)&amp;$A2361&amp;CHAR(39)&amp;"!r2c"&amp;$C2361,0),variables,2,0)</f>
        <v>10937</v>
      </c>
      <c r="H2361" s="71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66" t="s">
        <v>1045</v>
      </c>
      <c r="B2362" s="66">
        <f t="shared" si="4810"/>
        <v>24</v>
      </c>
      <c r="C2362" s="66">
        <f t="shared" si="4805"/>
        <v>21</v>
      </c>
      <c r="E2362" s="66">
        <f t="shared" ref="E2362" si="4845">plan_id</f>
        <v>1952</v>
      </c>
      <c r="F2362" s="66">
        <f t="shared" ca="1" si="4675"/>
        <v>2021</v>
      </c>
      <c r="G2362" s="66">
        <f t="shared" ref="G2362" ca="1" si="4846">VLOOKUP(INDIRECT(CHAR(39)&amp;$A2362&amp;CHAR(39)&amp;"!r2c"&amp;$C2362,0),variables,2,0)</f>
        <v>10938</v>
      </c>
      <c r="H2362" s="71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66" t="s">
        <v>1045</v>
      </c>
      <c r="B2363" s="66">
        <f t="shared" si="4810"/>
        <v>24</v>
      </c>
      <c r="C2363" s="66">
        <f t="shared" si="4805"/>
        <v>22</v>
      </c>
      <c r="E2363" s="66">
        <f t="shared" ref="E2363" si="4847">plan_id</f>
        <v>1952</v>
      </c>
      <c r="F2363" s="66">
        <f t="shared" ca="1" si="4675"/>
        <v>2021</v>
      </c>
      <c r="G2363" s="66">
        <f t="shared" ref="G2363" ca="1" si="4848">VLOOKUP(INDIRECT(CHAR(39)&amp;$A2363&amp;CHAR(39)&amp;"!r2c"&amp;$C2363,0),variables,2,0)</f>
        <v>11007</v>
      </c>
      <c r="H2363" s="71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 xml:space="preserve">Plan 1: 1.7% of AFC times years of service; Plan 2: 1.7% AFC times years of service up to 1/1/13 + 1.65% AFC times years of service from 1/1/13; Hybrid: 1% AFC times years of service </v>
      </c>
    </row>
    <row r="2364" spans="1:8" x14ac:dyDescent="0.2">
      <c r="A2364" s="66" t="s">
        <v>1045</v>
      </c>
      <c r="B2364" s="66">
        <f t="shared" si="4810"/>
        <v>24</v>
      </c>
      <c r="C2364" s="66">
        <f t="shared" si="4805"/>
        <v>23</v>
      </c>
      <c r="E2364" s="66">
        <f t="shared" ref="E2364" si="4849">plan_id</f>
        <v>1952</v>
      </c>
      <c r="F2364" s="66">
        <f t="shared" ca="1" si="4675"/>
        <v>2021</v>
      </c>
      <c r="G2364" s="66">
        <f t="shared" ref="G2364" ca="1" si="4850">VLOOKUP(INDIRECT(CHAR(39)&amp;$A2364&amp;CHAR(39)&amp;"!r2c"&amp;$C2364,0),variables,2,0)</f>
        <v>10941</v>
      </c>
      <c r="H2364" s="71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66" t="s">
        <v>1045</v>
      </c>
      <c r="B2365" s="66">
        <f t="shared" si="4810"/>
        <v>24</v>
      </c>
      <c r="C2365" s="66">
        <f t="shared" si="4805"/>
        <v>24</v>
      </c>
      <c r="E2365" s="66">
        <f t="shared" ref="E2365" si="4851">plan_id</f>
        <v>1952</v>
      </c>
      <c r="F2365" s="66">
        <f t="shared" ca="1" si="4675"/>
        <v>2021</v>
      </c>
      <c r="G2365" s="66">
        <f t="shared" ref="G2365" ca="1" si="4852">VLOOKUP(INDIRECT(CHAR(39)&amp;$A2365&amp;CHAR(39)&amp;"!r2c"&amp;$C2365,0),variables,2,0)</f>
        <v>10942</v>
      </c>
      <c r="H2365" s="71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66" t="s">
        <v>1045</v>
      </c>
      <c r="B2366" s="66">
        <f t="shared" si="4810"/>
        <v>24</v>
      </c>
      <c r="C2366" s="66">
        <f t="shared" si="4805"/>
        <v>25</v>
      </c>
      <c r="E2366" s="66">
        <f t="shared" ref="E2366" si="4853">plan_id</f>
        <v>1952</v>
      </c>
      <c r="F2366" s="66">
        <f t="shared" ca="1" si="4675"/>
        <v>2021</v>
      </c>
      <c r="G2366" s="66">
        <f t="shared" ref="G2366" ca="1" si="4854">VLOOKUP(INDIRECT(CHAR(39)&amp;$A2366&amp;CHAR(39)&amp;"!r2c"&amp;$C2366,0),variables,2,0)</f>
        <v>10701</v>
      </c>
      <c r="H2366" s="71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2">
      <c r="A2367" s="66" t="s">
        <v>1045</v>
      </c>
      <c r="B2367" s="66">
        <f t="shared" si="4810"/>
        <v>24</v>
      </c>
      <c r="C2367" s="66">
        <f t="shared" si="4805"/>
        <v>26</v>
      </c>
      <c r="E2367" s="66">
        <f t="shared" ref="E2367" si="4855">plan_id</f>
        <v>1952</v>
      </c>
      <c r="F2367" s="66">
        <f t="shared" ca="1" si="4675"/>
        <v>2021</v>
      </c>
      <c r="G2367" s="66">
        <f t="shared" ref="G2367" ca="1" si="4856">VLOOKUP(INDIRECT(CHAR(39)&amp;$A2367&amp;CHAR(39)&amp;"!r2c"&amp;$C2367,0),variables,2,0)</f>
        <v>10702</v>
      </c>
      <c r="H2367" s="71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66" t="s">
        <v>1045</v>
      </c>
      <c r="B2368" s="66">
        <f t="shared" si="4810"/>
        <v>24</v>
      </c>
      <c r="C2368" s="66">
        <f t="shared" si="4805"/>
        <v>27</v>
      </c>
      <c r="E2368" s="66">
        <f t="shared" ref="E2368" si="4857">plan_id</f>
        <v>1952</v>
      </c>
      <c r="F2368" s="66">
        <f t="shared" ca="1" si="4675"/>
        <v>2021</v>
      </c>
      <c r="G2368" s="66">
        <f t="shared" ref="G2368" ca="1" si="4858">VLOOKUP(INDIRECT(CHAR(39)&amp;$A2368&amp;CHAR(39)&amp;"!r2c"&amp;$C2368,0),variables,2,0)</f>
        <v>10943</v>
      </c>
      <c r="H2368" s="71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Plan 1: 2.50%; Plan 2: 2.25%</v>
      </c>
    </row>
    <row r="2369" spans="1:8" x14ac:dyDescent="0.2">
      <c r="A2369" s="66" t="s">
        <v>1045</v>
      </c>
      <c r="B2369" s="66">
        <f t="shared" si="4810"/>
        <v>24</v>
      </c>
      <c r="C2369" s="66">
        <f t="shared" si="4805"/>
        <v>28</v>
      </c>
      <c r="E2369" s="66">
        <f t="shared" ref="E2369" si="4859">plan_id</f>
        <v>1952</v>
      </c>
      <c r="F2369" s="66">
        <f t="shared" ca="1" si="4675"/>
        <v>2021</v>
      </c>
      <c r="G2369" s="66">
        <f t="shared" ref="G2369" ca="1" si="4860">VLOOKUP(INDIRECT(CHAR(39)&amp;$A2369&amp;CHAR(39)&amp;"!r2c"&amp;$C2369,0),variables,2,0)</f>
        <v>10944</v>
      </c>
      <c r="H2369" s="71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66" t="s">
        <v>1045</v>
      </c>
      <c r="B2370" s="66">
        <f t="shared" si="4810"/>
        <v>24</v>
      </c>
      <c r="C2370" s="66">
        <f t="shared" si="4805"/>
        <v>29</v>
      </c>
      <c r="E2370" s="66">
        <f t="shared" ref="E2370" si="4861">plan_id</f>
        <v>1952</v>
      </c>
      <c r="F2370" s="66">
        <f t="shared" ca="1" si="4675"/>
        <v>2021</v>
      </c>
      <c r="G2370" s="66">
        <f t="shared" ref="G2370" ca="1" si="4862">VLOOKUP(INDIRECT(CHAR(39)&amp;$A2370&amp;CHAR(39)&amp;"!r2c"&amp;$C2370,0),variables,2,0)</f>
        <v>10945</v>
      </c>
      <c r="H2370" s="71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66" t="s">
        <v>1045</v>
      </c>
      <c r="B2371" s="66">
        <f t="shared" si="4810"/>
        <v>24</v>
      </c>
      <c r="C2371" s="66">
        <f t="shared" si="4805"/>
        <v>30</v>
      </c>
      <c r="E2371" s="66">
        <f t="shared" ref="E2371" si="4863">plan_id</f>
        <v>1952</v>
      </c>
      <c r="F2371" s="66">
        <f t="shared" ca="1" si="4675"/>
        <v>2021</v>
      </c>
      <c r="G2371" s="66">
        <f t="shared" ref="G2371" ca="1" si="4864">VLOOKUP(INDIRECT(CHAR(39)&amp;$A2371&amp;CHAR(39)&amp;"!r2c"&amp;$C2371,0),variables,2,0)</f>
        <v>10947</v>
      </c>
      <c r="H2371" s="71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66" t="s">
        <v>1045</v>
      </c>
      <c r="B2372" s="66">
        <f t="shared" si="4810"/>
        <v>24</v>
      </c>
      <c r="C2372" s="66">
        <f t="shared" si="4805"/>
        <v>31</v>
      </c>
      <c r="E2372" s="66">
        <f t="shared" ref="E2372" si="4865">plan_id</f>
        <v>1952</v>
      </c>
      <c r="F2372" s="66">
        <f t="shared" ca="1" si="4675"/>
        <v>2021</v>
      </c>
      <c r="G2372" s="66">
        <f t="shared" ref="G2372" ca="1" si="4866">VLOOKUP(INDIRECT(CHAR(39)&amp;$A2372&amp;CHAR(39)&amp;"!r2c"&amp;$C2372,0),variables,2,0)</f>
        <v>10948</v>
      </c>
      <c r="H2372" s="71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2">
      <c r="A2373" s="66" t="s">
        <v>1045</v>
      </c>
      <c r="B2373" s="66">
        <f t="shared" si="4810"/>
        <v>24</v>
      </c>
      <c r="C2373" s="66">
        <f t="shared" si="4805"/>
        <v>32</v>
      </c>
      <c r="E2373" s="66">
        <f t="shared" ref="E2373" si="4867">plan_id</f>
        <v>1952</v>
      </c>
      <c r="F2373" s="66">
        <f t="shared" ca="1" si="4675"/>
        <v>2021</v>
      </c>
      <c r="G2373" s="66">
        <f t="shared" ref="G2373" ca="1" si="4868">VLOOKUP(INDIRECT(CHAR(39)&amp;$A2373&amp;CHAR(39)&amp;"!r2c"&amp;$C2373,0),variables,2,0)</f>
        <v>10949</v>
      </c>
      <c r="H2373" s="71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Yes</v>
      </c>
    </row>
    <row r="2374" spans="1:8" x14ac:dyDescent="0.2">
      <c r="A2374" s="66" t="s">
        <v>1045</v>
      </c>
      <c r="B2374" s="66">
        <f t="shared" si="4810"/>
        <v>24</v>
      </c>
      <c r="C2374" s="66">
        <f t="shared" si="4805"/>
        <v>33</v>
      </c>
      <c r="E2374" s="66">
        <f t="shared" ref="E2374" si="4869">plan_id</f>
        <v>1952</v>
      </c>
      <c r="F2374" s="66">
        <f t="shared" ca="1" si="4675"/>
        <v>2021</v>
      </c>
      <c r="G2374" s="66">
        <f t="shared" ref="G2374" ca="1" si="4870">VLOOKUP(INDIRECT(CHAR(39)&amp;$A2374&amp;CHAR(39)&amp;"!r2c"&amp;$C2374,0),variables,2,0)</f>
        <v>10951</v>
      </c>
      <c r="H2374" s="71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2">
      <c r="A2375" s="66" t="s">
        <v>1045</v>
      </c>
      <c r="B2375" s="66">
        <f t="shared" si="4810"/>
        <v>24</v>
      </c>
      <c r="C2375" s="66">
        <f t="shared" si="4805"/>
        <v>34</v>
      </c>
      <c r="E2375" s="66">
        <f t="shared" ref="E2375" si="4871">plan_id</f>
        <v>1952</v>
      </c>
      <c r="F2375" s="66">
        <f t="shared" ca="1" si="4675"/>
        <v>2021</v>
      </c>
      <c r="G2375" s="66">
        <f t="shared" ref="G2375" ca="1" si="4872">VLOOKUP(INDIRECT(CHAR(39)&amp;$A2375&amp;CHAR(39)&amp;"!r2c"&amp;$C2375,0),variables,2,0)</f>
        <v>10950</v>
      </c>
      <c r="H2375" s="71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2">
      <c r="A2376" s="66" t="s">
        <v>1045</v>
      </c>
      <c r="B2376" s="66">
        <f t="shared" si="4810"/>
        <v>24</v>
      </c>
      <c r="C2376" s="66">
        <f t="shared" si="4805"/>
        <v>35</v>
      </c>
      <c r="E2376" s="66">
        <f t="shared" ref="E2376" si="4873">plan_id</f>
        <v>1952</v>
      </c>
      <c r="F2376" s="66">
        <f t="shared" ca="1" si="4675"/>
        <v>2021</v>
      </c>
      <c r="G2376" s="66">
        <f t="shared" ref="G2376" ca="1" si="4874">VLOOKUP(INDIRECT(CHAR(39)&amp;$A2376&amp;CHAR(39)&amp;"!r2c"&amp;$C2376,0),variables,2,0)</f>
        <v>10954</v>
      </c>
      <c r="H2376" s="71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66" t="s">
        <v>1045</v>
      </c>
      <c r="B2377" s="66">
        <f t="shared" si="4810"/>
        <v>24</v>
      </c>
      <c r="C2377" s="66">
        <f t="shared" si="4805"/>
        <v>36</v>
      </c>
      <c r="E2377" s="66">
        <f t="shared" ref="E2377" si="4875">plan_id</f>
        <v>1952</v>
      </c>
      <c r="F2377" s="66">
        <f t="shared" ca="1" si="4675"/>
        <v>2021</v>
      </c>
      <c r="G2377" s="66">
        <f t="shared" ref="G2377" ca="1" si="4876">VLOOKUP(INDIRECT(CHAR(39)&amp;$A2377&amp;CHAR(39)&amp;"!r2c"&amp;$C2377,0),variables,2,0)</f>
        <v>10955</v>
      </c>
      <c r="H2377" s="71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6.7500000000000004E-2</v>
      </c>
    </row>
    <row r="2378" spans="1:8" x14ac:dyDescent="0.2">
      <c r="A2378" s="66" t="s">
        <v>1045</v>
      </c>
      <c r="B2378" s="66">
        <f t="shared" si="4810"/>
        <v>24</v>
      </c>
      <c r="C2378" s="66">
        <f t="shared" si="4805"/>
        <v>37</v>
      </c>
      <c r="E2378" s="66">
        <f t="shared" ref="E2378" si="4877">plan_id</f>
        <v>1952</v>
      </c>
      <c r="F2378" s="66">
        <f t="shared" ca="1" si="4675"/>
        <v>2021</v>
      </c>
      <c r="G2378" s="66">
        <f t="shared" ref="G2378" ca="1" si="4878">VLOOKUP(INDIRECT(CHAR(39)&amp;$A2378&amp;CHAR(39)&amp;"!r2c"&amp;$C2378,0),variables,2,0)</f>
        <v>10956</v>
      </c>
      <c r="H2378" s="71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2">
      <c r="A2379" s="66" t="s">
        <v>1045</v>
      </c>
      <c r="B2379" s="66">
        <f t="shared" si="4810"/>
        <v>24</v>
      </c>
      <c r="C2379" s="66">
        <f t="shared" si="4805"/>
        <v>38</v>
      </c>
      <c r="E2379" s="66">
        <f t="shared" ref="E2379" si="4879">plan_id</f>
        <v>1952</v>
      </c>
      <c r="F2379" s="66">
        <f t="shared" ca="1" si="4675"/>
        <v>2021</v>
      </c>
      <c r="G2379" s="66">
        <f t="shared" ref="G2379" ca="1" si="4880">VLOOKUP(INDIRECT(CHAR(39)&amp;$A2379&amp;CHAR(39)&amp;"!r2c"&amp;$C2379,0),variables,2,0)</f>
        <v>10959</v>
      </c>
      <c r="H2379" s="71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SE-3.50% to 5.35% &amp; Teach 3.50% to 5.95%</v>
      </c>
    </row>
    <row r="2380" spans="1:8" x14ac:dyDescent="0.2">
      <c r="A2380" s="66" t="s">
        <v>1045</v>
      </c>
      <c r="B2380" s="66">
        <f t="shared" si="4810"/>
        <v>24</v>
      </c>
      <c r="C2380" s="66">
        <f t="shared" si="4805"/>
        <v>39</v>
      </c>
      <c r="E2380" s="66">
        <f t="shared" ref="E2380" si="4881">plan_id</f>
        <v>1952</v>
      </c>
      <c r="F2380" s="66">
        <f t="shared" ca="1" si="4675"/>
        <v>2021</v>
      </c>
      <c r="G2380" s="66">
        <f t="shared" ref="G2380" ca="1" si="4882">VLOOKUP(INDIRECT(CHAR(39)&amp;$A2380&amp;CHAR(39)&amp;"!r2c"&amp;$C2380,0),variables,2,0)</f>
        <v>10962</v>
      </c>
      <c r="H2380" s="71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72 &amp; 81</v>
      </c>
    </row>
    <row r="2381" spans="1:8" x14ac:dyDescent="0.2">
      <c r="A2381" s="66" t="s">
        <v>1045</v>
      </c>
      <c r="B2381" s="66">
        <f t="shared" si="4810"/>
        <v>24</v>
      </c>
      <c r="C2381" s="66">
        <f t="shared" si="4805"/>
        <v>40</v>
      </c>
      <c r="E2381" s="66">
        <f t="shared" ref="E2381" si="4883">plan_id</f>
        <v>1952</v>
      </c>
      <c r="F2381" s="66">
        <f t="shared" ca="1" si="4675"/>
        <v>2021</v>
      </c>
      <c r="G2381" s="66">
        <f t="shared" ref="G2381" ca="1" si="4884">VLOOKUP(INDIRECT(CHAR(39)&amp;$A2381&amp;CHAR(39)&amp;"!r2c"&amp;$C2381,0),variables,2,0)</f>
        <v>10964</v>
      </c>
      <c r="H2381" s="7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67-70 &amp; 76-79</v>
      </c>
    </row>
    <row r="2382" spans="1:8" x14ac:dyDescent="0.2">
      <c r="A2382" s="66" t="s">
        <v>1045</v>
      </c>
      <c r="B2382" s="66">
        <f t="shared" si="4810"/>
        <v>24</v>
      </c>
      <c r="C2382" s="66">
        <f t="shared" si="4805"/>
        <v>41</v>
      </c>
      <c r="E2382" s="66">
        <f t="shared" ref="E2382" si="4885">plan_id</f>
        <v>1952</v>
      </c>
      <c r="F2382" s="66">
        <f t="shared" ca="1" si="4675"/>
        <v>2021</v>
      </c>
      <c r="G2382" s="66">
        <f t="shared" ref="G2382" ca="1" si="4886">VLOOKUP(INDIRECT(CHAR(39)&amp;$A2382&amp;CHAR(39)&amp;"!r2c"&amp;$C2382,0),variables,2,0)</f>
        <v>10967</v>
      </c>
      <c r="H2382" s="71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Amount Weighted General &amp; Teacher Employee, Healthy Retiree Rates</v>
      </c>
    </row>
    <row r="2383" spans="1:8" x14ac:dyDescent="0.2">
      <c r="A2383" s="66" t="s">
        <v>1045</v>
      </c>
      <c r="B2383" s="66">
        <f t="shared" si="4810"/>
        <v>24</v>
      </c>
      <c r="C2383" s="66">
        <f t="shared" si="4805"/>
        <v>42</v>
      </c>
      <c r="E2383" s="66">
        <f t="shared" ref="E2383" si="4887">plan_id</f>
        <v>1952</v>
      </c>
      <c r="F2383" s="66">
        <f t="shared" ca="1" si="4675"/>
        <v>2021</v>
      </c>
      <c r="G2383" s="66">
        <f t="shared" ref="G2383" ca="1" si="4888">VLOOKUP(INDIRECT(CHAR(39)&amp;$A2383&amp;CHAR(39)&amp;"!r2c"&amp;$C2383,0),variables,2,0)</f>
        <v>10968</v>
      </c>
      <c r="H2383" s="71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2">
      <c r="A2384" s="66" t="s">
        <v>1045</v>
      </c>
      <c r="B2384" s="66">
        <f t="shared" si="4810"/>
        <v>24</v>
      </c>
      <c r="C2384" s="66">
        <f t="shared" si="4805"/>
        <v>43</v>
      </c>
      <c r="E2384" s="66">
        <f t="shared" ref="E2384" si="4889">plan_id</f>
        <v>1952</v>
      </c>
      <c r="F2384" s="66">
        <f t="shared" ca="1" si="4675"/>
        <v>2021</v>
      </c>
      <c r="G2384" s="66">
        <f t="shared" ref="G2384" ca="1" si="4890">VLOOKUP(INDIRECT(CHAR(39)&amp;$A2384&amp;CHAR(39)&amp;"!r2c"&amp;$C2384,0),variables,2,0)</f>
        <v>10969</v>
      </c>
      <c r="H2384" s="71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2">
      <c r="A2385" s="66" t="s">
        <v>1045</v>
      </c>
      <c r="B2385" s="66">
        <f t="shared" si="4810"/>
        <v>24</v>
      </c>
      <c r="C2385" s="66">
        <f t="shared" si="4805"/>
        <v>44</v>
      </c>
      <c r="E2385" s="66">
        <f t="shared" ref="E2385" si="4891">plan_id</f>
        <v>1952</v>
      </c>
      <c r="F2385" s="66">
        <f t="shared" ca="1" si="4675"/>
        <v>2021</v>
      </c>
      <c r="G2385" s="66">
        <f t="shared" ref="G2385" ca="1" si="4892">VLOOKUP(INDIRECT(CHAR(39)&amp;$A2385&amp;CHAR(39)&amp;"!r2c"&amp;$C2385,0),variables,2,0)</f>
        <v>10970</v>
      </c>
      <c r="H2385" s="7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66" t="s">
        <v>1045</v>
      </c>
      <c r="B2386" s="66">
        <f t="shared" si="4810"/>
        <v>24</v>
      </c>
      <c r="C2386" s="66">
        <f t="shared" si="4805"/>
        <v>45</v>
      </c>
      <c r="E2386" s="66">
        <f t="shared" ref="E2386" si="4893">plan_id</f>
        <v>1952</v>
      </c>
      <c r="F2386" s="66">
        <f t="shared" ca="1" si="4675"/>
        <v>2021</v>
      </c>
      <c r="G2386" s="66">
        <f t="shared" ref="G2386" ca="1" si="4894">VLOOKUP(INDIRECT(CHAR(39)&amp;$A2386&amp;CHAR(39)&amp;"!r2c"&amp;$C2386,0),variables,2,0)</f>
        <v>10971</v>
      </c>
      <c r="H2386" s="71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State Pre - Female 2 Years ; Teachers Post - Males 1 Year</v>
      </c>
    </row>
    <row r="2387" spans="1:8" x14ac:dyDescent="0.2">
      <c r="A2387" s="66" t="s">
        <v>1045</v>
      </c>
      <c r="B2387" s="66">
        <f t="shared" si="4810"/>
        <v>24</v>
      </c>
      <c r="C2387" s="66">
        <f t="shared" si="4805"/>
        <v>46</v>
      </c>
      <c r="E2387" s="66">
        <f t="shared" ref="E2387" si="4895">plan_id</f>
        <v>1952</v>
      </c>
      <c r="F2387" s="66">
        <f t="shared" ca="1" si="4675"/>
        <v>2021</v>
      </c>
      <c r="G2387" s="66">
        <f t="shared" ref="G2387" ca="1" si="4896">VLOOKUP(INDIRECT(CHAR(39)&amp;$A2387&amp;CHAR(39)&amp;"!r2c"&amp;$C2387,0),variables,2,0)</f>
        <v>10972</v>
      </c>
      <c r="H2387" s="71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Payroll, Closed</v>
      </c>
    </row>
    <row r="2388" spans="1:8" x14ac:dyDescent="0.2">
      <c r="A2388" s="66" t="s">
        <v>1045</v>
      </c>
      <c r="B2388" s="66">
        <f t="shared" si="4810"/>
        <v>24</v>
      </c>
      <c r="C2388" s="66">
        <f t="shared" si="4805"/>
        <v>47</v>
      </c>
      <c r="E2388" s="66">
        <f t="shared" ref="E2388" si="4897">plan_id</f>
        <v>1952</v>
      </c>
      <c r="F2388" s="66">
        <f t="shared" ca="1" si="4675"/>
        <v>2021</v>
      </c>
      <c r="G2388" s="66">
        <f t="shared" ref="G2388" ca="1" si="4898">VLOOKUP(INDIRECT(CHAR(39)&amp;$A2388&amp;CHAR(39)&amp;"!r2c"&amp;$C2388,0),variables,2,0)</f>
        <v>10973</v>
      </c>
      <c r="H2388" s="71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22 Years</v>
      </c>
    </row>
    <row r="2389" spans="1:8" x14ac:dyDescent="0.2">
      <c r="A2389" s="66" t="s">
        <v>1045</v>
      </c>
      <c r="B2389" s="66">
        <f t="shared" si="4810"/>
        <v>24</v>
      </c>
      <c r="C2389" s="66">
        <f t="shared" si="4805"/>
        <v>48</v>
      </c>
      <c r="E2389" s="66">
        <f t="shared" ref="E2389" si="4899">plan_id</f>
        <v>1952</v>
      </c>
      <c r="F2389" s="66">
        <f t="shared" ca="1" si="4675"/>
        <v>2021</v>
      </c>
      <c r="G2389" s="66">
        <f t="shared" ref="G2389" ca="1" si="4900">VLOOKUP(INDIRECT(CHAR(39)&amp;$A2389&amp;CHAR(39)&amp;"!r2c"&amp;$C2389,0),variables,2,0)</f>
        <v>10975</v>
      </c>
      <c r="H2389" s="71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2">
      <c r="A2390" s="66" t="s">
        <v>1045</v>
      </c>
      <c r="B2390" s="66">
        <f t="shared" si="4810"/>
        <v>24</v>
      </c>
      <c r="C2390" s="66">
        <f t="shared" si="4805"/>
        <v>49</v>
      </c>
      <c r="E2390" s="66">
        <f t="shared" ref="E2390" si="4901">plan_id</f>
        <v>1952</v>
      </c>
      <c r="F2390" s="66">
        <f t="shared" ca="1" si="4675"/>
        <v>2021</v>
      </c>
      <c r="G2390" s="66">
        <f t="shared" ref="G2390" ca="1" si="4902">VLOOKUP(INDIRECT(CHAR(39)&amp;$A2390&amp;CHAR(39)&amp;"!r2c"&amp;$C2390,0),variables,2,0)</f>
        <v>10976</v>
      </c>
      <c r="H2390" s="71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6.7500000000000004E-2</v>
      </c>
    </row>
    <row r="2391" spans="1:8" x14ac:dyDescent="0.2">
      <c r="A2391" s="66" t="s">
        <v>1045</v>
      </c>
      <c r="B2391" s="66">
        <f t="shared" si="4810"/>
        <v>24</v>
      </c>
      <c r="C2391" s="66">
        <f t="shared" si="4805"/>
        <v>50</v>
      </c>
      <c r="E2391" s="66">
        <f t="shared" ref="E2391" si="4903">plan_id</f>
        <v>1952</v>
      </c>
      <c r="F2391" s="66">
        <f t="shared" ca="1" si="4675"/>
        <v>2021</v>
      </c>
      <c r="G2391" s="66">
        <f t="shared" ref="G2391" ca="1" si="4904">VLOOKUP(INDIRECT(CHAR(39)&amp;$A2391&amp;CHAR(39)&amp;"!r2c"&amp;$C2391,0),variables,2,0)</f>
        <v>10977</v>
      </c>
      <c r="H2391" s="71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66" t="s">
        <v>1045</v>
      </c>
      <c r="B2392" s="66">
        <f t="shared" si="4810"/>
        <v>24</v>
      </c>
      <c r="C2392" s="66">
        <f t="shared" si="4805"/>
        <v>51</v>
      </c>
      <c r="E2392" s="66">
        <f t="shared" ref="E2392" si="4905">plan_id</f>
        <v>1952</v>
      </c>
      <c r="F2392" s="66">
        <f t="shared" ca="1" si="4675"/>
        <v>2021</v>
      </c>
      <c r="G2392" s="66">
        <f t="shared" ref="G2392" ca="1" si="4906">VLOOKUP(INDIRECT(CHAR(39)&amp;$A2392&amp;CHAR(39)&amp;"!r2c"&amp;$C2392,0),variables,2,0)</f>
        <v>10978</v>
      </c>
      <c r="H2392" s="71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6.7500000000000004E-2</v>
      </c>
    </row>
    <row r="2393" spans="1:8" x14ac:dyDescent="0.2">
      <c r="A2393" s="66" t="s">
        <v>1045</v>
      </c>
      <c r="B2393" s="66">
        <f t="shared" si="4810"/>
        <v>24</v>
      </c>
      <c r="C2393" s="66">
        <f t="shared" si="4805"/>
        <v>52</v>
      </c>
      <c r="E2393" s="66">
        <f t="shared" ref="E2393" si="4907">plan_id</f>
        <v>1952</v>
      </c>
      <c r="F2393" s="66">
        <f t="shared" ca="1" si="4675"/>
        <v>2021</v>
      </c>
      <c r="G2393" s="66">
        <f t="shared" ref="G2393" ca="1" si="4908">VLOOKUP(INDIRECT(CHAR(39)&amp;$A2393&amp;CHAR(39)&amp;"!r2c"&amp;$C2393,0),variables,2,0)</f>
        <v>10979</v>
      </c>
      <c r="H2393" s="71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2">
      <c r="A2394" s="66" t="s">
        <v>1045</v>
      </c>
      <c r="B2394" s="66">
        <f t="shared" si="4810"/>
        <v>24</v>
      </c>
      <c r="C2394" s="66">
        <f t="shared" si="4805"/>
        <v>53</v>
      </c>
      <c r="E2394" s="66">
        <f t="shared" ref="E2394" si="4909">plan_id</f>
        <v>1952</v>
      </c>
      <c r="F2394" s="66">
        <f t="shared" ca="1" si="4675"/>
        <v>2021</v>
      </c>
      <c r="G2394" s="66">
        <f t="shared" ref="G2394" ca="1" si="4910">VLOOKUP(INDIRECT(CHAR(39)&amp;$A2394&amp;CHAR(39)&amp;"!r2c"&amp;$C2394,0),variables,2,0)</f>
        <v>10980</v>
      </c>
      <c r="H2394" s="71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2">
      <c r="A2395" s="66" t="s">
        <v>1045</v>
      </c>
      <c r="B2395" s="66">
        <f t="shared" si="4810"/>
        <v>24</v>
      </c>
      <c r="C2395" s="66">
        <f t="shared" si="4805"/>
        <v>54</v>
      </c>
      <c r="E2395" s="66">
        <f t="shared" ref="E2395" si="4911">plan_id</f>
        <v>1952</v>
      </c>
      <c r="F2395" s="66">
        <f t="shared" ca="1" si="4675"/>
        <v>2021</v>
      </c>
      <c r="G2395" s="66">
        <f t="shared" ref="G2395" ca="1" si="4912">VLOOKUP(INDIRECT(CHAR(39)&amp;$A2395&amp;CHAR(39)&amp;"!r2c"&amp;$C2395,0),variables,2,0)</f>
        <v>10981</v>
      </c>
      <c r="H2395" s="71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2">
      <c r="A2396" s="66" t="s">
        <v>1045</v>
      </c>
      <c r="B2396" s="66">
        <f t="shared" si="4810"/>
        <v>24</v>
      </c>
      <c r="C2396" s="66">
        <f t="shared" si="4805"/>
        <v>55</v>
      </c>
      <c r="E2396" s="66">
        <f t="shared" ref="E2396" si="4913">plan_id</f>
        <v>1952</v>
      </c>
      <c r="F2396" s="66">
        <f t="shared" ca="1" si="4675"/>
        <v>2021</v>
      </c>
      <c r="G2396" s="66">
        <f t="shared" ref="G2396" ca="1" si="4914">VLOOKUP(INDIRECT(CHAR(39)&amp;$A2396&amp;CHAR(39)&amp;"!r2c"&amp;$C2396,0),variables,2,0)</f>
        <v>10706</v>
      </c>
      <c r="H2396" s="71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5.4423063734404032E-4</v>
      </c>
    </row>
    <row r="2397" spans="1:8" x14ac:dyDescent="0.2">
      <c r="A2397" s="66" t="s">
        <v>1045</v>
      </c>
      <c r="B2397" s="66">
        <f t="shared" si="4810"/>
        <v>24</v>
      </c>
      <c r="C2397" s="66">
        <f t="shared" si="4805"/>
        <v>56</v>
      </c>
      <c r="E2397" s="66">
        <f t="shared" ref="E2397" si="4915">plan_id</f>
        <v>1952</v>
      </c>
      <c r="F2397" s="66">
        <f t="shared" ca="1" si="4675"/>
        <v>2021</v>
      </c>
      <c r="G2397" s="66">
        <f t="shared" ref="G2397" ca="1" si="4916">VLOOKUP(INDIRECT(CHAR(39)&amp;$A2397&amp;CHAR(39)&amp;"!r2c"&amp;$C2397,0),variables,2,0)</f>
        <v>10983</v>
      </c>
      <c r="H2397" s="71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66" t="s">
        <v>1045</v>
      </c>
      <c r="B2398" s="66">
        <f t="shared" si="4810"/>
        <v>24</v>
      </c>
      <c r="C2398" s="66">
        <f t="shared" si="4805"/>
        <v>57</v>
      </c>
      <c r="E2398" s="66">
        <f t="shared" ref="E2398" si="4917">plan_id</f>
        <v>1952</v>
      </c>
      <c r="F2398" s="66">
        <f t="shared" ca="1" si="4675"/>
        <v>2021</v>
      </c>
      <c r="G2398" s="66">
        <f t="shared" ref="G2398" ca="1" si="4918">VLOOKUP(INDIRECT(CHAR(39)&amp;$A2398&amp;CHAR(39)&amp;"!r2c"&amp;$C2398,0),variables,2,0)</f>
        <v>10989</v>
      </c>
      <c r="H2398" s="7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85027965000</v>
      </c>
    </row>
    <row r="2399" spans="1:8" x14ac:dyDescent="0.2">
      <c r="A2399" s="66" t="s">
        <v>1045</v>
      </c>
      <c r="B2399" s="66">
        <f t="shared" si="4810"/>
        <v>24</v>
      </c>
      <c r="C2399" s="66">
        <f t="shared" si="4805"/>
        <v>58</v>
      </c>
      <c r="E2399" s="66">
        <f t="shared" ref="E2399" si="4919">plan_id</f>
        <v>1952</v>
      </c>
      <c r="F2399" s="66">
        <f t="shared" ca="1" si="4675"/>
        <v>2021</v>
      </c>
      <c r="G2399" s="66">
        <f t="shared" ref="G2399" ca="1" si="4920">VLOOKUP(INDIRECT(CHAR(39)&amp;$A2399&amp;CHAR(39)&amp;"!r2c"&amp;$C2399,0),variables,2,0)</f>
        <v>10990</v>
      </c>
      <c r="H2399" s="71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106643382000</v>
      </c>
    </row>
    <row r="2400" spans="1:8" x14ac:dyDescent="0.2">
      <c r="A2400" s="66" t="s">
        <v>1045</v>
      </c>
      <c r="B2400" s="66">
        <f t="shared" si="4810"/>
        <v>24</v>
      </c>
      <c r="C2400" s="66">
        <f t="shared" si="4805"/>
        <v>59</v>
      </c>
      <c r="E2400" s="66">
        <f t="shared" ref="E2400" si="4921">plan_id</f>
        <v>1952</v>
      </c>
      <c r="F2400" s="66">
        <f t="shared" ca="1" si="4675"/>
        <v>2021</v>
      </c>
      <c r="G2400" s="66">
        <f t="shared" ref="G2400" ca="1" si="4922">VLOOKUP(INDIRECT(CHAR(39)&amp;$A2400&amp;CHAR(39)&amp;"!r2c"&amp;$C2400,0),variables,2,0)</f>
        <v>10991</v>
      </c>
      <c r="H2400" s="71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21615417000</v>
      </c>
    </row>
    <row r="2401" spans="1:8" x14ac:dyDescent="0.2">
      <c r="A2401" s="66" t="s">
        <v>1045</v>
      </c>
      <c r="B2401" s="66">
        <f t="shared" si="4810"/>
        <v>24</v>
      </c>
      <c r="C2401" s="66">
        <f t="shared" si="4805"/>
        <v>60</v>
      </c>
      <c r="E2401" s="66">
        <f t="shared" ref="E2401" si="4923">plan_id</f>
        <v>1952</v>
      </c>
      <c r="F2401" s="66">
        <f t="shared" ca="1" si="4675"/>
        <v>2021</v>
      </c>
      <c r="G2401" s="66">
        <f t="shared" ref="G2401" ca="1" si="4924">VLOOKUP(INDIRECT(CHAR(39)&amp;$A2401&amp;CHAR(39)&amp;"!r2c"&amp;$C2401,0),variables,2,0)</f>
        <v>10992</v>
      </c>
      <c r="H2401" s="71" t="str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State Employees: 77.13%; Teachers: 77.21%; Political Subdivisions: 87.19%</v>
      </c>
    </row>
    <row r="2402" spans="1:8" x14ac:dyDescent="0.2">
      <c r="A2402" s="66" t="s">
        <v>1045</v>
      </c>
      <c r="B2402" s="66">
        <f t="shared" si="4810"/>
        <v>24</v>
      </c>
      <c r="C2402" s="66">
        <f t="shared" si="4805"/>
        <v>61</v>
      </c>
      <c r="E2402" s="66">
        <f t="shared" ref="E2402" si="4925">plan_id</f>
        <v>1952</v>
      </c>
      <c r="F2402" s="66">
        <f t="shared" ca="1" si="4675"/>
        <v>2021</v>
      </c>
      <c r="G2402" s="66">
        <f t="shared" ref="G2402" ca="1" si="4926">VLOOKUP(INDIRECT(CHAR(39)&amp;$A2402&amp;CHAR(39)&amp;"!r2c"&amp;$C2402,0),variables,2,0)</f>
        <v>10993</v>
      </c>
      <c r="H2402" s="71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19060681000</v>
      </c>
    </row>
    <row r="2403" spans="1:8" x14ac:dyDescent="0.2">
      <c r="A2403" s="66" t="s">
        <v>1045</v>
      </c>
      <c r="B2403" s="66">
        <f t="shared" si="4810"/>
        <v>24</v>
      </c>
      <c r="C2403" s="66">
        <f t="shared" si="4805"/>
        <v>62</v>
      </c>
      <c r="E2403" s="66">
        <f t="shared" ref="E2403" si="4927">plan_id</f>
        <v>1952</v>
      </c>
      <c r="F2403" s="66">
        <f t="shared" ca="1" si="4675"/>
        <v>2021</v>
      </c>
      <c r="G2403" s="66">
        <f t="shared" ref="G2403" ca="1" si="4928">VLOOKUP(INDIRECT(CHAR(39)&amp;$A2403&amp;CHAR(39)&amp;"!r2c"&amp;$C2403,0),variables,2,0)</f>
        <v>10801</v>
      </c>
      <c r="H2403" s="71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-2902200000</v>
      </c>
    </row>
    <row r="2404" spans="1:8" x14ac:dyDescent="0.2">
      <c r="A2404" s="66" t="s">
        <v>1045</v>
      </c>
      <c r="B2404" s="66">
        <f t="shared" si="4810"/>
        <v>24</v>
      </c>
      <c r="C2404" s="66">
        <f t="shared" si="4805"/>
        <v>63</v>
      </c>
      <c r="E2404" s="66">
        <f t="shared" ref="E2404" si="4929">plan_id</f>
        <v>1952</v>
      </c>
      <c r="F2404" s="66">
        <f t="shared" ca="1" si="4675"/>
        <v>2021</v>
      </c>
      <c r="G2404" s="66">
        <f t="shared" ref="G2404" ca="1" si="4930">VLOOKUP(INDIRECT(CHAR(39)&amp;$A2404&amp;CHAR(39)&amp;"!r2c"&amp;$C2404,0),variables,2,0)</f>
        <v>10802</v>
      </c>
      <c r="H2404" s="71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71700000</v>
      </c>
    </row>
    <row r="2405" spans="1:8" x14ac:dyDescent="0.2">
      <c r="A2405" s="66" t="s">
        <v>1045</v>
      </c>
      <c r="B2405" s="66">
        <f t="shared" si="4810"/>
        <v>24</v>
      </c>
      <c r="C2405" s="66">
        <f t="shared" si="4805"/>
        <v>64</v>
      </c>
      <c r="E2405" s="66">
        <f t="shared" ref="E2405" si="4931">plan_id</f>
        <v>1952</v>
      </c>
      <c r="F2405" s="66">
        <f t="shared" ca="1" si="4675"/>
        <v>2021</v>
      </c>
      <c r="G2405" s="66">
        <f t="shared" ref="G2405" ca="1" si="4932">VLOOKUP(INDIRECT(CHAR(39)&amp;$A2405&amp;CHAR(39)&amp;"!r2c"&amp;$C2405,0),variables,2,0)</f>
        <v>10803</v>
      </c>
      <c r="H2405" s="71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66" t="s">
        <v>1045</v>
      </c>
      <c r="B2406" s="66">
        <f t="shared" si="4810"/>
        <v>24</v>
      </c>
      <c r="C2406" s="66">
        <f t="shared" si="4805"/>
        <v>65</v>
      </c>
      <c r="E2406" s="66">
        <f t="shared" ref="E2406" si="4933">plan_id</f>
        <v>1952</v>
      </c>
      <c r="F2406" s="66">
        <f t="shared" ca="1" si="4675"/>
        <v>2021</v>
      </c>
      <c r="G2406" s="66">
        <f t="shared" ref="G2406" ca="1" si="4934">VLOOKUP(INDIRECT(CHAR(39)&amp;$A2406&amp;CHAR(39)&amp;"!r2c"&amp;$C2406,0),variables,2,0)</f>
        <v>10804</v>
      </c>
      <c r="H2406" s="7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66" t="s">
        <v>1045</v>
      </c>
      <c r="B2407" s="66">
        <f t="shared" si="4810"/>
        <v>24</v>
      </c>
      <c r="C2407" s="66">
        <f t="shared" ref="C2407:C2434" si="4935">C2316</f>
        <v>66</v>
      </c>
      <c r="E2407" s="66">
        <f t="shared" ref="E2407" si="4936">plan_id</f>
        <v>1952</v>
      </c>
      <c r="F2407" s="66">
        <f t="shared" ca="1" si="4675"/>
        <v>2021</v>
      </c>
      <c r="G2407" s="66">
        <f t="shared" ref="G2407" ca="1" si="4937">VLOOKUP(INDIRECT(CHAR(39)&amp;$A2407&amp;CHAR(39)&amp;"!r2c"&amp;$C2407,0),variables,2,0)</f>
        <v>10805</v>
      </c>
      <c r="H2407" s="71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66" t="s">
        <v>1045</v>
      </c>
      <c r="B2408" s="66">
        <f t="shared" si="4810"/>
        <v>24</v>
      </c>
      <c r="C2408" s="66">
        <f t="shared" si="4935"/>
        <v>67</v>
      </c>
      <c r="E2408" s="66">
        <f t="shared" ref="E2408" si="4938">plan_id</f>
        <v>1952</v>
      </c>
      <c r="F2408" s="66">
        <f t="shared" ca="1" si="4675"/>
        <v>2021</v>
      </c>
      <c r="G2408" s="66">
        <f t="shared" ref="G2408" ca="1" si="4939">VLOOKUP(INDIRECT(CHAR(39)&amp;$A2408&amp;CHAR(39)&amp;"!r2c"&amp;$C2408,0),variables,2,0)</f>
        <v>10806</v>
      </c>
      <c r="H2408" s="71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-33800000</v>
      </c>
    </row>
    <row r="2409" spans="1:8" x14ac:dyDescent="0.2">
      <c r="A2409" s="66" t="s">
        <v>1045</v>
      </c>
      <c r="B2409" s="66">
        <f t="shared" ref="B2409:B2434" si="4940">B2408</f>
        <v>24</v>
      </c>
      <c r="C2409" s="66">
        <f t="shared" si="4935"/>
        <v>68</v>
      </c>
      <c r="E2409" s="66">
        <f t="shared" ref="E2409" si="4941">plan_id</f>
        <v>1952</v>
      </c>
      <c r="F2409" s="66">
        <f t="shared" ca="1" si="4675"/>
        <v>2021</v>
      </c>
      <c r="G2409" s="66">
        <f t="shared" ref="G2409" ca="1" si="4942">VLOOKUP(INDIRECT(CHAR(39)&amp;$A2409&amp;CHAR(39)&amp;"!r2c"&amp;$C2409,0),variables,2,0)</f>
        <v>10807</v>
      </c>
      <c r="H2409" s="7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66" t="s">
        <v>1045</v>
      </c>
      <c r="B2410" s="66">
        <f t="shared" si="4940"/>
        <v>24</v>
      </c>
      <c r="C2410" s="66">
        <f t="shared" si="4935"/>
        <v>69</v>
      </c>
      <c r="E2410" s="66">
        <f t="shared" ref="E2410" si="4943">plan_id</f>
        <v>1952</v>
      </c>
      <c r="F2410" s="66">
        <f t="shared" ca="1" si="4675"/>
        <v>2021</v>
      </c>
      <c r="G2410" s="66">
        <f t="shared" ref="G2410" ca="1" si="4944">VLOOKUP(INDIRECT(CHAR(39)&amp;$A2410&amp;CHAR(39)&amp;"!r2c"&amp;$C2410,0),variables,2,0)</f>
        <v>10808</v>
      </c>
      <c r="H2410" s="71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66" t="s">
        <v>1045</v>
      </c>
      <c r="B2411" s="66">
        <f t="shared" si="4940"/>
        <v>24</v>
      </c>
      <c r="C2411" s="66">
        <f t="shared" si="4935"/>
        <v>70</v>
      </c>
      <c r="E2411" s="66">
        <f t="shared" ref="E2411" si="4945">plan_id</f>
        <v>1952</v>
      </c>
      <c r="F2411" s="66">
        <f t="shared" ca="1" si="4675"/>
        <v>2021</v>
      </c>
      <c r="G2411" s="66">
        <f t="shared" ref="G2411" ca="1" si="4946">VLOOKUP(INDIRECT(CHAR(39)&amp;$A2411&amp;CHAR(39)&amp;"!r2c"&amp;$C2411,0),variables,2,0)</f>
        <v>10809</v>
      </c>
      <c r="H2411" s="7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66" t="s">
        <v>1045</v>
      </c>
      <c r="B2412" s="66">
        <f t="shared" si="4940"/>
        <v>24</v>
      </c>
      <c r="C2412" s="66">
        <f t="shared" si="4935"/>
        <v>71</v>
      </c>
      <c r="E2412" s="66">
        <f t="shared" ref="E2412" si="4947">plan_id</f>
        <v>1952</v>
      </c>
      <c r="F2412" s="66">
        <f t="shared" ca="1" si="4675"/>
        <v>2021</v>
      </c>
      <c r="G2412" s="66">
        <f t="shared" ref="G2412" ca="1" si="4948">VLOOKUP(INDIRECT(CHAR(39)&amp;$A2412&amp;CHAR(39)&amp;"!r2c"&amp;$C2412,0),variables,2,0)</f>
        <v>10810</v>
      </c>
      <c r="H2412" s="7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-162900000</v>
      </c>
    </row>
    <row r="2413" spans="1:8" x14ac:dyDescent="0.2">
      <c r="A2413" s="66" t="s">
        <v>1045</v>
      </c>
      <c r="B2413" s="66">
        <f t="shared" si="4940"/>
        <v>24</v>
      </c>
      <c r="C2413" s="66">
        <f t="shared" si="4935"/>
        <v>72</v>
      </c>
      <c r="E2413" s="66">
        <f t="shared" ref="E2413" si="4949">plan_id</f>
        <v>1952</v>
      </c>
      <c r="F2413" s="66">
        <f t="shared" ca="1" si="4675"/>
        <v>2021</v>
      </c>
      <c r="G2413" s="66">
        <f t="shared" ref="G2413" ca="1" si="4950">VLOOKUP(INDIRECT(CHAR(39)&amp;$A2413&amp;CHAR(39)&amp;"!r2c"&amp;$C2413,0),variables,2,0)</f>
        <v>10811</v>
      </c>
      <c r="H2413" s="7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66" t="s">
        <v>1045</v>
      </c>
      <c r="B2414" s="66">
        <f t="shared" si="4940"/>
        <v>24</v>
      </c>
      <c r="C2414" s="66">
        <f t="shared" si="4935"/>
        <v>73</v>
      </c>
      <c r="E2414" s="66">
        <f t="shared" ref="E2414" si="4951">plan_id</f>
        <v>1952</v>
      </c>
      <c r="F2414" s="66">
        <f t="shared" ca="1" si="4675"/>
        <v>2021</v>
      </c>
      <c r="G2414" s="66">
        <f t="shared" ref="G2414" ca="1" si="4952">VLOOKUP(INDIRECT(CHAR(39)&amp;$A2414&amp;CHAR(39)&amp;"!r2c"&amp;$C2414,0),variables,2,0)</f>
        <v>10812</v>
      </c>
      <c r="H2414" s="71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66" t="s">
        <v>1045</v>
      </c>
      <c r="B2415" s="66">
        <f t="shared" si="4940"/>
        <v>24</v>
      </c>
      <c r="C2415" s="66">
        <f t="shared" si="4935"/>
        <v>74</v>
      </c>
      <c r="E2415" s="66">
        <f t="shared" ref="E2415" si="4953">plan_id</f>
        <v>1952</v>
      </c>
      <c r="F2415" s="66">
        <f t="shared" ca="1" si="4675"/>
        <v>2021</v>
      </c>
      <c r="G2415" s="66">
        <f t="shared" ref="G2415" ca="1" si="4954">VLOOKUP(INDIRECT(CHAR(39)&amp;$A2415&amp;CHAR(39)&amp;"!r2c"&amp;$C2415,0),variables,2,0)</f>
        <v>10813</v>
      </c>
      <c r="H2415" s="71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66" t="s">
        <v>1045</v>
      </c>
      <c r="B2416" s="66">
        <f t="shared" si="4940"/>
        <v>24</v>
      </c>
      <c r="C2416" s="66">
        <f t="shared" si="4935"/>
        <v>75</v>
      </c>
      <c r="E2416" s="66">
        <f t="shared" ref="E2416" si="4955">plan_id</f>
        <v>1952</v>
      </c>
      <c r="F2416" s="66">
        <f t="shared" ca="1" si="4675"/>
        <v>2021</v>
      </c>
      <c r="G2416" s="66">
        <f t="shared" ref="G2416" ca="1" si="4956">VLOOKUP(INDIRECT(CHAR(39)&amp;$A2416&amp;CHAR(39)&amp;"!r2c"&amp;$C2416,0),variables,2,0)</f>
        <v>10814</v>
      </c>
      <c r="H2416" s="71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-600000</v>
      </c>
    </row>
    <row r="2417" spans="1:8" x14ac:dyDescent="0.2">
      <c r="A2417" s="66" t="s">
        <v>1045</v>
      </c>
      <c r="B2417" s="66">
        <f t="shared" si="4940"/>
        <v>24</v>
      </c>
      <c r="C2417" s="66">
        <f t="shared" si="4935"/>
        <v>76</v>
      </c>
      <c r="E2417" s="66">
        <f t="shared" ref="E2417" si="4957">plan_id</f>
        <v>1952</v>
      </c>
      <c r="F2417" s="66">
        <f t="shared" ca="1" si="4675"/>
        <v>2021</v>
      </c>
      <c r="G2417" s="66">
        <f t="shared" ref="G2417" ca="1" si="4958">VLOOKUP(INDIRECT(CHAR(39)&amp;$A2417&amp;CHAR(39)&amp;"!r2c"&amp;$C2417,0),variables,2,0)</f>
        <v>10815</v>
      </c>
      <c r="H2417" s="71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50100000</v>
      </c>
    </row>
    <row r="2418" spans="1:8" x14ac:dyDescent="0.2">
      <c r="A2418" s="66" t="s">
        <v>1045</v>
      </c>
      <c r="B2418" s="66">
        <f t="shared" si="4940"/>
        <v>24</v>
      </c>
      <c r="C2418" s="66">
        <f t="shared" si="4935"/>
        <v>77</v>
      </c>
      <c r="E2418" s="66">
        <f t="shared" ref="E2418" si="4959">plan_id</f>
        <v>1952</v>
      </c>
      <c r="F2418" s="66">
        <f t="shared" ca="1" si="4675"/>
        <v>2021</v>
      </c>
      <c r="G2418" s="66">
        <f t="shared" ref="G2418" ca="1" si="4960">VLOOKUP(INDIRECT(CHAR(39)&amp;$A2418&amp;CHAR(39)&amp;"!r2c"&amp;$C2418,0),variables,2,0)</f>
        <v>10816</v>
      </c>
      <c r="H2418" s="71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-95299999.999999985</v>
      </c>
    </row>
    <row r="2419" spans="1:8" x14ac:dyDescent="0.2">
      <c r="A2419" s="66" t="s">
        <v>1045</v>
      </c>
      <c r="B2419" s="66">
        <f t="shared" si="4940"/>
        <v>24</v>
      </c>
      <c r="C2419" s="66">
        <f t="shared" si="4935"/>
        <v>78</v>
      </c>
      <c r="E2419" s="66">
        <f t="shared" ref="E2419" si="4961">plan_id</f>
        <v>1952</v>
      </c>
      <c r="F2419" s="66">
        <f t="shared" ca="1" si="4675"/>
        <v>2021</v>
      </c>
      <c r="G2419" s="66">
        <f t="shared" ref="G2419" ca="1" si="4962">VLOOKUP(INDIRECT(CHAR(39)&amp;$A2419&amp;CHAR(39)&amp;"!r2c"&amp;$C2419,0),variables,2,0)</f>
        <v>10817</v>
      </c>
      <c r="H2419" s="71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66" t="s">
        <v>1045</v>
      </c>
      <c r="B2420" s="66">
        <f t="shared" si="4940"/>
        <v>24</v>
      </c>
      <c r="C2420" s="66">
        <f t="shared" si="4935"/>
        <v>79</v>
      </c>
      <c r="E2420" s="66">
        <f t="shared" ref="E2420" si="4963">plan_id</f>
        <v>1952</v>
      </c>
      <c r="F2420" s="66">
        <f t="shared" ca="1" si="4675"/>
        <v>2021</v>
      </c>
      <c r="G2420" s="66">
        <f t="shared" ref="G2420" ca="1" si="4964">VLOOKUP(INDIRECT(CHAR(39)&amp;$A2420&amp;CHAR(39)&amp;"!r2c"&amp;$C2420,0),variables,2,0)</f>
        <v>10818</v>
      </c>
      <c r="H2420" s="71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186800000</v>
      </c>
    </row>
    <row r="2421" spans="1:8" x14ac:dyDescent="0.2">
      <c r="A2421" s="66" t="s">
        <v>1045</v>
      </c>
      <c r="B2421" s="66">
        <f t="shared" si="4940"/>
        <v>24</v>
      </c>
      <c r="C2421" s="66">
        <f t="shared" si="4935"/>
        <v>80</v>
      </c>
      <c r="E2421" s="66">
        <f t="shared" ref="E2421" si="4965">plan_id</f>
        <v>1952</v>
      </c>
      <c r="F2421" s="66">
        <f t="shared" ca="1" si="4675"/>
        <v>2021</v>
      </c>
      <c r="G2421" s="66">
        <f t="shared" ref="G2421" ca="1" si="4966">VLOOKUP(INDIRECT(CHAR(39)&amp;$A2421&amp;CHAR(39)&amp;"!r2c"&amp;$C2421,0),variables,2,0)</f>
        <v>10819</v>
      </c>
      <c r="H2421" s="71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66" t="s">
        <v>1045</v>
      </c>
      <c r="B2422" s="66">
        <f t="shared" si="4940"/>
        <v>24</v>
      </c>
      <c r="C2422" s="66">
        <f t="shared" si="4935"/>
        <v>81</v>
      </c>
      <c r="E2422" s="66">
        <f t="shared" ref="E2422" si="4967">plan_id</f>
        <v>1952</v>
      </c>
      <c r="F2422" s="66">
        <f t="shared" ca="1" si="4675"/>
        <v>2021</v>
      </c>
      <c r="G2422" s="66">
        <f t="shared" ref="G2422" ca="1" si="4968">VLOOKUP(INDIRECT(CHAR(39)&amp;$A2422&amp;CHAR(39)&amp;"!r2c"&amp;$C2422,0),variables,2,0)</f>
        <v>10820</v>
      </c>
      <c r="H2422" s="71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75000000</v>
      </c>
    </row>
    <row r="2423" spans="1:8" x14ac:dyDescent="0.2">
      <c r="A2423" s="66" t="s">
        <v>1045</v>
      </c>
      <c r="B2423" s="66">
        <f t="shared" si="4940"/>
        <v>24</v>
      </c>
      <c r="C2423" s="66">
        <f t="shared" si="4935"/>
        <v>82</v>
      </c>
      <c r="E2423" s="66">
        <f t="shared" ref="E2423" si="4969">plan_id</f>
        <v>1952</v>
      </c>
      <c r="F2423" s="66">
        <f t="shared" ca="1" si="4675"/>
        <v>2021</v>
      </c>
      <c r="G2423" s="66">
        <f t="shared" ref="G2423" ca="1" si="4970">VLOOKUP(INDIRECT(CHAR(39)&amp;$A2423&amp;CHAR(39)&amp;"!r2c"&amp;$C2423,0),variables,2,0)</f>
        <v>10821</v>
      </c>
      <c r="H2423" s="71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66" t="s">
        <v>1045</v>
      </c>
      <c r="B2424" s="66">
        <f t="shared" si="4940"/>
        <v>24</v>
      </c>
      <c r="C2424" s="66">
        <f t="shared" si="4935"/>
        <v>83</v>
      </c>
      <c r="E2424" s="66">
        <f t="shared" ref="E2424" si="4971">plan_id</f>
        <v>1952</v>
      </c>
      <c r="F2424" s="66">
        <f t="shared" ca="1" si="4675"/>
        <v>2021</v>
      </c>
      <c r="G2424" s="66">
        <f t="shared" ref="G2424" ca="1" si="4972">VLOOKUP(INDIRECT(CHAR(39)&amp;$A2424&amp;CHAR(39)&amp;"!r2c"&amp;$C2424,0),variables,2,0)</f>
        <v>10822</v>
      </c>
      <c r="H2424" s="71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66" t="s">
        <v>1045</v>
      </c>
      <c r="B2425" s="66">
        <f t="shared" si="4940"/>
        <v>24</v>
      </c>
      <c r="C2425" s="66">
        <f t="shared" si="4935"/>
        <v>84</v>
      </c>
      <c r="E2425" s="66">
        <f t="shared" ref="E2425" si="4973">plan_id</f>
        <v>1952</v>
      </c>
      <c r="F2425" s="66">
        <f t="shared" ca="1" si="4675"/>
        <v>2021</v>
      </c>
      <c r="G2425" s="66">
        <f t="shared" ref="G2425" ca="1" si="4974">VLOOKUP(INDIRECT(CHAR(39)&amp;$A2425&amp;CHAR(39)&amp;"!r2c"&amp;$C2425,0),variables,2,0)</f>
        <v>10829</v>
      </c>
      <c r="H2425" s="7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1842478000</v>
      </c>
    </row>
    <row r="2426" spans="1:8" x14ac:dyDescent="0.2">
      <c r="A2426" s="66" t="s">
        <v>1045</v>
      </c>
      <c r="B2426" s="66">
        <f t="shared" si="4940"/>
        <v>24</v>
      </c>
      <c r="C2426" s="66">
        <f t="shared" si="4935"/>
        <v>85</v>
      </c>
      <c r="E2426" s="66">
        <f t="shared" ref="E2426" si="4975">plan_id</f>
        <v>1952</v>
      </c>
      <c r="F2426" s="66">
        <f t="shared" ca="1" si="4675"/>
        <v>2021</v>
      </c>
      <c r="G2426" s="66">
        <f t="shared" ref="G2426" ca="1" si="4976">VLOOKUP(INDIRECT(CHAR(39)&amp;$A2426&amp;CHAR(39)&amp;"!r2c"&amp;$C2426,0),variables,2,0)</f>
        <v>10823</v>
      </c>
      <c r="H2426" s="71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-1518117000</v>
      </c>
    </row>
    <row r="2427" spans="1:8" x14ac:dyDescent="0.2">
      <c r="A2427" s="66" t="s">
        <v>1045</v>
      </c>
      <c r="B2427" s="66">
        <f t="shared" si="4940"/>
        <v>24</v>
      </c>
      <c r="C2427" s="66">
        <f t="shared" si="4935"/>
        <v>86</v>
      </c>
      <c r="E2427" s="66">
        <f t="shared" ref="E2427" si="4977">plan_id</f>
        <v>1952</v>
      </c>
      <c r="F2427" s="66">
        <f t="shared" ca="1" si="4675"/>
        <v>2021</v>
      </c>
      <c r="G2427" s="66">
        <f t="shared" ref="G2427" ca="1" si="4978">VLOOKUP(INDIRECT(CHAR(39)&amp;$A2427&amp;CHAR(39)&amp;"!r2c"&amp;$C2427,0),variables,2,0)</f>
        <v>10798</v>
      </c>
      <c r="H2427" s="71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-145200000</v>
      </c>
    </row>
    <row r="2428" spans="1:8" x14ac:dyDescent="0.2">
      <c r="A2428" s="66" t="s">
        <v>1045</v>
      </c>
      <c r="B2428" s="66">
        <f t="shared" si="4940"/>
        <v>24</v>
      </c>
      <c r="C2428" s="66">
        <f t="shared" si="4935"/>
        <v>87</v>
      </c>
      <c r="E2428" s="66">
        <f t="shared" ref="E2428" si="4979">plan_id</f>
        <v>1952</v>
      </c>
      <c r="F2428" s="66">
        <f t="shared" ca="1" si="4675"/>
        <v>2021</v>
      </c>
      <c r="G2428" s="66">
        <f t="shared" ref="G2428" ca="1" si="4980">VLOOKUP(INDIRECT(CHAR(39)&amp;$A2428&amp;CHAR(39)&amp;"!r2c"&amp;$C2428,0),variables,2,0)</f>
        <v>10799</v>
      </c>
      <c r="H2428" s="71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-698100000.00000012</v>
      </c>
    </row>
    <row r="2429" spans="1:8" x14ac:dyDescent="0.2">
      <c r="A2429" s="66" t="s">
        <v>1045</v>
      </c>
      <c r="B2429" s="66">
        <f t="shared" si="4940"/>
        <v>24</v>
      </c>
      <c r="C2429" s="66">
        <f t="shared" si="4935"/>
        <v>88</v>
      </c>
      <c r="E2429" s="66">
        <f t="shared" ref="E2429" si="4981">plan_id</f>
        <v>1952</v>
      </c>
      <c r="F2429" s="66">
        <f t="shared" ca="1" si="4675"/>
        <v>2021</v>
      </c>
      <c r="G2429" s="66">
        <f t="shared" ref="G2429" ca="1" si="4982">VLOOKUP(INDIRECT(CHAR(39)&amp;$A2429&amp;CHAR(39)&amp;"!r2c"&amp;$C2429,0),variables,2,0)</f>
        <v>10800</v>
      </c>
      <c r="H2429" s="71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66" t="s">
        <v>1045</v>
      </c>
      <c r="B2430" s="66">
        <f t="shared" si="4940"/>
        <v>24</v>
      </c>
      <c r="C2430" s="66">
        <f t="shared" si="4935"/>
        <v>89</v>
      </c>
      <c r="E2430" s="66">
        <f t="shared" ref="E2430" si="4983">plan_id</f>
        <v>1952</v>
      </c>
      <c r="F2430" s="66">
        <f t="shared" ca="1" si="4675"/>
        <v>2021</v>
      </c>
      <c r="G2430" s="66">
        <f t="shared" ref="G2430" ca="1" si="4984">VLOOKUP(INDIRECT(CHAR(39)&amp;$A2430&amp;CHAR(39)&amp;"!r2c"&amp;$C2430,0),variables,2,0)</f>
        <v>10824</v>
      </c>
      <c r="H2430" s="71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66" t="s">
        <v>1045</v>
      </c>
      <c r="B2431" s="66">
        <f t="shared" si="4940"/>
        <v>24</v>
      </c>
      <c r="C2431" s="66">
        <f t="shared" si="4935"/>
        <v>90</v>
      </c>
      <c r="E2431" s="66">
        <f t="shared" ref="E2431" si="4985">plan_id</f>
        <v>1952</v>
      </c>
      <c r="F2431" s="66">
        <f t="shared" ca="1" si="4675"/>
        <v>2021</v>
      </c>
      <c r="G2431" s="66">
        <f t="shared" ref="G2431" ca="1" si="4986">VLOOKUP(INDIRECT(CHAR(39)&amp;$A2431&amp;CHAR(39)&amp;"!r2c"&amp;$C2431,0),variables,2,0)</f>
        <v>10825</v>
      </c>
      <c r="H2431" s="71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2226900000</v>
      </c>
    </row>
    <row r="2432" spans="1:8" x14ac:dyDescent="0.2">
      <c r="A2432" s="66" t="s">
        <v>1045</v>
      </c>
      <c r="B2432" s="66">
        <f t="shared" si="4940"/>
        <v>24</v>
      </c>
      <c r="C2432" s="66">
        <f t="shared" si="4935"/>
        <v>91</v>
      </c>
      <c r="E2432" s="66">
        <f t="shared" ref="E2432" si="4987">plan_id</f>
        <v>1952</v>
      </c>
      <c r="F2432" s="66">
        <f t="shared" ca="1" si="4675"/>
        <v>2021</v>
      </c>
      <c r="G2432" s="66">
        <f t="shared" ref="G2432" ca="1" si="4988">VLOOKUP(INDIRECT(CHAR(39)&amp;$A2432&amp;CHAR(39)&amp;"!r2c"&amp;$C2432,0),variables,2,0)</f>
        <v>10826</v>
      </c>
      <c r="H2432" s="71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1567733000</v>
      </c>
    </row>
    <row r="2433" spans="1:8" x14ac:dyDescent="0.2">
      <c r="A2433" s="66" t="s">
        <v>1045</v>
      </c>
      <c r="B2433" s="66">
        <f t="shared" si="4940"/>
        <v>24</v>
      </c>
      <c r="C2433" s="66">
        <f t="shared" si="4935"/>
        <v>92</v>
      </c>
      <c r="E2433" s="66">
        <f t="shared" ref="E2433" si="4989">plan_id</f>
        <v>1952</v>
      </c>
      <c r="F2433" s="66">
        <f t="shared" ca="1" si="4675"/>
        <v>2021</v>
      </c>
      <c r="G2433" s="66">
        <f t="shared" ref="G2433" ca="1" si="4990">VLOOKUP(INDIRECT(CHAR(39)&amp;$A2433&amp;CHAR(39)&amp;"!r2c"&amp;$C2433,0),variables,2,0)</f>
        <v>10828</v>
      </c>
      <c r="H2433" s="7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66" t="s">
        <v>1045</v>
      </c>
      <c r="B2434" s="66">
        <f t="shared" si="4940"/>
        <v>24</v>
      </c>
      <c r="C2434" s="66">
        <f t="shared" si="4935"/>
        <v>93</v>
      </c>
      <c r="E2434" s="66">
        <f t="shared" ref="E2434" si="4991">plan_id</f>
        <v>1952</v>
      </c>
      <c r="F2434" s="66">
        <f t="shared" ca="1" si="4675"/>
        <v>2021</v>
      </c>
      <c r="G2434" s="66">
        <f t="shared" ref="G2434" ca="1" si="4992">VLOOKUP(INDIRECT(CHAR(39)&amp;$A2434&amp;CHAR(39)&amp;"!r2c"&amp;$C2434,0),variables,2,0)</f>
        <v>10827</v>
      </c>
      <c r="H2434" s="71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-173400000</v>
      </c>
    </row>
    <row r="2435" spans="1:8" x14ac:dyDescent="0.2">
      <c r="A2435" s="66" t="s">
        <v>1244</v>
      </c>
      <c r="B2435" s="66">
        <v>3</v>
      </c>
      <c r="C2435" s="66">
        <v>3</v>
      </c>
      <c r="E2435" s="66">
        <f t="shared" ref="E2435" si="4993">plan_id</f>
        <v>1952</v>
      </c>
      <c r="F2435" s="66">
        <f t="shared" ca="1" si="4675"/>
        <v>2001</v>
      </c>
      <c r="G2435" s="66">
        <f t="shared" ref="G2435" ca="1" si="4994">VLOOKUP(INDIRECT(CHAR(39)&amp;$A2435&amp;CHAR(39)&amp;"!r2c"&amp;$C2435,0),variables,2,0)</f>
        <v>10982</v>
      </c>
      <c r="H2435" s="7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2">
      <c r="A2436" s="66" t="s">
        <v>1244</v>
      </c>
      <c r="B2436" s="66">
        <f>B2435</f>
        <v>3</v>
      </c>
      <c r="C2436" s="66">
        <f>C2435+1</f>
        <v>4</v>
      </c>
      <c r="E2436" s="66">
        <f t="shared" ref="E2436" si="4995">plan_id</f>
        <v>1952</v>
      </c>
      <c r="F2436" s="66">
        <f t="shared" ca="1" si="4675"/>
        <v>2001</v>
      </c>
      <c r="G2436" s="66">
        <f t="shared" ref="G2436" ca="1" si="4996">VLOOKUP(INDIRECT(CHAR(39)&amp;$A2436&amp;CHAR(39)&amp;"!r2c"&amp;$C2436,0),variables,2,0)</f>
        <v>10984</v>
      </c>
      <c r="H2436" s="7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630458000</v>
      </c>
    </row>
    <row r="2437" spans="1:8" x14ac:dyDescent="0.2">
      <c r="A2437" s="66" t="s">
        <v>1244</v>
      </c>
      <c r="B2437" s="66">
        <f t="shared" ref="B2437:B2461" si="4997">B2436</f>
        <v>3</v>
      </c>
      <c r="C2437" s="66">
        <f t="shared" ref="C2437:C2461" si="4998">C2436+1</f>
        <v>5</v>
      </c>
      <c r="E2437" s="66">
        <f t="shared" ref="E2437" si="4999">plan_id</f>
        <v>1952</v>
      </c>
      <c r="F2437" s="66">
        <f t="shared" ca="1" si="4675"/>
        <v>2001</v>
      </c>
      <c r="G2437" s="66">
        <f t="shared" ref="G2437" ca="1" si="5000">VLOOKUP(INDIRECT(CHAR(39)&amp;$A2437&amp;CHAR(39)&amp;"!r2c"&amp;$C2437,0),variables,2,0)</f>
        <v>10985</v>
      </c>
      <c r="H2437" s="71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630394954.19999993</v>
      </c>
    </row>
    <row r="2438" spans="1:8" x14ac:dyDescent="0.2">
      <c r="A2438" s="66" t="s">
        <v>1244</v>
      </c>
      <c r="B2438" s="66">
        <f t="shared" si="4997"/>
        <v>3</v>
      </c>
      <c r="C2438" s="66">
        <f t="shared" si="4998"/>
        <v>6</v>
      </c>
      <c r="E2438" s="66">
        <f t="shared" ref="E2438" si="5001">plan_id</f>
        <v>1952</v>
      </c>
      <c r="F2438" s="66">
        <f t="shared" ca="1" si="4675"/>
        <v>2001</v>
      </c>
      <c r="G2438" s="66">
        <f t="shared" ref="G2438" ca="1" si="5002">VLOOKUP(INDIRECT(CHAR(39)&amp;$A2438&amp;CHAR(39)&amp;"!r2c"&amp;$C2438,0),variables,2,0)</f>
        <v>10986</v>
      </c>
      <c r="H2438" s="7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63045.800000071526</v>
      </c>
    </row>
    <row r="2439" spans="1:8" x14ac:dyDescent="0.2">
      <c r="A2439" s="66" t="s">
        <v>1244</v>
      </c>
      <c r="B2439" s="66">
        <f t="shared" si="4997"/>
        <v>3</v>
      </c>
      <c r="C2439" s="66">
        <f t="shared" si="4998"/>
        <v>7</v>
      </c>
      <c r="E2439" s="66">
        <f t="shared" ref="E2439" si="5003">plan_id</f>
        <v>1952</v>
      </c>
      <c r="F2439" s="66">
        <f t="shared" ca="1" si="4675"/>
        <v>2001</v>
      </c>
      <c r="G2439" s="66">
        <f t="shared" ref="G2439" ca="1" si="5004">VLOOKUP(INDIRECT(CHAR(39)&amp;$A2439&amp;CHAR(39)&amp;"!r2c"&amp;$C2439,0),variables,2,0)</f>
        <v>10974</v>
      </c>
      <c r="H2439" s="71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2">
      <c r="A2440" s="66" t="s">
        <v>1244</v>
      </c>
      <c r="B2440" s="66">
        <f t="shared" si="4997"/>
        <v>3</v>
      </c>
      <c r="C2440" s="66">
        <f t="shared" si="4998"/>
        <v>8</v>
      </c>
      <c r="E2440" s="66">
        <f t="shared" ref="E2440" si="5005">plan_id</f>
        <v>1952</v>
      </c>
      <c r="F2440" s="66">
        <f t="shared" ca="1" si="4675"/>
        <v>2001</v>
      </c>
      <c r="G2440" s="66">
        <f t="shared" ref="G2440" ca="1" si="5006">VLOOKUP(INDIRECT(CHAR(39)&amp;$A2440&amp;CHAR(39)&amp;"!r2c"&amp;$C2440,0),variables,2,0)</f>
        <v>10987</v>
      </c>
      <c r="H2440" s="7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0.9998999999999999</v>
      </c>
    </row>
    <row r="2441" spans="1:8" x14ac:dyDescent="0.2">
      <c r="A2441" s="66" t="s">
        <v>1244</v>
      </c>
      <c r="B2441" s="66">
        <f t="shared" si="4997"/>
        <v>3</v>
      </c>
      <c r="C2441" s="66">
        <f t="shared" si="4998"/>
        <v>9</v>
      </c>
      <c r="E2441" s="66">
        <f t="shared" ref="E2441" si="5007">plan_id</f>
        <v>1952</v>
      </c>
      <c r="F2441" s="66">
        <f t="shared" ca="1" si="4675"/>
        <v>2001</v>
      </c>
      <c r="G2441" s="66">
        <f t="shared" ref="G2441" ca="1" si="5008">VLOOKUP(INDIRECT(CHAR(39)&amp;$A2441&amp;CHAR(39)&amp;"!r2c"&amp;$C2441,0),variables,2,0)</f>
        <v>10885</v>
      </c>
      <c r="H2441" s="71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66" t="s">
        <v>1244</v>
      </c>
      <c r="B2442" s="66">
        <f t="shared" si="4997"/>
        <v>3</v>
      </c>
      <c r="C2442" s="66">
        <f t="shared" si="4998"/>
        <v>10</v>
      </c>
      <c r="E2442" s="66">
        <f t="shared" ref="E2442" si="5009">plan_id</f>
        <v>1952</v>
      </c>
      <c r="F2442" s="66">
        <f t="shared" ca="1" si="4675"/>
        <v>2001</v>
      </c>
      <c r="G2442" s="66">
        <f t="shared" ref="G2442" ca="1" si="5010">VLOOKUP(INDIRECT(CHAR(39)&amp;$A2442&amp;CHAR(39)&amp;"!r2c"&amp;$C2442,0),variables,2,0)</f>
        <v>10886</v>
      </c>
      <c r="H2442" s="71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66" t="s">
        <v>1244</v>
      </c>
      <c r="B2443" s="66">
        <f t="shared" si="4997"/>
        <v>3</v>
      </c>
      <c r="C2443" s="66">
        <f t="shared" si="4998"/>
        <v>11</v>
      </c>
      <c r="E2443" s="66">
        <f t="shared" ref="E2443" si="5011">plan_id</f>
        <v>1952</v>
      </c>
      <c r="F2443" s="66">
        <f t="shared" ca="1" si="4675"/>
        <v>2001</v>
      </c>
      <c r="G2443" s="66">
        <f t="shared" ref="G2443" ca="1" si="5012">VLOOKUP(INDIRECT(CHAR(39)&amp;$A2443&amp;CHAR(39)&amp;"!r2c"&amp;$C2443,0),variables,2,0)</f>
        <v>10887</v>
      </c>
      <c r="H2443" s="71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66" t="s">
        <v>1244</v>
      </c>
      <c r="B2444" s="66">
        <f t="shared" si="4997"/>
        <v>3</v>
      </c>
      <c r="C2444" s="66">
        <f t="shared" si="4998"/>
        <v>12</v>
      </c>
      <c r="E2444" s="66">
        <f t="shared" ref="E2444" si="5013">plan_id</f>
        <v>1952</v>
      </c>
      <c r="F2444" s="66">
        <f t="shared" ca="1" si="4675"/>
        <v>2001</v>
      </c>
      <c r="G2444" s="66">
        <f t="shared" ref="G2444" ca="1" si="5014">VLOOKUP(INDIRECT(CHAR(39)&amp;$A2444&amp;CHAR(39)&amp;"!r2c"&amp;$C2444,0),variables,2,0)</f>
        <v>10883</v>
      </c>
      <c r="H2444" s="71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66" t="s">
        <v>1244</v>
      </c>
      <c r="B2445" s="66">
        <f t="shared" si="4997"/>
        <v>3</v>
      </c>
      <c r="C2445" s="66">
        <f t="shared" si="4998"/>
        <v>13</v>
      </c>
      <c r="E2445" s="66">
        <f t="shared" ref="E2445" si="5015">plan_id</f>
        <v>1952</v>
      </c>
      <c r="F2445" s="66">
        <f t="shared" ca="1" si="4675"/>
        <v>2001</v>
      </c>
      <c r="G2445" s="66">
        <f t="shared" ref="G2445" ca="1" si="5016">VLOOKUP(INDIRECT(CHAR(39)&amp;$A2445&amp;CHAR(39)&amp;"!r2c"&amp;$C2445,0),variables,2,0)</f>
        <v>10989</v>
      </c>
      <c r="H2445" s="71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34374000000</v>
      </c>
    </row>
    <row r="2446" spans="1:8" x14ac:dyDescent="0.2">
      <c r="A2446" s="66" t="s">
        <v>1244</v>
      </c>
      <c r="B2446" s="66">
        <f t="shared" si="4997"/>
        <v>3</v>
      </c>
      <c r="C2446" s="66">
        <f t="shared" si="4998"/>
        <v>14</v>
      </c>
      <c r="E2446" s="66">
        <f t="shared" ref="E2446" si="5017">plan_id</f>
        <v>1952</v>
      </c>
      <c r="F2446" s="66">
        <f t="shared" ca="1" si="4675"/>
        <v>2001</v>
      </c>
      <c r="G2446" s="66">
        <f t="shared" ref="G2446" ca="1" si="5018">VLOOKUP(INDIRECT(CHAR(39)&amp;$A2446&amp;CHAR(39)&amp;"!r2c"&amp;$C2446,0),variables,2,0)</f>
        <v>10990</v>
      </c>
      <c r="H2446" s="71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32637000000</v>
      </c>
    </row>
    <row r="2447" spans="1:8" x14ac:dyDescent="0.2">
      <c r="A2447" s="66" t="s">
        <v>1244</v>
      </c>
      <c r="B2447" s="66">
        <f t="shared" si="4997"/>
        <v>3</v>
      </c>
      <c r="C2447" s="66">
        <f t="shared" si="4998"/>
        <v>15</v>
      </c>
      <c r="E2447" s="66">
        <f t="shared" ref="E2447" si="5019">plan_id</f>
        <v>1952</v>
      </c>
      <c r="F2447" s="66">
        <f t="shared" ca="1" si="4675"/>
        <v>2001</v>
      </c>
      <c r="G2447" s="66">
        <f t="shared" ref="G2447" ca="1" si="5020">VLOOKUP(INDIRECT(CHAR(39)&amp;$A2447&amp;CHAR(39)&amp;"!r2c"&amp;$C2447,0),variables,2,0)</f>
        <v>10991</v>
      </c>
      <c r="H2447" s="71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-1737000000</v>
      </c>
    </row>
    <row r="2448" spans="1:8" x14ac:dyDescent="0.2">
      <c r="A2448" s="66" t="s">
        <v>1244</v>
      </c>
      <c r="B2448" s="66">
        <f t="shared" si="4997"/>
        <v>3</v>
      </c>
      <c r="C2448" s="66">
        <f t="shared" si="4998"/>
        <v>16</v>
      </c>
      <c r="E2448" s="66">
        <f t="shared" ref="E2448" si="5021">plan_id</f>
        <v>1952</v>
      </c>
      <c r="F2448" s="66">
        <f t="shared" ca="1" si="4675"/>
        <v>2001</v>
      </c>
      <c r="G2448" s="66">
        <f t="shared" ref="G2448" ca="1" si="5022">VLOOKUP(INDIRECT(CHAR(39)&amp;$A2448&amp;CHAR(39)&amp;"!r2c"&amp;$C2448,0),variables,2,0)</f>
        <v>10992</v>
      </c>
      <c r="H2448" s="71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1.0529999999999999</v>
      </c>
    </row>
    <row r="2449" spans="1:8" x14ac:dyDescent="0.2">
      <c r="A2449" s="66" t="s">
        <v>1244</v>
      </c>
      <c r="B2449" s="66">
        <f t="shared" si="4997"/>
        <v>3</v>
      </c>
      <c r="C2449" s="66">
        <f t="shared" si="4998"/>
        <v>17</v>
      </c>
      <c r="E2449" s="66">
        <f t="shared" ref="E2449" si="5023">plan_id</f>
        <v>1952</v>
      </c>
      <c r="F2449" s="66">
        <f t="shared" ca="1" si="4675"/>
        <v>2001</v>
      </c>
      <c r="G2449" s="66">
        <f t="shared" ref="G2449" ca="1" si="5024">VLOOKUP(INDIRECT(CHAR(39)&amp;$A2449&amp;CHAR(39)&amp;"!r2c"&amp;$C2449,0),variables,2,0)</f>
        <v>10993</v>
      </c>
      <c r="H2449" s="71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9529000000</v>
      </c>
    </row>
    <row r="2450" spans="1:8" x14ac:dyDescent="0.2">
      <c r="A2450" s="66" t="s">
        <v>1244</v>
      </c>
      <c r="B2450" s="66">
        <f t="shared" si="4997"/>
        <v>3</v>
      </c>
      <c r="C2450" s="66">
        <f t="shared" si="4998"/>
        <v>18</v>
      </c>
      <c r="E2450" s="66">
        <f t="shared" ref="E2450" si="5025">plan_id</f>
        <v>1952</v>
      </c>
      <c r="F2450" s="66">
        <f t="shared" ca="1" si="4675"/>
        <v>2001</v>
      </c>
      <c r="G2450" s="66">
        <f t="shared" ref="G2450" ca="1" si="5026">VLOOKUP(INDIRECT(CHAR(39)&amp;$A2450&amp;CHAR(39)&amp;"!r2c"&amp;$C2450,0),variables,2,0)</f>
        <v>11005</v>
      </c>
      <c r="H2450" s="71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66" t="s">
        <v>1244</v>
      </c>
      <c r="B2451" s="66">
        <f t="shared" si="4997"/>
        <v>3</v>
      </c>
      <c r="C2451" s="66">
        <f t="shared" si="4998"/>
        <v>19</v>
      </c>
      <c r="E2451" s="66">
        <f t="shared" ref="E2451" si="5027">plan_id</f>
        <v>1952</v>
      </c>
      <c r="F2451" s="66">
        <f t="shared" ca="1" si="4675"/>
        <v>2001</v>
      </c>
      <c r="G2451" s="66">
        <f t="shared" ref="G2451" ca="1" si="5028">VLOOKUP(INDIRECT(CHAR(39)&amp;$A2451&amp;CHAR(39)&amp;"!r2c"&amp;$C2451,0),variables,2,0)</f>
        <v>10988</v>
      </c>
      <c r="H2451" s="71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6.6162031692727469E-2</v>
      </c>
    </row>
    <row r="2452" spans="1:8" x14ac:dyDescent="0.2">
      <c r="A2452" s="66" t="s">
        <v>1244</v>
      </c>
      <c r="B2452" s="66">
        <f t="shared" si="4997"/>
        <v>3</v>
      </c>
      <c r="C2452" s="66">
        <f t="shared" si="4998"/>
        <v>20</v>
      </c>
      <c r="E2452" s="66">
        <f t="shared" ref="E2452" si="5029">plan_id</f>
        <v>1952</v>
      </c>
      <c r="F2452" s="66">
        <f t="shared" ca="1" si="4675"/>
        <v>2001</v>
      </c>
      <c r="G2452" s="66">
        <f t="shared" ref="G2452" ca="1" si="5030">VLOOKUP(INDIRECT(CHAR(39)&amp;$A2452&amp;CHAR(39)&amp;"!r2c"&amp;$C2452,0),variables,2,0)</f>
        <v>10996</v>
      </c>
      <c r="H2452" s="7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35619620000</v>
      </c>
    </row>
    <row r="2453" spans="1:8" x14ac:dyDescent="0.2">
      <c r="A2453" s="66" t="s">
        <v>1244</v>
      </c>
      <c r="B2453" s="66">
        <f t="shared" si="4997"/>
        <v>3</v>
      </c>
      <c r="C2453" s="66">
        <f t="shared" si="4998"/>
        <v>21</v>
      </c>
      <c r="E2453" s="66">
        <f t="shared" ref="E2453" si="5031">plan_id</f>
        <v>1952</v>
      </c>
      <c r="F2453" s="66">
        <f t="shared" ca="1" si="4675"/>
        <v>2001</v>
      </c>
      <c r="G2453" s="66">
        <f t="shared" ref="G2453" ca="1" si="5032">VLOOKUP(INDIRECT(CHAR(39)&amp;$A2453&amp;CHAR(39)&amp;"!r2c"&amp;$C2453,0),variables,2,0)</f>
        <v>10997</v>
      </c>
      <c r="H2453" s="71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1.091387688819438</v>
      </c>
    </row>
    <row r="2454" spans="1:8" x14ac:dyDescent="0.2">
      <c r="A2454" s="66" t="s">
        <v>1244</v>
      </c>
      <c r="B2454" s="66">
        <f t="shared" si="4997"/>
        <v>3</v>
      </c>
      <c r="C2454" s="66">
        <f t="shared" si="4998"/>
        <v>22</v>
      </c>
      <c r="E2454" s="66">
        <f t="shared" ref="E2454" si="5033">plan_id</f>
        <v>1952</v>
      </c>
      <c r="F2454" s="66">
        <f t="shared" ca="1" si="4675"/>
        <v>2001</v>
      </c>
      <c r="G2454" s="66">
        <f t="shared" ref="G2454" ca="1" si="5034">VLOOKUP(INDIRECT(CHAR(39)&amp;$A2454&amp;CHAR(39)&amp;"!r2c"&amp;$C2454,0),variables,2,0)</f>
        <v>10980</v>
      </c>
      <c r="H2454" s="71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66" t="s">
        <v>1244</v>
      </c>
      <c r="B2455" s="66">
        <f t="shared" si="4997"/>
        <v>3</v>
      </c>
      <c r="C2455" s="66">
        <f t="shared" si="4998"/>
        <v>23</v>
      </c>
      <c r="E2455" s="66">
        <f t="shared" ref="E2455" si="5035">plan_id</f>
        <v>1952</v>
      </c>
      <c r="F2455" s="66">
        <f t="shared" ca="1" si="4675"/>
        <v>2001</v>
      </c>
      <c r="G2455" s="66">
        <f t="shared" ref="G2455" ca="1" si="5036">VLOOKUP(INDIRECT(CHAR(39)&amp;$A2455&amp;CHAR(39)&amp;"!r2c"&amp;$C2455,0),variables,2,0)</f>
        <v>10981</v>
      </c>
      <c r="H2455" s="71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66" t="s">
        <v>1244</v>
      </c>
      <c r="B2456" s="66">
        <f t="shared" si="4997"/>
        <v>3</v>
      </c>
      <c r="C2456" s="66">
        <f t="shared" si="4998"/>
        <v>24</v>
      </c>
      <c r="E2456" s="66">
        <f t="shared" ref="E2456" si="5037">plan_id</f>
        <v>1952</v>
      </c>
      <c r="F2456" s="66">
        <f t="shared" ca="1" si="4675"/>
        <v>2001</v>
      </c>
      <c r="G2456" s="66">
        <f t="shared" ref="G2456" ca="1" si="5038">VLOOKUP(INDIRECT(CHAR(39)&amp;$A2456&amp;CHAR(39)&amp;"!r2c"&amp;$C2456,0),variables,2,0)</f>
        <v>10998</v>
      </c>
      <c r="H2456" s="71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66" t="s">
        <v>1244</v>
      </c>
      <c r="B2457" s="66">
        <f t="shared" si="4997"/>
        <v>3</v>
      </c>
      <c r="C2457" s="66">
        <f t="shared" si="4998"/>
        <v>25</v>
      </c>
      <c r="E2457" s="66">
        <f t="shared" ref="E2457" si="5039">plan_id</f>
        <v>1952</v>
      </c>
      <c r="F2457" s="66">
        <f t="shared" ca="1" si="4675"/>
        <v>2001</v>
      </c>
      <c r="G2457" s="66">
        <f t="shared" ref="G2457" ca="1" si="5040">VLOOKUP(INDIRECT(CHAR(39)&amp;$A2457&amp;CHAR(39)&amp;"!r2c"&amp;$C2457,0),variables,2,0)</f>
        <v>10999</v>
      </c>
      <c r="H2457" s="71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1261348000</v>
      </c>
    </row>
    <row r="2458" spans="1:8" x14ac:dyDescent="0.2">
      <c r="A2458" s="66" t="s">
        <v>1244</v>
      </c>
      <c r="B2458" s="66">
        <f t="shared" si="4997"/>
        <v>3</v>
      </c>
      <c r="C2458" s="66">
        <f t="shared" si="4998"/>
        <v>26</v>
      </c>
      <c r="E2458" s="66">
        <f t="shared" ref="E2458" si="5041">plan_id</f>
        <v>1952</v>
      </c>
      <c r="F2458" s="66">
        <f t="shared" ca="1" si="4675"/>
        <v>2001</v>
      </c>
      <c r="G2458" s="66">
        <f t="shared" ref="G2458" ca="1" si="5042">VLOOKUP(INDIRECT(CHAR(39)&amp;$A2458&amp;CHAR(39)&amp;"!r2c"&amp;$C2458,0),variables,2,0)</f>
        <v>11000</v>
      </c>
      <c r="H2458" s="71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79439000</v>
      </c>
    </row>
    <row r="2459" spans="1:8" x14ac:dyDescent="0.2">
      <c r="A2459" s="66" t="s">
        <v>1244</v>
      </c>
      <c r="B2459" s="66">
        <f t="shared" si="4997"/>
        <v>3</v>
      </c>
      <c r="C2459" s="66">
        <f t="shared" si="4998"/>
        <v>27</v>
      </c>
      <c r="E2459" s="66">
        <f t="shared" ref="E2459" si="5043">plan_id</f>
        <v>1952</v>
      </c>
      <c r="F2459" s="66">
        <f t="shared" ca="1" si="4675"/>
        <v>2001</v>
      </c>
      <c r="G2459" s="66">
        <f t="shared" ref="G2459" ca="1" si="5044">VLOOKUP(INDIRECT(CHAR(39)&amp;$A2459&amp;CHAR(39)&amp;"!r2c"&amp;$C2459,0),variables,2,0)</f>
        <v>11001</v>
      </c>
      <c r="H2459" s="71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14100000</v>
      </c>
    </row>
    <row r="2460" spans="1:8" x14ac:dyDescent="0.2">
      <c r="A2460" s="66" t="s">
        <v>1244</v>
      </c>
      <c r="B2460" s="66">
        <f t="shared" si="4997"/>
        <v>3</v>
      </c>
      <c r="C2460" s="66">
        <f t="shared" si="4998"/>
        <v>28</v>
      </c>
      <c r="E2460" s="66">
        <f t="shared" ref="E2460" si="5045">plan_id</f>
        <v>1952</v>
      </c>
      <c r="F2460" s="66">
        <f t="shared" ca="1" si="4675"/>
        <v>2001</v>
      </c>
      <c r="G2460" s="66">
        <f t="shared" ref="G2460" ca="1" si="5046">VLOOKUP(INDIRECT(CHAR(39)&amp;$A2460&amp;CHAR(39)&amp;"!r2c"&amp;$C2460,0),variables,2,0)</f>
        <v>11002</v>
      </c>
      <c r="H2460" s="7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66" t="s">
        <v>1244</v>
      </c>
      <c r="B2461" s="66">
        <f t="shared" si="4997"/>
        <v>3</v>
      </c>
      <c r="C2461" s="66">
        <f t="shared" si="4998"/>
        <v>29</v>
      </c>
      <c r="E2461" s="66">
        <f t="shared" ref="E2461" si="5047">plan_id</f>
        <v>1952</v>
      </c>
      <c r="F2461" s="66">
        <f t="shared" ca="1" si="4675"/>
        <v>2001</v>
      </c>
      <c r="G2461" s="66">
        <f t="shared" ref="G2461" ca="1" si="5048">VLOOKUP(INDIRECT(CHAR(39)&amp;$A2461&amp;CHAR(39)&amp;"!r2c"&amp;$C2461,0),variables,2,0)</f>
        <v>11003</v>
      </c>
      <c r="H2461" s="71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1354887000</v>
      </c>
    </row>
    <row r="2462" spans="1:8" x14ac:dyDescent="0.2">
      <c r="A2462" s="66" t="s">
        <v>1244</v>
      </c>
      <c r="B2462" s="66">
        <f>B2435+1</f>
        <v>4</v>
      </c>
      <c r="C2462" s="66">
        <f>C2435</f>
        <v>3</v>
      </c>
      <c r="E2462" s="66">
        <f t="shared" ref="E2462" si="5049">plan_id</f>
        <v>1952</v>
      </c>
      <c r="F2462" s="66">
        <f t="shared" ca="1" si="4675"/>
        <v>2002</v>
      </c>
      <c r="G2462" s="66">
        <f t="shared" ref="G2462" ca="1" si="5050">VLOOKUP(INDIRECT(CHAR(39)&amp;$A2462&amp;CHAR(39)&amp;"!r2c"&amp;$C2462,0),variables,2,0)</f>
        <v>10982</v>
      </c>
      <c r="H2462" s="7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2">
      <c r="A2463" s="66" t="s">
        <v>1244</v>
      </c>
      <c r="B2463" s="66">
        <f t="shared" ref="B2463:B2526" si="5051">B2436+1</f>
        <v>4</v>
      </c>
      <c r="C2463" s="66">
        <f t="shared" ref="C2463:C2526" si="5052">C2436</f>
        <v>4</v>
      </c>
      <c r="E2463" s="66">
        <f t="shared" ref="E2463" si="5053">plan_id</f>
        <v>1952</v>
      </c>
      <c r="F2463" s="66">
        <f t="shared" ca="1" si="4675"/>
        <v>2002</v>
      </c>
      <c r="G2463" s="66">
        <f t="shared" ref="G2463" ca="1" si="5054">VLOOKUP(INDIRECT(CHAR(39)&amp;$A2463&amp;CHAR(39)&amp;"!r2c"&amp;$C2463,0),variables,2,0)</f>
        <v>10984</v>
      </c>
      <c r="H2463" s="7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459613000</v>
      </c>
    </row>
    <row r="2464" spans="1:8" x14ac:dyDescent="0.2">
      <c r="A2464" s="66" t="s">
        <v>1244</v>
      </c>
      <c r="B2464" s="66">
        <f t="shared" si="5051"/>
        <v>4</v>
      </c>
      <c r="C2464" s="66">
        <f t="shared" si="5052"/>
        <v>5</v>
      </c>
      <c r="E2464" s="66">
        <f t="shared" ref="E2464" si="5055">plan_id</f>
        <v>1952</v>
      </c>
      <c r="F2464" s="66">
        <f t="shared" ca="1" si="4675"/>
        <v>2002</v>
      </c>
      <c r="G2464" s="66">
        <f t="shared" ref="G2464" ca="1" si="5056">VLOOKUP(INDIRECT(CHAR(39)&amp;$A2464&amp;CHAR(39)&amp;"!r2c"&amp;$C2464,0),variables,2,0)</f>
        <v>10985</v>
      </c>
      <c r="H2464" s="71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366219638.40000004</v>
      </c>
    </row>
    <row r="2465" spans="1:8" x14ac:dyDescent="0.2">
      <c r="A2465" s="66" t="s">
        <v>1244</v>
      </c>
      <c r="B2465" s="66">
        <f t="shared" si="5051"/>
        <v>4</v>
      </c>
      <c r="C2465" s="66">
        <f t="shared" si="5052"/>
        <v>6</v>
      </c>
      <c r="E2465" s="66">
        <f t="shared" ref="E2465" si="5057">plan_id</f>
        <v>1952</v>
      </c>
      <c r="F2465" s="66">
        <f t="shared" ca="1" si="4675"/>
        <v>2002</v>
      </c>
      <c r="G2465" s="66">
        <f t="shared" ref="G2465" ca="1" si="5058">VLOOKUP(INDIRECT(CHAR(39)&amp;$A2465&amp;CHAR(39)&amp;"!r2c"&amp;$C2465,0),variables,2,0)</f>
        <v>10986</v>
      </c>
      <c r="H2465" s="7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93393361.599999964</v>
      </c>
    </row>
    <row r="2466" spans="1:8" x14ac:dyDescent="0.2">
      <c r="A2466" s="66" t="s">
        <v>1244</v>
      </c>
      <c r="B2466" s="66">
        <f t="shared" si="5051"/>
        <v>4</v>
      </c>
      <c r="C2466" s="66">
        <f t="shared" si="5052"/>
        <v>7</v>
      </c>
      <c r="E2466" s="66">
        <f t="shared" ref="E2466" si="5059">plan_id</f>
        <v>1952</v>
      </c>
      <c r="F2466" s="66">
        <f t="shared" ca="1" si="4675"/>
        <v>2002</v>
      </c>
      <c r="G2466" s="66">
        <f t="shared" ref="G2466" ca="1" si="5060">VLOOKUP(INDIRECT(CHAR(39)&amp;$A2466&amp;CHAR(39)&amp;"!r2c"&amp;$C2466,0),variables,2,0)</f>
        <v>10974</v>
      </c>
      <c r="H2466" s="71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2">
      <c r="A2467" s="66" t="s">
        <v>1244</v>
      </c>
      <c r="B2467" s="66">
        <f t="shared" si="5051"/>
        <v>4</v>
      </c>
      <c r="C2467" s="66">
        <f t="shared" si="5052"/>
        <v>8</v>
      </c>
      <c r="E2467" s="66">
        <f t="shared" ref="E2467" si="5061">plan_id</f>
        <v>1952</v>
      </c>
      <c r="F2467" s="66">
        <f t="shared" ca="1" si="4675"/>
        <v>2002</v>
      </c>
      <c r="G2467" s="66">
        <f t="shared" ref="G2467" ca="1" si="5062">VLOOKUP(INDIRECT(CHAR(39)&amp;$A2467&amp;CHAR(39)&amp;"!r2c"&amp;$C2467,0),variables,2,0)</f>
        <v>10987</v>
      </c>
      <c r="H2467" s="7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0.79680000000000006</v>
      </c>
    </row>
    <row r="2468" spans="1:8" x14ac:dyDescent="0.2">
      <c r="A2468" s="66" t="s">
        <v>1244</v>
      </c>
      <c r="B2468" s="66">
        <f t="shared" si="5051"/>
        <v>4</v>
      </c>
      <c r="C2468" s="66">
        <f t="shared" si="5052"/>
        <v>9</v>
      </c>
      <c r="E2468" s="66">
        <f t="shared" ref="E2468" si="5063">plan_id</f>
        <v>1952</v>
      </c>
      <c r="F2468" s="66">
        <f t="shared" ca="1" si="4675"/>
        <v>2002</v>
      </c>
      <c r="G2468" s="66">
        <f t="shared" ref="G2468" ca="1" si="5064">VLOOKUP(INDIRECT(CHAR(39)&amp;$A2468&amp;CHAR(39)&amp;"!r2c"&amp;$C2468,0),variables,2,0)</f>
        <v>10885</v>
      </c>
      <c r="H2468" s="71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66" t="s">
        <v>1244</v>
      </c>
      <c r="B2469" s="66">
        <f t="shared" si="5051"/>
        <v>4</v>
      </c>
      <c r="C2469" s="66">
        <f t="shared" si="5052"/>
        <v>10</v>
      </c>
      <c r="E2469" s="66">
        <f t="shared" ref="E2469" si="5065">plan_id</f>
        <v>1952</v>
      </c>
      <c r="F2469" s="66">
        <f t="shared" ca="1" si="4675"/>
        <v>2002</v>
      </c>
      <c r="G2469" s="66">
        <f t="shared" ref="G2469" ca="1" si="5066">VLOOKUP(INDIRECT(CHAR(39)&amp;$A2469&amp;CHAR(39)&amp;"!r2c"&amp;$C2469,0),variables,2,0)</f>
        <v>10886</v>
      </c>
      <c r="H2469" s="71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66" t="s">
        <v>1244</v>
      </c>
      <c r="B2470" s="66">
        <f t="shared" si="5051"/>
        <v>4</v>
      </c>
      <c r="C2470" s="66">
        <f t="shared" si="5052"/>
        <v>11</v>
      </c>
      <c r="E2470" s="66">
        <f t="shared" ref="E2470" si="5067">plan_id</f>
        <v>1952</v>
      </c>
      <c r="F2470" s="66">
        <f t="shared" ca="1" si="4675"/>
        <v>2002</v>
      </c>
      <c r="G2470" s="66">
        <f t="shared" ref="G2470" ca="1" si="5068">VLOOKUP(INDIRECT(CHAR(39)&amp;$A2470&amp;CHAR(39)&amp;"!r2c"&amp;$C2470,0),variables,2,0)</f>
        <v>10887</v>
      </c>
      <c r="H2470" s="71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66" t="s">
        <v>1244</v>
      </c>
      <c r="B2471" s="66">
        <f t="shared" si="5051"/>
        <v>4</v>
      </c>
      <c r="C2471" s="66">
        <f t="shared" si="5052"/>
        <v>12</v>
      </c>
      <c r="E2471" s="66">
        <f t="shared" ref="E2471" si="5069">plan_id</f>
        <v>1952</v>
      </c>
      <c r="F2471" s="66">
        <f t="shared" ca="1" si="4675"/>
        <v>2002</v>
      </c>
      <c r="G2471" s="66">
        <f t="shared" ref="G2471" ca="1" si="5070">VLOOKUP(INDIRECT(CHAR(39)&amp;$A2471&amp;CHAR(39)&amp;"!r2c"&amp;$C2471,0),variables,2,0)</f>
        <v>10883</v>
      </c>
      <c r="H2471" s="71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66" t="s">
        <v>1244</v>
      </c>
      <c r="B2472" s="66">
        <f t="shared" si="5051"/>
        <v>4</v>
      </c>
      <c r="C2472" s="66">
        <f t="shared" si="5052"/>
        <v>13</v>
      </c>
      <c r="E2472" s="66">
        <f t="shared" ref="E2472" si="5071">plan_id</f>
        <v>1952</v>
      </c>
      <c r="F2472" s="66">
        <f t="shared" ca="1" si="4675"/>
        <v>2002</v>
      </c>
      <c r="G2472" s="66">
        <f t="shared" ref="G2472" ca="1" si="5072">VLOOKUP(INDIRECT(CHAR(39)&amp;$A2472&amp;CHAR(39)&amp;"!r2c"&amp;$C2472,0),variables,2,0)</f>
        <v>10989</v>
      </c>
      <c r="H2472" s="71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37968000000</v>
      </c>
    </row>
    <row r="2473" spans="1:8" x14ac:dyDescent="0.2">
      <c r="A2473" s="66" t="s">
        <v>1244</v>
      </c>
      <c r="B2473" s="66">
        <f t="shared" si="5051"/>
        <v>4</v>
      </c>
      <c r="C2473" s="66">
        <f t="shared" si="5052"/>
        <v>14</v>
      </c>
      <c r="E2473" s="66">
        <f t="shared" ref="E2473" si="5073">plan_id</f>
        <v>1952</v>
      </c>
      <c r="F2473" s="66">
        <f t="shared" ca="1" si="4675"/>
        <v>2002</v>
      </c>
      <c r="G2473" s="66">
        <f t="shared" ref="G2473" ca="1" si="5074">VLOOKUP(INDIRECT(CHAR(39)&amp;$A2473&amp;CHAR(39)&amp;"!r2c"&amp;$C2473,0),variables,2,0)</f>
        <v>10990</v>
      </c>
      <c r="H2473" s="71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35384000000</v>
      </c>
    </row>
    <row r="2474" spans="1:8" x14ac:dyDescent="0.2">
      <c r="A2474" s="66" t="s">
        <v>1244</v>
      </c>
      <c r="B2474" s="66">
        <f t="shared" si="5051"/>
        <v>4</v>
      </c>
      <c r="C2474" s="66">
        <f t="shared" si="5052"/>
        <v>15</v>
      </c>
      <c r="E2474" s="66">
        <f t="shared" ref="E2474" si="5075">plan_id</f>
        <v>1952</v>
      </c>
      <c r="F2474" s="66">
        <f t="shared" ca="1" si="4675"/>
        <v>2002</v>
      </c>
      <c r="G2474" s="66">
        <f t="shared" ref="G2474" ca="1" si="5076">VLOOKUP(INDIRECT(CHAR(39)&amp;$A2474&amp;CHAR(39)&amp;"!r2c"&amp;$C2474,0),variables,2,0)</f>
        <v>10991</v>
      </c>
      <c r="H2474" s="71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-2584000000</v>
      </c>
    </row>
    <row r="2475" spans="1:8" x14ac:dyDescent="0.2">
      <c r="A2475" s="66" t="s">
        <v>1244</v>
      </c>
      <c r="B2475" s="66">
        <f t="shared" si="5051"/>
        <v>4</v>
      </c>
      <c r="C2475" s="66">
        <f t="shared" si="5052"/>
        <v>16</v>
      </c>
      <c r="E2475" s="66">
        <f t="shared" ref="E2475" si="5077">plan_id</f>
        <v>1952</v>
      </c>
      <c r="F2475" s="66">
        <f t="shared" ca="1" si="4675"/>
        <v>2002</v>
      </c>
      <c r="G2475" s="66">
        <f t="shared" ref="G2475" ca="1" si="5078">VLOOKUP(INDIRECT(CHAR(39)&amp;$A2475&amp;CHAR(39)&amp;"!r2c"&amp;$C2475,0),variables,2,0)</f>
        <v>10992</v>
      </c>
      <c r="H2475" s="71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1.073</v>
      </c>
    </row>
    <row r="2476" spans="1:8" x14ac:dyDescent="0.2">
      <c r="A2476" s="66" t="s">
        <v>1244</v>
      </c>
      <c r="B2476" s="66">
        <f t="shared" si="5051"/>
        <v>4</v>
      </c>
      <c r="C2476" s="66">
        <f t="shared" si="5052"/>
        <v>17</v>
      </c>
      <c r="E2476" s="66">
        <f t="shared" ref="E2476" si="5079">plan_id</f>
        <v>1952</v>
      </c>
      <c r="F2476" s="66">
        <f t="shared" ca="1" si="4675"/>
        <v>2002</v>
      </c>
      <c r="G2476" s="66">
        <f t="shared" ref="G2476" ca="1" si="5080">VLOOKUP(INDIRECT(CHAR(39)&amp;$A2476&amp;CHAR(39)&amp;"!r2c"&amp;$C2476,0),variables,2,0)</f>
        <v>10993</v>
      </c>
      <c r="H2476" s="71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10145000000</v>
      </c>
    </row>
    <row r="2477" spans="1:8" x14ac:dyDescent="0.2">
      <c r="A2477" s="66" t="s">
        <v>1244</v>
      </c>
      <c r="B2477" s="66">
        <f t="shared" si="5051"/>
        <v>4</v>
      </c>
      <c r="C2477" s="66">
        <f t="shared" si="5052"/>
        <v>18</v>
      </c>
      <c r="E2477" s="66">
        <f t="shared" ref="E2477" si="5081">plan_id</f>
        <v>1952</v>
      </c>
      <c r="F2477" s="66">
        <f t="shared" ca="1" si="4675"/>
        <v>2002</v>
      </c>
      <c r="G2477" s="66">
        <f t="shared" ref="G2477" ca="1" si="5082">VLOOKUP(INDIRECT(CHAR(39)&amp;$A2477&amp;CHAR(39)&amp;"!r2c"&amp;$C2477,0),variables,2,0)</f>
        <v>11005</v>
      </c>
      <c r="H2477" s="71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66" t="s">
        <v>1244</v>
      </c>
      <c r="B2478" s="66">
        <f t="shared" si="5051"/>
        <v>4</v>
      </c>
      <c r="C2478" s="66">
        <f t="shared" si="5052"/>
        <v>19</v>
      </c>
      <c r="E2478" s="66">
        <f t="shared" ref="E2478" si="5083">plan_id</f>
        <v>1952</v>
      </c>
      <c r="F2478" s="66">
        <f t="shared" ca="1" si="4675"/>
        <v>2002</v>
      </c>
      <c r="G2478" s="66">
        <f t="shared" ref="G2478" ca="1" si="5084">VLOOKUP(INDIRECT(CHAR(39)&amp;$A2478&amp;CHAR(39)&amp;"!r2c"&amp;$C2478,0),variables,2,0)</f>
        <v>10988</v>
      </c>
      <c r="H2478" s="71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4.5304386397240021E-2</v>
      </c>
    </row>
    <row r="2479" spans="1:8" x14ac:dyDescent="0.2">
      <c r="A2479" s="66" t="s">
        <v>1244</v>
      </c>
      <c r="B2479" s="66">
        <f t="shared" si="5051"/>
        <v>4</v>
      </c>
      <c r="C2479" s="66">
        <f t="shared" si="5052"/>
        <v>20</v>
      </c>
      <c r="E2479" s="66">
        <f t="shared" ref="E2479" si="5085">plan_id</f>
        <v>1952</v>
      </c>
      <c r="F2479" s="66">
        <f t="shared" ca="1" si="4675"/>
        <v>2002</v>
      </c>
      <c r="G2479" s="66">
        <f t="shared" ref="G2479" ca="1" si="5086">VLOOKUP(INDIRECT(CHAR(39)&amp;$A2479&amp;CHAR(39)&amp;"!r2c"&amp;$C2479,0),variables,2,0)</f>
        <v>10996</v>
      </c>
      <c r="H2479" s="71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32448309000</v>
      </c>
    </row>
    <row r="2480" spans="1:8" x14ac:dyDescent="0.2">
      <c r="A2480" s="66" t="s">
        <v>1244</v>
      </c>
      <c r="B2480" s="66">
        <f t="shared" si="5051"/>
        <v>4</v>
      </c>
      <c r="C2480" s="66">
        <f t="shared" si="5052"/>
        <v>21</v>
      </c>
      <c r="E2480" s="66">
        <f t="shared" ref="E2480" si="5087">plan_id</f>
        <v>1952</v>
      </c>
      <c r="F2480" s="66">
        <f t="shared" ca="1" si="4675"/>
        <v>2002</v>
      </c>
      <c r="G2480" s="66">
        <f t="shared" ref="G2480" ca="1" si="5088">VLOOKUP(INDIRECT(CHAR(39)&amp;$A2480&amp;CHAR(39)&amp;"!r2c"&amp;$C2480,0),variables,2,0)</f>
        <v>10997</v>
      </c>
      <c r="H2480" s="71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0.91703337666742035</v>
      </c>
    </row>
    <row r="2481" spans="1:8" x14ac:dyDescent="0.2">
      <c r="A2481" s="66" t="s">
        <v>1244</v>
      </c>
      <c r="B2481" s="66">
        <f t="shared" si="5051"/>
        <v>4</v>
      </c>
      <c r="C2481" s="66">
        <f t="shared" si="5052"/>
        <v>22</v>
      </c>
      <c r="E2481" s="66">
        <f t="shared" ref="E2481" si="5089">plan_id</f>
        <v>1952</v>
      </c>
      <c r="F2481" s="66">
        <f t="shared" ca="1" si="4675"/>
        <v>2002</v>
      </c>
      <c r="G2481" s="66">
        <f t="shared" ref="G2481" ca="1" si="5090">VLOOKUP(INDIRECT(CHAR(39)&amp;$A2481&amp;CHAR(39)&amp;"!r2c"&amp;$C2481,0),variables,2,0)</f>
        <v>10980</v>
      </c>
      <c r="H2481" s="71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66" t="s">
        <v>1244</v>
      </c>
      <c r="B2482" s="66">
        <f t="shared" si="5051"/>
        <v>4</v>
      </c>
      <c r="C2482" s="66">
        <f t="shared" si="5052"/>
        <v>23</v>
      </c>
      <c r="E2482" s="66">
        <f t="shared" ref="E2482" si="5091">plan_id</f>
        <v>1952</v>
      </c>
      <c r="F2482" s="66">
        <f t="shared" ca="1" si="4675"/>
        <v>2002</v>
      </c>
      <c r="G2482" s="66">
        <f t="shared" ref="G2482" ca="1" si="5092">VLOOKUP(INDIRECT(CHAR(39)&amp;$A2482&amp;CHAR(39)&amp;"!r2c"&amp;$C2482,0),variables,2,0)</f>
        <v>10981</v>
      </c>
      <c r="H2482" s="71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66" t="s">
        <v>1244</v>
      </c>
      <c r="B2483" s="66">
        <f t="shared" si="5051"/>
        <v>4</v>
      </c>
      <c r="C2483" s="66">
        <f t="shared" si="5052"/>
        <v>24</v>
      </c>
      <c r="E2483" s="66">
        <f t="shared" ref="E2483" si="5093">plan_id</f>
        <v>1952</v>
      </c>
      <c r="F2483" s="66">
        <f t="shared" ca="1" si="4675"/>
        <v>2002</v>
      </c>
      <c r="G2483" s="66">
        <f t="shared" ref="G2483" ca="1" si="5094">VLOOKUP(INDIRECT(CHAR(39)&amp;$A2483&amp;CHAR(39)&amp;"!r2c"&amp;$C2483,0),variables,2,0)</f>
        <v>10998</v>
      </c>
      <c r="H2483" s="7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66" t="s">
        <v>1244</v>
      </c>
      <c r="B2484" s="66">
        <f t="shared" si="5051"/>
        <v>4</v>
      </c>
      <c r="C2484" s="66">
        <f t="shared" si="5052"/>
        <v>25</v>
      </c>
      <c r="E2484" s="66">
        <f t="shared" ref="E2484" si="5095">plan_id</f>
        <v>1952</v>
      </c>
      <c r="F2484" s="66">
        <f t="shared" ca="1" si="4675"/>
        <v>2002</v>
      </c>
      <c r="G2484" s="66">
        <f t="shared" ref="G2484" ca="1" si="5096">VLOOKUP(INDIRECT(CHAR(39)&amp;$A2484&amp;CHAR(39)&amp;"!r2c"&amp;$C2484,0),variables,2,0)</f>
        <v>10999</v>
      </c>
      <c r="H2484" s="71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1389815000</v>
      </c>
    </row>
    <row r="2485" spans="1:8" x14ac:dyDescent="0.2">
      <c r="A2485" s="66" t="s">
        <v>1244</v>
      </c>
      <c r="B2485" s="66">
        <f t="shared" si="5051"/>
        <v>4</v>
      </c>
      <c r="C2485" s="66">
        <f t="shared" si="5052"/>
        <v>26</v>
      </c>
      <c r="E2485" s="66">
        <f t="shared" ref="E2485" si="5097">plan_id</f>
        <v>1952</v>
      </c>
      <c r="F2485" s="66">
        <f t="shared" ca="1" si="4675"/>
        <v>2002</v>
      </c>
      <c r="G2485" s="66">
        <f t="shared" ref="G2485" ca="1" si="5098">VLOOKUP(INDIRECT(CHAR(39)&amp;$A2485&amp;CHAR(39)&amp;"!r2c"&amp;$C2485,0),variables,2,0)</f>
        <v>11000</v>
      </c>
      <c r="H2485" s="71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69235000</v>
      </c>
    </row>
    <row r="2486" spans="1:8" x14ac:dyDescent="0.2">
      <c r="A2486" s="66" t="s">
        <v>1244</v>
      </c>
      <c r="B2486" s="66">
        <f t="shared" si="5051"/>
        <v>4</v>
      </c>
      <c r="C2486" s="66">
        <f t="shared" si="5052"/>
        <v>27</v>
      </c>
      <c r="E2486" s="66">
        <f t="shared" ref="E2486" si="5099">plan_id</f>
        <v>1952</v>
      </c>
      <c r="F2486" s="66">
        <f t="shared" ca="1" si="4675"/>
        <v>2002</v>
      </c>
      <c r="G2486" s="66">
        <f t="shared" ref="G2486" ca="1" si="5100">VLOOKUP(INDIRECT(CHAR(39)&amp;$A2486&amp;CHAR(39)&amp;"!r2c"&amp;$C2486,0),variables,2,0)</f>
        <v>11001</v>
      </c>
      <c r="H2486" s="71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15039000</v>
      </c>
    </row>
    <row r="2487" spans="1:8" x14ac:dyDescent="0.2">
      <c r="A2487" s="66" t="s">
        <v>1244</v>
      </c>
      <c r="B2487" s="66">
        <f t="shared" si="5051"/>
        <v>4</v>
      </c>
      <c r="C2487" s="66">
        <f t="shared" si="5052"/>
        <v>28</v>
      </c>
      <c r="E2487" s="66">
        <f t="shared" ref="E2487" si="5101">plan_id</f>
        <v>1952</v>
      </c>
      <c r="F2487" s="66">
        <f t="shared" ca="1" si="4675"/>
        <v>2002</v>
      </c>
      <c r="G2487" s="66">
        <f t="shared" ref="G2487" ca="1" si="5102">VLOOKUP(INDIRECT(CHAR(39)&amp;$A2487&amp;CHAR(39)&amp;"!r2c"&amp;$C2487,0),variables,2,0)</f>
        <v>11002</v>
      </c>
      <c r="H2487" s="7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2449000</v>
      </c>
    </row>
    <row r="2488" spans="1:8" x14ac:dyDescent="0.2">
      <c r="A2488" s="66" t="s">
        <v>1244</v>
      </c>
      <c r="B2488" s="66">
        <f t="shared" si="5051"/>
        <v>4</v>
      </c>
      <c r="C2488" s="66">
        <f t="shared" si="5052"/>
        <v>29</v>
      </c>
      <c r="E2488" s="66">
        <f t="shared" ref="E2488" si="5103">plan_id</f>
        <v>1952</v>
      </c>
      <c r="F2488" s="66">
        <f t="shared" ca="1" si="4675"/>
        <v>2002</v>
      </c>
      <c r="G2488" s="66">
        <f t="shared" ref="G2488" ca="1" si="5104">VLOOKUP(INDIRECT(CHAR(39)&amp;$A2488&amp;CHAR(39)&amp;"!r2c"&amp;$C2488,0),variables,2,0)</f>
        <v>11003</v>
      </c>
      <c r="H2488" s="71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1476538000</v>
      </c>
    </row>
    <row r="2489" spans="1:8" x14ac:dyDescent="0.2">
      <c r="A2489" s="66" t="s">
        <v>1244</v>
      </c>
      <c r="B2489" s="66">
        <f t="shared" si="5051"/>
        <v>5</v>
      </c>
      <c r="C2489" s="66">
        <f t="shared" si="5052"/>
        <v>3</v>
      </c>
      <c r="E2489" s="66">
        <f t="shared" ref="E2489" si="5105">plan_id</f>
        <v>1952</v>
      </c>
      <c r="F2489" s="66">
        <f t="shared" ca="1" si="4675"/>
        <v>2003</v>
      </c>
      <c r="G2489" s="66">
        <f t="shared" ref="G2489" ca="1" si="5106">VLOOKUP(INDIRECT(CHAR(39)&amp;$A2489&amp;CHAR(39)&amp;"!r2c"&amp;$C2489,0),variables,2,0)</f>
        <v>10982</v>
      </c>
      <c r="H2489" s="71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2">
      <c r="A2490" s="66" t="s">
        <v>1244</v>
      </c>
      <c r="B2490" s="66">
        <f t="shared" si="5051"/>
        <v>5</v>
      </c>
      <c r="C2490" s="66">
        <f t="shared" si="5052"/>
        <v>4</v>
      </c>
      <c r="E2490" s="66">
        <f t="shared" ref="E2490" si="5107">plan_id</f>
        <v>1952</v>
      </c>
      <c r="F2490" s="66">
        <f t="shared" ca="1" si="4675"/>
        <v>2003</v>
      </c>
      <c r="G2490" s="66">
        <f t="shared" ref="G2490" ca="1" si="5108">VLOOKUP(INDIRECT(CHAR(39)&amp;$A2490&amp;CHAR(39)&amp;"!r2c"&amp;$C2490,0),variables,2,0)</f>
        <v>10984</v>
      </c>
      <c r="H2490" s="71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450766000</v>
      </c>
    </row>
    <row r="2491" spans="1:8" x14ac:dyDescent="0.2">
      <c r="A2491" s="66" t="s">
        <v>1244</v>
      </c>
      <c r="B2491" s="66">
        <f t="shared" si="5051"/>
        <v>5</v>
      </c>
      <c r="C2491" s="66">
        <f t="shared" si="5052"/>
        <v>5</v>
      </c>
      <c r="E2491" s="66">
        <f t="shared" ref="E2491" si="5109">plan_id</f>
        <v>1952</v>
      </c>
      <c r="F2491" s="66">
        <f t="shared" ca="1" si="4675"/>
        <v>2003</v>
      </c>
      <c r="G2491" s="66">
        <f t="shared" ref="G2491" ca="1" si="5110">VLOOKUP(INDIRECT(CHAR(39)&amp;$A2491&amp;CHAR(39)&amp;"!r2c"&amp;$C2491,0),variables,2,0)</f>
        <v>10985</v>
      </c>
      <c r="H2491" s="71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304762892.60000002</v>
      </c>
    </row>
    <row r="2492" spans="1:8" x14ac:dyDescent="0.2">
      <c r="A2492" s="66" t="s">
        <v>1244</v>
      </c>
      <c r="B2492" s="66">
        <f t="shared" si="5051"/>
        <v>5</v>
      </c>
      <c r="C2492" s="66">
        <f t="shared" si="5052"/>
        <v>6</v>
      </c>
      <c r="E2492" s="66">
        <f t="shared" ref="E2492" si="5111">plan_id</f>
        <v>1952</v>
      </c>
      <c r="F2492" s="66">
        <f t="shared" ca="1" si="4675"/>
        <v>2003</v>
      </c>
      <c r="G2492" s="66">
        <f t="shared" ref="G2492" ca="1" si="5112">VLOOKUP(INDIRECT(CHAR(39)&amp;$A2492&amp;CHAR(39)&amp;"!r2c"&amp;$C2492,0),variables,2,0)</f>
        <v>10986</v>
      </c>
      <c r="H2492" s="7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146003107.39999998</v>
      </c>
    </row>
    <row r="2493" spans="1:8" x14ac:dyDescent="0.2">
      <c r="A2493" s="66" t="s">
        <v>1244</v>
      </c>
      <c r="B2493" s="66">
        <f t="shared" si="5051"/>
        <v>5</v>
      </c>
      <c r="C2493" s="66">
        <f t="shared" si="5052"/>
        <v>7</v>
      </c>
      <c r="E2493" s="66">
        <f t="shared" ref="E2493" si="5113">plan_id</f>
        <v>1952</v>
      </c>
      <c r="F2493" s="66">
        <f t="shared" ca="1" si="4675"/>
        <v>2003</v>
      </c>
      <c r="G2493" s="66">
        <f t="shared" ref="G2493" ca="1" si="5114">VLOOKUP(INDIRECT(CHAR(39)&amp;$A2493&amp;CHAR(39)&amp;"!r2c"&amp;$C2493,0),variables,2,0)</f>
        <v>10974</v>
      </c>
      <c r="H2493" s="71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2">
      <c r="A2494" s="66" t="s">
        <v>1244</v>
      </c>
      <c r="B2494" s="66">
        <f t="shared" si="5051"/>
        <v>5</v>
      </c>
      <c r="C2494" s="66">
        <f t="shared" si="5052"/>
        <v>8</v>
      </c>
      <c r="E2494" s="66">
        <f t="shared" ref="E2494" si="5115">plan_id</f>
        <v>1952</v>
      </c>
      <c r="F2494" s="66">
        <f t="shared" ca="1" si="4675"/>
        <v>2003</v>
      </c>
      <c r="G2494" s="66">
        <f t="shared" ref="G2494" ca="1" si="5116">VLOOKUP(INDIRECT(CHAR(39)&amp;$A2494&amp;CHAR(39)&amp;"!r2c"&amp;$C2494,0),variables,2,0)</f>
        <v>10987</v>
      </c>
      <c r="H2494" s="7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0.67610000000000003</v>
      </c>
    </row>
    <row r="2495" spans="1:8" x14ac:dyDescent="0.2">
      <c r="A2495" s="66" t="s">
        <v>1244</v>
      </c>
      <c r="B2495" s="66">
        <f t="shared" si="5051"/>
        <v>5</v>
      </c>
      <c r="C2495" s="66">
        <f t="shared" si="5052"/>
        <v>9</v>
      </c>
      <c r="E2495" s="66">
        <f t="shared" ref="E2495" si="5117">plan_id</f>
        <v>1952</v>
      </c>
      <c r="F2495" s="66">
        <f t="shared" ca="1" si="4675"/>
        <v>2003</v>
      </c>
      <c r="G2495" s="66">
        <f t="shared" ref="G2495" ca="1" si="5118">VLOOKUP(INDIRECT(CHAR(39)&amp;$A2495&amp;CHAR(39)&amp;"!r2c"&amp;$C2495,0),variables,2,0)</f>
        <v>10885</v>
      </c>
      <c r="H2495" s="71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66" t="s">
        <v>1244</v>
      </c>
      <c r="B2496" s="66">
        <f t="shared" si="5051"/>
        <v>5</v>
      </c>
      <c r="C2496" s="66">
        <f t="shared" si="5052"/>
        <v>10</v>
      </c>
      <c r="E2496" s="66">
        <f t="shared" ref="E2496" si="5119">plan_id</f>
        <v>1952</v>
      </c>
      <c r="F2496" s="66">
        <f t="shared" ca="1" si="4675"/>
        <v>2003</v>
      </c>
      <c r="G2496" s="66">
        <f t="shared" ref="G2496" ca="1" si="5120">VLOOKUP(INDIRECT(CHAR(39)&amp;$A2496&amp;CHAR(39)&amp;"!r2c"&amp;$C2496,0),variables,2,0)</f>
        <v>10886</v>
      </c>
      <c r="H2496" s="71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66" t="s">
        <v>1244</v>
      </c>
      <c r="B2497" s="66">
        <f t="shared" si="5051"/>
        <v>5</v>
      </c>
      <c r="C2497" s="66">
        <f t="shared" si="5052"/>
        <v>11</v>
      </c>
      <c r="E2497" s="66">
        <f t="shared" ref="E2497" si="5121">plan_id</f>
        <v>1952</v>
      </c>
      <c r="F2497" s="66">
        <f t="shared" ca="1" si="4675"/>
        <v>2003</v>
      </c>
      <c r="G2497" s="66">
        <f t="shared" ref="G2497" ca="1" si="5122">VLOOKUP(INDIRECT(CHAR(39)&amp;$A2497&amp;CHAR(39)&amp;"!r2c"&amp;$C2497,0),variables,2,0)</f>
        <v>10887</v>
      </c>
      <c r="H2497" s="71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66" t="s">
        <v>1244</v>
      </c>
      <c r="B2498" s="66">
        <f t="shared" si="5051"/>
        <v>5</v>
      </c>
      <c r="C2498" s="66">
        <f t="shared" si="5052"/>
        <v>12</v>
      </c>
      <c r="E2498" s="66">
        <f t="shared" ref="E2498" si="5123">plan_id</f>
        <v>1952</v>
      </c>
      <c r="F2498" s="66">
        <f t="shared" ca="1" si="4675"/>
        <v>2003</v>
      </c>
      <c r="G2498" s="66">
        <f t="shared" ref="G2498" ca="1" si="5124">VLOOKUP(INDIRECT(CHAR(39)&amp;$A2498&amp;CHAR(39)&amp;"!r2c"&amp;$C2498,0),variables,2,0)</f>
        <v>10883</v>
      </c>
      <c r="H2498" s="71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66" t="s">
        <v>1244</v>
      </c>
      <c r="B2499" s="66">
        <f t="shared" si="5051"/>
        <v>5</v>
      </c>
      <c r="C2499" s="66">
        <f t="shared" si="5052"/>
        <v>13</v>
      </c>
      <c r="E2499" s="66">
        <f t="shared" ref="E2499" si="5125">plan_id</f>
        <v>1952</v>
      </c>
      <c r="F2499" s="66">
        <f t="shared" ca="1" si="4675"/>
        <v>2003</v>
      </c>
      <c r="G2499" s="66">
        <f t="shared" ref="G2499" ca="1" si="5126">VLOOKUP(INDIRECT(CHAR(39)&amp;$A2499&amp;CHAR(39)&amp;"!r2c"&amp;$C2499,0),variables,2,0)</f>
        <v>10989</v>
      </c>
      <c r="H2499" s="71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38957000000</v>
      </c>
    </row>
    <row r="2500" spans="1:8" x14ac:dyDescent="0.2">
      <c r="A2500" s="66" t="s">
        <v>1244</v>
      </c>
      <c r="B2500" s="66">
        <f t="shared" si="5051"/>
        <v>5</v>
      </c>
      <c r="C2500" s="66">
        <f t="shared" si="5052"/>
        <v>14</v>
      </c>
      <c r="E2500" s="66">
        <f t="shared" ref="E2500" si="5127">plan_id</f>
        <v>1952</v>
      </c>
      <c r="F2500" s="66">
        <f t="shared" ca="1" si="4675"/>
        <v>2003</v>
      </c>
      <c r="G2500" s="66">
        <f t="shared" ref="G2500" ca="1" si="5128">VLOOKUP(INDIRECT(CHAR(39)&amp;$A2500&amp;CHAR(39)&amp;"!r2c"&amp;$C2500,0),variables,2,0)</f>
        <v>10990</v>
      </c>
      <c r="H2500" s="71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38265000000</v>
      </c>
    </row>
    <row r="2501" spans="1:8" x14ac:dyDescent="0.2">
      <c r="A2501" s="66" t="s">
        <v>1244</v>
      </c>
      <c r="B2501" s="66">
        <f t="shared" si="5051"/>
        <v>5</v>
      </c>
      <c r="C2501" s="66">
        <f t="shared" si="5052"/>
        <v>15</v>
      </c>
      <c r="E2501" s="66">
        <f t="shared" ref="E2501" si="5129">plan_id</f>
        <v>1952</v>
      </c>
      <c r="F2501" s="66">
        <f t="shared" ca="1" si="4675"/>
        <v>2003</v>
      </c>
      <c r="G2501" s="66">
        <f t="shared" ref="G2501" ca="1" si="5130">VLOOKUP(INDIRECT(CHAR(39)&amp;$A2501&amp;CHAR(39)&amp;"!r2c"&amp;$C2501,0),variables,2,0)</f>
        <v>10991</v>
      </c>
      <c r="H2501" s="71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-692000000</v>
      </c>
    </row>
    <row r="2502" spans="1:8" x14ac:dyDescent="0.2">
      <c r="A2502" s="66" t="s">
        <v>1244</v>
      </c>
      <c r="B2502" s="66">
        <f t="shared" si="5051"/>
        <v>5</v>
      </c>
      <c r="C2502" s="66">
        <f t="shared" si="5052"/>
        <v>16</v>
      </c>
      <c r="E2502" s="66">
        <f t="shared" ref="E2502" si="5131">plan_id</f>
        <v>1952</v>
      </c>
      <c r="F2502" s="66">
        <f t="shared" ca="1" si="4675"/>
        <v>2003</v>
      </c>
      <c r="G2502" s="66">
        <f t="shared" ref="G2502" ca="1" si="5132">VLOOKUP(INDIRECT(CHAR(39)&amp;$A2502&amp;CHAR(39)&amp;"!r2c"&amp;$C2502,0),variables,2,0)</f>
        <v>10992</v>
      </c>
      <c r="H2502" s="71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1.018</v>
      </c>
    </row>
    <row r="2503" spans="1:8" x14ac:dyDescent="0.2">
      <c r="A2503" s="66" t="s">
        <v>1244</v>
      </c>
      <c r="B2503" s="66">
        <f t="shared" si="5051"/>
        <v>5</v>
      </c>
      <c r="C2503" s="66">
        <f t="shared" si="5052"/>
        <v>17</v>
      </c>
      <c r="E2503" s="66">
        <f t="shared" ref="E2503" si="5133">plan_id</f>
        <v>1952</v>
      </c>
      <c r="F2503" s="66">
        <f t="shared" ca="1" si="4675"/>
        <v>2003</v>
      </c>
      <c r="G2503" s="66">
        <f t="shared" ref="G2503" ca="1" si="5134">VLOOKUP(INDIRECT(CHAR(39)&amp;$A2503&amp;CHAR(39)&amp;"!r2c"&amp;$C2503,0),variables,2,0)</f>
        <v>10993</v>
      </c>
      <c r="H2503" s="71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10669000000</v>
      </c>
    </row>
    <row r="2504" spans="1:8" x14ac:dyDescent="0.2">
      <c r="A2504" s="66" t="s">
        <v>1244</v>
      </c>
      <c r="B2504" s="66">
        <f t="shared" si="5051"/>
        <v>5</v>
      </c>
      <c r="C2504" s="66">
        <f t="shared" si="5052"/>
        <v>18</v>
      </c>
      <c r="E2504" s="66">
        <f t="shared" ref="E2504" si="5135">plan_id</f>
        <v>1952</v>
      </c>
      <c r="F2504" s="66">
        <f t="shared" ca="1" si="4675"/>
        <v>2003</v>
      </c>
      <c r="G2504" s="66">
        <f t="shared" ref="G2504" ca="1" si="5136">VLOOKUP(INDIRECT(CHAR(39)&amp;$A2504&amp;CHAR(39)&amp;"!r2c"&amp;$C2504,0),variables,2,0)</f>
        <v>11005</v>
      </c>
      <c r="H2504" s="71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66" t="s">
        <v>1244</v>
      </c>
      <c r="B2505" s="66">
        <f t="shared" si="5051"/>
        <v>5</v>
      </c>
      <c r="C2505" s="66">
        <f t="shared" si="5052"/>
        <v>19</v>
      </c>
      <c r="E2505" s="66">
        <f t="shared" ref="E2505" si="5137">plan_id</f>
        <v>1952</v>
      </c>
      <c r="F2505" s="66">
        <f t="shared" ca="1" si="4675"/>
        <v>2003</v>
      </c>
      <c r="G2505" s="66">
        <f t="shared" ref="G2505" ca="1" si="5138">VLOOKUP(INDIRECT(CHAR(39)&amp;$A2505&amp;CHAR(39)&amp;"!r2c"&amp;$C2505,0),variables,2,0)</f>
        <v>10988</v>
      </c>
      <c r="H2505" s="71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4.2250070297122508E-2</v>
      </c>
    </row>
    <row r="2506" spans="1:8" x14ac:dyDescent="0.2">
      <c r="A2506" s="66" t="s">
        <v>1244</v>
      </c>
      <c r="B2506" s="66">
        <f t="shared" si="5051"/>
        <v>5</v>
      </c>
      <c r="C2506" s="66">
        <f t="shared" si="5052"/>
        <v>20</v>
      </c>
      <c r="E2506" s="66">
        <f t="shared" ref="E2506" si="5139">plan_id</f>
        <v>1952</v>
      </c>
      <c r="F2506" s="66">
        <f t="shared" ca="1" si="4675"/>
        <v>2003</v>
      </c>
      <c r="G2506" s="66">
        <f t="shared" ref="G2506" ca="1" si="5140">VLOOKUP(INDIRECT(CHAR(39)&amp;$A2506&amp;CHAR(39)&amp;"!r2c"&amp;$C2506,0),variables,2,0)</f>
        <v>10996</v>
      </c>
      <c r="H2506" s="71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32726882000</v>
      </c>
    </row>
    <row r="2507" spans="1:8" x14ac:dyDescent="0.2">
      <c r="A2507" s="66" t="s">
        <v>1244</v>
      </c>
      <c r="B2507" s="66">
        <f t="shared" si="5051"/>
        <v>5</v>
      </c>
      <c r="C2507" s="66">
        <f t="shared" si="5052"/>
        <v>21</v>
      </c>
      <c r="E2507" s="66">
        <f t="shared" ref="E2507" si="5141">plan_id</f>
        <v>1952</v>
      </c>
      <c r="F2507" s="66">
        <f t="shared" ca="1" si="4675"/>
        <v>2003</v>
      </c>
      <c r="G2507" s="66">
        <f t="shared" ref="G2507" ca="1" si="5142">VLOOKUP(INDIRECT(CHAR(39)&amp;$A2507&amp;CHAR(39)&amp;"!r2c"&amp;$C2507,0),variables,2,0)</f>
        <v>10997</v>
      </c>
      <c r="H2507" s="71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0.85526935842153406</v>
      </c>
    </row>
    <row r="2508" spans="1:8" x14ac:dyDescent="0.2">
      <c r="A2508" s="66" t="s">
        <v>1244</v>
      </c>
      <c r="B2508" s="66">
        <f t="shared" si="5051"/>
        <v>5</v>
      </c>
      <c r="C2508" s="66">
        <f t="shared" si="5052"/>
        <v>22</v>
      </c>
      <c r="E2508" s="66">
        <f t="shared" ref="E2508" si="5143">plan_id</f>
        <v>1952</v>
      </c>
      <c r="F2508" s="66">
        <f t="shared" ca="1" si="4675"/>
        <v>2003</v>
      </c>
      <c r="G2508" s="66">
        <f t="shared" ref="G2508" ca="1" si="5144">VLOOKUP(INDIRECT(CHAR(39)&amp;$A2508&amp;CHAR(39)&amp;"!r2c"&amp;$C2508,0),variables,2,0)</f>
        <v>10980</v>
      </c>
      <c r="H2508" s="71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66" t="s">
        <v>1244</v>
      </c>
      <c r="B2509" s="66">
        <f t="shared" si="5051"/>
        <v>5</v>
      </c>
      <c r="C2509" s="66">
        <f t="shared" si="5052"/>
        <v>23</v>
      </c>
      <c r="E2509" s="66">
        <f t="shared" ref="E2509" si="5145">plan_id</f>
        <v>1952</v>
      </c>
      <c r="F2509" s="66">
        <f t="shared" ca="1" si="4675"/>
        <v>2003</v>
      </c>
      <c r="G2509" s="66">
        <f t="shared" ref="G2509" ca="1" si="5146">VLOOKUP(INDIRECT(CHAR(39)&amp;$A2509&amp;CHAR(39)&amp;"!r2c"&amp;$C2509,0),variables,2,0)</f>
        <v>10981</v>
      </c>
      <c r="H2509" s="71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66" t="s">
        <v>1244</v>
      </c>
      <c r="B2510" s="66">
        <f t="shared" si="5051"/>
        <v>5</v>
      </c>
      <c r="C2510" s="66">
        <f t="shared" si="5052"/>
        <v>24</v>
      </c>
      <c r="E2510" s="66">
        <f t="shared" ref="E2510" si="5147">plan_id</f>
        <v>1952</v>
      </c>
      <c r="F2510" s="66">
        <f t="shared" ca="1" si="4675"/>
        <v>2003</v>
      </c>
      <c r="G2510" s="66">
        <f t="shared" ref="G2510" ca="1" si="5148">VLOOKUP(INDIRECT(CHAR(39)&amp;$A2510&amp;CHAR(39)&amp;"!r2c"&amp;$C2510,0),variables,2,0)</f>
        <v>10998</v>
      </c>
      <c r="H2510" s="7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66" t="s">
        <v>1244</v>
      </c>
      <c r="B2511" s="66">
        <f t="shared" si="5051"/>
        <v>5</v>
      </c>
      <c r="C2511" s="66">
        <f t="shared" si="5052"/>
        <v>25</v>
      </c>
      <c r="E2511" s="66">
        <f t="shared" ref="E2511" si="5149">plan_id</f>
        <v>1952</v>
      </c>
      <c r="F2511" s="66">
        <f t="shared" ca="1" si="4675"/>
        <v>2003</v>
      </c>
      <c r="G2511" s="66">
        <f t="shared" ref="G2511" ca="1" si="5150">VLOOKUP(INDIRECT(CHAR(39)&amp;$A2511&amp;CHAR(39)&amp;"!r2c"&amp;$C2511,0),variables,2,0)</f>
        <v>10999</v>
      </c>
      <c r="H2511" s="71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1537762000</v>
      </c>
    </row>
    <row r="2512" spans="1:8" x14ac:dyDescent="0.2">
      <c r="A2512" s="66" t="s">
        <v>1244</v>
      </c>
      <c r="B2512" s="66">
        <f t="shared" si="5051"/>
        <v>5</v>
      </c>
      <c r="C2512" s="66">
        <f t="shared" si="5052"/>
        <v>26</v>
      </c>
      <c r="E2512" s="66">
        <f t="shared" ref="E2512" si="5151">plan_id</f>
        <v>1952</v>
      </c>
      <c r="F2512" s="66">
        <f t="shared" ca="1" si="4675"/>
        <v>2003</v>
      </c>
      <c r="G2512" s="66">
        <f t="shared" ref="G2512" ca="1" si="5152">VLOOKUP(INDIRECT(CHAR(39)&amp;$A2512&amp;CHAR(39)&amp;"!r2c"&amp;$C2512,0),variables,2,0)</f>
        <v>11000</v>
      </c>
      <c r="H2512" s="71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67473000</v>
      </c>
    </row>
    <row r="2513" spans="1:8" x14ac:dyDescent="0.2">
      <c r="A2513" s="66" t="s">
        <v>1244</v>
      </c>
      <c r="B2513" s="66">
        <f t="shared" si="5051"/>
        <v>5</v>
      </c>
      <c r="C2513" s="66">
        <f t="shared" si="5052"/>
        <v>27</v>
      </c>
      <c r="E2513" s="66">
        <f t="shared" ref="E2513" si="5153">plan_id</f>
        <v>1952</v>
      </c>
      <c r="F2513" s="66">
        <f t="shared" ca="1" si="4675"/>
        <v>2003</v>
      </c>
      <c r="G2513" s="66">
        <f t="shared" ref="G2513" ca="1" si="5154">VLOOKUP(INDIRECT(CHAR(39)&amp;$A2513&amp;CHAR(39)&amp;"!r2c"&amp;$C2513,0),variables,2,0)</f>
        <v>11001</v>
      </c>
      <c r="H2513" s="71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16201000</v>
      </c>
    </row>
    <row r="2514" spans="1:8" x14ac:dyDescent="0.2">
      <c r="A2514" s="66" t="s">
        <v>1244</v>
      </c>
      <c r="B2514" s="66">
        <f t="shared" si="5051"/>
        <v>5</v>
      </c>
      <c r="C2514" s="66">
        <f t="shared" si="5052"/>
        <v>28</v>
      </c>
      <c r="E2514" s="66">
        <f t="shared" ref="E2514" si="5155">plan_id</f>
        <v>1952</v>
      </c>
      <c r="F2514" s="66">
        <f t="shared" ca="1" si="4675"/>
        <v>2003</v>
      </c>
      <c r="G2514" s="66">
        <f t="shared" ref="G2514" ca="1" si="5156">VLOOKUP(INDIRECT(CHAR(39)&amp;$A2514&amp;CHAR(39)&amp;"!r2c"&amp;$C2514,0),variables,2,0)</f>
        <v>11002</v>
      </c>
      <c r="H2514" s="7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66" t="s">
        <v>1244</v>
      </c>
      <c r="B2515" s="66">
        <f t="shared" si="5051"/>
        <v>5</v>
      </c>
      <c r="C2515" s="66">
        <f t="shared" si="5052"/>
        <v>29</v>
      </c>
      <c r="E2515" s="66">
        <f t="shared" ref="E2515" si="5157">plan_id</f>
        <v>1952</v>
      </c>
      <c r="F2515" s="66">
        <f t="shared" ca="1" si="4675"/>
        <v>2003</v>
      </c>
      <c r="G2515" s="66">
        <f t="shared" ref="G2515" ca="1" si="5158">VLOOKUP(INDIRECT(CHAR(39)&amp;$A2515&amp;CHAR(39)&amp;"!r2c"&amp;$C2515,0),variables,2,0)</f>
        <v>11003</v>
      </c>
      <c r="H2515" s="71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1621436000</v>
      </c>
    </row>
    <row r="2516" spans="1:8" x14ac:dyDescent="0.2">
      <c r="A2516" s="66" t="s">
        <v>1244</v>
      </c>
      <c r="B2516" s="66">
        <f t="shared" si="5051"/>
        <v>6</v>
      </c>
      <c r="C2516" s="66">
        <f t="shared" si="5052"/>
        <v>3</v>
      </c>
      <c r="E2516" s="66">
        <f t="shared" ref="E2516" si="5159">plan_id</f>
        <v>1952</v>
      </c>
      <c r="F2516" s="66">
        <f t="shared" ca="1" si="4675"/>
        <v>2004</v>
      </c>
      <c r="G2516" s="66">
        <f t="shared" ref="G2516" ca="1" si="5160">VLOOKUP(INDIRECT(CHAR(39)&amp;$A2516&amp;CHAR(39)&amp;"!r2c"&amp;$C2516,0),variables,2,0)</f>
        <v>10982</v>
      </c>
      <c r="H2516" s="71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2">
      <c r="A2517" s="66" t="s">
        <v>1244</v>
      </c>
      <c r="B2517" s="66">
        <f t="shared" si="5051"/>
        <v>6</v>
      </c>
      <c r="C2517" s="66">
        <f t="shared" si="5052"/>
        <v>4</v>
      </c>
      <c r="E2517" s="66">
        <f t="shared" ref="E2517" si="5161">plan_id</f>
        <v>1952</v>
      </c>
      <c r="F2517" s="66">
        <f t="shared" ca="1" si="4675"/>
        <v>2004</v>
      </c>
      <c r="G2517" s="66">
        <f t="shared" ref="G2517" ca="1" si="5162">VLOOKUP(INDIRECT(CHAR(39)&amp;$A2517&amp;CHAR(39)&amp;"!r2c"&amp;$C2517,0),variables,2,0)</f>
        <v>10984</v>
      </c>
      <c r="H2517" s="71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469200000</v>
      </c>
    </row>
    <row r="2518" spans="1:8" x14ac:dyDescent="0.2">
      <c r="A2518" s="66" t="s">
        <v>1244</v>
      </c>
      <c r="B2518" s="66">
        <f t="shared" si="5051"/>
        <v>6</v>
      </c>
      <c r="C2518" s="66">
        <f t="shared" si="5052"/>
        <v>5</v>
      </c>
      <c r="E2518" s="66">
        <f t="shared" ref="E2518" si="5163">plan_id</f>
        <v>1952</v>
      </c>
      <c r="F2518" s="66">
        <f t="shared" ca="1" si="4675"/>
        <v>2004</v>
      </c>
      <c r="G2518" s="66">
        <f t="shared" ref="G2518" ca="1" si="5164">VLOOKUP(INDIRECT(CHAR(39)&amp;$A2518&amp;CHAR(39)&amp;"!r2c"&amp;$C2518,0),variables,2,0)</f>
        <v>10985</v>
      </c>
      <c r="H2518" s="71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430068720</v>
      </c>
    </row>
    <row r="2519" spans="1:8" x14ac:dyDescent="0.2">
      <c r="A2519" s="66" t="s">
        <v>1244</v>
      </c>
      <c r="B2519" s="66">
        <f t="shared" si="5051"/>
        <v>6</v>
      </c>
      <c r="C2519" s="66">
        <f t="shared" si="5052"/>
        <v>6</v>
      </c>
      <c r="E2519" s="66">
        <f t="shared" ref="E2519" si="5165">plan_id</f>
        <v>1952</v>
      </c>
      <c r="F2519" s="66">
        <f t="shared" ca="1" si="4675"/>
        <v>2004</v>
      </c>
      <c r="G2519" s="66">
        <f t="shared" ref="G2519" ca="1" si="5166">VLOOKUP(INDIRECT(CHAR(39)&amp;$A2519&amp;CHAR(39)&amp;"!r2c"&amp;$C2519,0),variables,2,0)</f>
        <v>10986</v>
      </c>
      <c r="H2519" s="7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39131280</v>
      </c>
    </row>
    <row r="2520" spans="1:8" x14ac:dyDescent="0.2">
      <c r="A2520" s="66" t="s">
        <v>1244</v>
      </c>
      <c r="B2520" s="66">
        <f t="shared" si="5051"/>
        <v>6</v>
      </c>
      <c r="C2520" s="66">
        <f t="shared" si="5052"/>
        <v>7</v>
      </c>
      <c r="E2520" s="66">
        <f t="shared" ref="E2520" si="5167">plan_id</f>
        <v>1952</v>
      </c>
      <c r="F2520" s="66">
        <f t="shared" ca="1" si="4675"/>
        <v>2004</v>
      </c>
      <c r="G2520" s="66">
        <f t="shared" ref="G2520" ca="1" si="5168">VLOOKUP(INDIRECT(CHAR(39)&amp;$A2520&amp;CHAR(39)&amp;"!r2c"&amp;$C2520,0),variables,2,0)</f>
        <v>10974</v>
      </c>
      <c r="H2520" s="71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2">
      <c r="A2521" s="66" t="s">
        <v>1244</v>
      </c>
      <c r="B2521" s="66">
        <f t="shared" si="5051"/>
        <v>6</v>
      </c>
      <c r="C2521" s="66">
        <f t="shared" si="5052"/>
        <v>8</v>
      </c>
      <c r="E2521" s="66">
        <f t="shared" ref="E2521" si="5169">plan_id</f>
        <v>1952</v>
      </c>
      <c r="F2521" s="66">
        <f t="shared" ca="1" si="4675"/>
        <v>2004</v>
      </c>
      <c r="G2521" s="66">
        <f t="shared" ref="G2521" ca="1" si="5170">VLOOKUP(INDIRECT(CHAR(39)&amp;$A2521&amp;CHAR(39)&amp;"!r2c"&amp;$C2521,0),variables,2,0)</f>
        <v>10987</v>
      </c>
      <c r="H2521" s="7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0.91659999999999997</v>
      </c>
    </row>
    <row r="2522" spans="1:8" x14ac:dyDescent="0.2">
      <c r="A2522" s="66" t="s">
        <v>1244</v>
      </c>
      <c r="B2522" s="66">
        <f t="shared" si="5051"/>
        <v>6</v>
      </c>
      <c r="C2522" s="66">
        <f t="shared" si="5052"/>
        <v>9</v>
      </c>
      <c r="E2522" s="66">
        <f t="shared" ref="E2522" si="5171">plan_id</f>
        <v>1952</v>
      </c>
      <c r="F2522" s="66">
        <f t="shared" ca="1" si="4675"/>
        <v>2004</v>
      </c>
      <c r="G2522" s="66">
        <f t="shared" ref="G2522" ca="1" si="5172">VLOOKUP(INDIRECT(CHAR(39)&amp;$A2522&amp;CHAR(39)&amp;"!r2c"&amp;$C2522,0),variables,2,0)</f>
        <v>10885</v>
      </c>
      <c r="H2522" s="71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66" t="s">
        <v>1244</v>
      </c>
      <c r="B2523" s="66">
        <f t="shared" si="5051"/>
        <v>6</v>
      </c>
      <c r="C2523" s="66">
        <f t="shared" si="5052"/>
        <v>10</v>
      </c>
      <c r="E2523" s="66">
        <f t="shared" ref="E2523" si="5173">plan_id</f>
        <v>1952</v>
      </c>
      <c r="F2523" s="66">
        <f t="shared" ca="1" si="4675"/>
        <v>2004</v>
      </c>
      <c r="G2523" s="66">
        <f t="shared" ref="G2523" ca="1" si="5174">VLOOKUP(INDIRECT(CHAR(39)&amp;$A2523&amp;CHAR(39)&amp;"!r2c"&amp;$C2523,0),variables,2,0)</f>
        <v>10886</v>
      </c>
      <c r="H2523" s="71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66" t="s">
        <v>1244</v>
      </c>
      <c r="B2524" s="66">
        <f t="shared" si="5051"/>
        <v>6</v>
      </c>
      <c r="C2524" s="66">
        <f t="shared" si="5052"/>
        <v>11</v>
      </c>
      <c r="E2524" s="66">
        <f t="shared" ref="E2524" si="5175">plan_id</f>
        <v>1952</v>
      </c>
      <c r="F2524" s="66">
        <f t="shared" ca="1" si="4675"/>
        <v>2004</v>
      </c>
      <c r="G2524" s="66">
        <f t="shared" ref="G2524" ca="1" si="5176">VLOOKUP(INDIRECT(CHAR(39)&amp;$A2524&amp;CHAR(39)&amp;"!r2c"&amp;$C2524,0),variables,2,0)</f>
        <v>10887</v>
      </c>
      <c r="H2524" s="71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66" t="s">
        <v>1244</v>
      </c>
      <c r="B2525" s="66">
        <f t="shared" si="5051"/>
        <v>6</v>
      </c>
      <c r="C2525" s="66">
        <f t="shared" si="5052"/>
        <v>12</v>
      </c>
      <c r="E2525" s="66">
        <f t="shared" ref="E2525" si="5177">plan_id</f>
        <v>1952</v>
      </c>
      <c r="F2525" s="66">
        <f t="shared" ref="F2525:F2635" ca="1" si="5178">INDIRECT(CHAR(39)&amp;$A2525&amp;CHAR(39)&amp;"!r"&amp;$B2525&amp;"c2",0)</f>
        <v>2004</v>
      </c>
      <c r="G2525" s="66">
        <f t="shared" ref="G2525" ca="1" si="5179">VLOOKUP(INDIRECT(CHAR(39)&amp;$A2525&amp;CHAR(39)&amp;"!r2c"&amp;$C2525,0),variables,2,0)</f>
        <v>10883</v>
      </c>
      <c r="H2525" s="71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66" t="s">
        <v>1244</v>
      </c>
      <c r="B2526" s="66">
        <f t="shared" si="5051"/>
        <v>6</v>
      </c>
      <c r="C2526" s="66">
        <f t="shared" si="5052"/>
        <v>13</v>
      </c>
      <c r="E2526" s="66">
        <f t="shared" ref="E2526" si="5180">plan_id</f>
        <v>1952</v>
      </c>
      <c r="F2526" s="66">
        <f t="shared" ca="1" si="5178"/>
        <v>2004</v>
      </c>
      <c r="G2526" s="66">
        <f t="shared" ref="G2526" ca="1" si="5181">VLOOKUP(INDIRECT(CHAR(39)&amp;$A2526&amp;CHAR(39)&amp;"!r2c"&amp;$C2526,0),variables,2,0)</f>
        <v>10989</v>
      </c>
      <c r="H2526" s="71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39243000000</v>
      </c>
    </row>
    <row r="2527" spans="1:8" x14ac:dyDescent="0.2">
      <c r="A2527" s="66" t="s">
        <v>1244</v>
      </c>
      <c r="B2527" s="66">
        <f t="shared" ref="B2527:B2590" si="5182">B2500+1</f>
        <v>6</v>
      </c>
      <c r="C2527" s="66">
        <f t="shared" ref="C2527:C2590" si="5183">C2500</f>
        <v>14</v>
      </c>
      <c r="E2527" s="66">
        <f t="shared" ref="E2527" si="5184">plan_id</f>
        <v>1952</v>
      </c>
      <c r="F2527" s="66">
        <f t="shared" ca="1" si="5178"/>
        <v>2004</v>
      </c>
      <c r="G2527" s="66">
        <f t="shared" ref="G2527" ca="1" si="5185">VLOOKUP(INDIRECT(CHAR(39)&amp;$A2527&amp;CHAR(39)&amp;"!r2c"&amp;$C2527,0),variables,2,0)</f>
        <v>10990</v>
      </c>
      <c r="H2527" s="71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40698000000</v>
      </c>
    </row>
    <row r="2528" spans="1:8" x14ac:dyDescent="0.2">
      <c r="A2528" s="66" t="s">
        <v>1244</v>
      </c>
      <c r="B2528" s="66">
        <f t="shared" si="5182"/>
        <v>6</v>
      </c>
      <c r="C2528" s="66">
        <f t="shared" si="5183"/>
        <v>15</v>
      </c>
      <c r="E2528" s="66">
        <f t="shared" ref="E2528" si="5186">plan_id</f>
        <v>1952</v>
      </c>
      <c r="F2528" s="66">
        <f t="shared" ca="1" si="5178"/>
        <v>2004</v>
      </c>
      <c r="G2528" s="66">
        <f t="shared" ref="G2528" ca="1" si="5187">VLOOKUP(INDIRECT(CHAR(39)&amp;$A2528&amp;CHAR(39)&amp;"!r2c"&amp;$C2528,0),variables,2,0)</f>
        <v>10991</v>
      </c>
      <c r="H2528" s="71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1455000000</v>
      </c>
    </row>
    <row r="2529" spans="1:8" x14ac:dyDescent="0.2">
      <c r="A2529" s="66" t="s">
        <v>1244</v>
      </c>
      <c r="B2529" s="66">
        <f t="shared" si="5182"/>
        <v>6</v>
      </c>
      <c r="C2529" s="66">
        <f t="shared" si="5183"/>
        <v>16</v>
      </c>
      <c r="E2529" s="66">
        <f t="shared" ref="E2529" si="5188">plan_id</f>
        <v>1952</v>
      </c>
      <c r="F2529" s="66">
        <f t="shared" ca="1" si="5178"/>
        <v>2004</v>
      </c>
      <c r="G2529" s="66">
        <f t="shared" ref="G2529" ca="1" si="5189">VLOOKUP(INDIRECT(CHAR(39)&amp;$A2529&amp;CHAR(39)&amp;"!r2c"&amp;$C2529,0),variables,2,0)</f>
        <v>10992</v>
      </c>
      <c r="H2529" s="71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0.96399999999999997</v>
      </c>
    </row>
    <row r="2530" spans="1:8" x14ac:dyDescent="0.2">
      <c r="A2530" s="66" t="s">
        <v>1244</v>
      </c>
      <c r="B2530" s="66">
        <f t="shared" si="5182"/>
        <v>6</v>
      </c>
      <c r="C2530" s="66">
        <f t="shared" si="5183"/>
        <v>17</v>
      </c>
      <c r="E2530" s="66">
        <f t="shared" ref="E2530" si="5190">plan_id</f>
        <v>1952</v>
      </c>
      <c r="F2530" s="66">
        <f t="shared" ca="1" si="5178"/>
        <v>2004</v>
      </c>
      <c r="G2530" s="66">
        <f t="shared" ref="G2530" ca="1" si="5191">VLOOKUP(INDIRECT(CHAR(39)&amp;$A2530&amp;CHAR(39)&amp;"!r2c"&amp;$C2530,0),variables,2,0)</f>
        <v>10993</v>
      </c>
      <c r="H2530" s="71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10885000000</v>
      </c>
    </row>
    <row r="2531" spans="1:8" x14ac:dyDescent="0.2">
      <c r="A2531" s="66" t="s">
        <v>1244</v>
      </c>
      <c r="B2531" s="66">
        <f t="shared" si="5182"/>
        <v>6</v>
      </c>
      <c r="C2531" s="66">
        <f t="shared" si="5183"/>
        <v>18</v>
      </c>
      <c r="E2531" s="66">
        <f t="shared" ref="E2531" si="5192">plan_id</f>
        <v>1952</v>
      </c>
      <c r="F2531" s="66">
        <f t="shared" ca="1" si="5178"/>
        <v>2004</v>
      </c>
      <c r="G2531" s="66">
        <f t="shared" ref="G2531" ca="1" si="5193">VLOOKUP(INDIRECT(CHAR(39)&amp;$A2531&amp;CHAR(39)&amp;"!r2c"&amp;$C2531,0),variables,2,0)</f>
        <v>11005</v>
      </c>
      <c r="H2531" s="71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66" t="s">
        <v>1244</v>
      </c>
      <c r="B2532" s="66">
        <f t="shared" si="5182"/>
        <v>6</v>
      </c>
      <c r="C2532" s="66">
        <f t="shared" si="5183"/>
        <v>19</v>
      </c>
      <c r="E2532" s="66">
        <f t="shared" ref="E2532" si="5194">plan_id</f>
        <v>1952</v>
      </c>
      <c r="F2532" s="66">
        <f t="shared" ca="1" si="5178"/>
        <v>2004</v>
      </c>
      <c r="G2532" s="66">
        <f t="shared" ref="G2532" ca="1" si="5195">VLOOKUP(INDIRECT(CHAR(39)&amp;$A2532&amp;CHAR(39)&amp;"!r2c"&amp;$C2532,0),variables,2,0)</f>
        <v>10988</v>
      </c>
      <c r="H2532" s="71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4.3105190629306386E-2</v>
      </c>
    </row>
    <row r="2533" spans="1:8" x14ac:dyDescent="0.2">
      <c r="A2533" s="66" t="s">
        <v>1244</v>
      </c>
      <c r="B2533" s="66">
        <f t="shared" si="5182"/>
        <v>6</v>
      </c>
      <c r="C2533" s="66">
        <f t="shared" si="5183"/>
        <v>20</v>
      </c>
      <c r="E2533" s="66">
        <f t="shared" ref="E2533" si="5196">plan_id</f>
        <v>1952</v>
      </c>
      <c r="F2533" s="66">
        <f t="shared" ca="1" si="5178"/>
        <v>2004</v>
      </c>
      <c r="G2533" s="66">
        <f t="shared" ref="G2533" ca="1" si="5197">VLOOKUP(INDIRECT(CHAR(39)&amp;$A2533&amp;CHAR(39)&amp;"!r2c"&amp;$C2533,0),variables,2,0)</f>
        <v>10996</v>
      </c>
      <c r="H2533" s="71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37784408000</v>
      </c>
    </row>
    <row r="2534" spans="1:8" x14ac:dyDescent="0.2">
      <c r="A2534" s="66" t="s">
        <v>1244</v>
      </c>
      <c r="B2534" s="66">
        <f t="shared" si="5182"/>
        <v>6</v>
      </c>
      <c r="C2534" s="66">
        <f t="shared" si="5183"/>
        <v>21</v>
      </c>
      <c r="E2534" s="66">
        <f t="shared" ref="E2534" si="5198">plan_id</f>
        <v>1952</v>
      </c>
      <c r="F2534" s="66">
        <f t="shared" ca="1" si="5178"/>
        <v>2004</v>
      </c>
      <c r="G2534" s="66">
        <f t="shared" ref="G2534" ca="1" si="5199">VLOOKUP(INDIRECT(CHAR(39)&amp;$A2534&amp;CHAR(39)&amp;"!r2c"&amp;$C2534,0),variables,2,0)</f>
        <v>10997</v>
      </c>
      <c r="H2534" s="71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0.92840945501007421</v>
      </c>
    </row>
    <row r="2535" spans="1:8" x14ac:dyDescent="0.2">
      <c r="A2535" s="66" t="s">
        <v>1244</v>
      </c>
      <c r="B2535" s="66">
        <f t="shared" si="5182"/>
        <v>6</v>
      </c>
      <c r="C2535" s="66">
        <f t="shared" si="5183"/>
        <v>22</v>
      </c>
      <c r="E2535" s="66">
        <f t="shared" ref="E2535" si="5200">plan_id</f>
        <v>1952</v>
      </c>
      <c r="F2535" s="66">
        <f t="shared" ca="1" si="5178"/>
        <v>2004</v>
      </c>
      <c r="G2535" s="66">
        <f t="shared" ref="G2535" ca="1" si="5201">VLOOKUP(INDIRECT(CHAR(39)&amp;$A2535&amp;CHAR(39)&amp;"!r2c"&amp;$C2535,0),variables,2,0)</f>
        <v>10980</v>
      </c>
      <c r="H2535" s="71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66" t="s">
        <v>1244</v>
      </c>
      <c r="B2536" s="66">
        <f t="shared" si="5182"/>
        <v>6</v>
      </c>
      <c r="C2536" s="66">
        <f t="shared" si="5183"/>
        <v>23</v>
      </c>
      <c r="E2536" s="66">
        <f t="shared" ref="E2536" si="5202">plan_id</f>
        <v>1952</v>
      </c>
      <c r="F2536" s="66">
        <f t="shared" ca="1" si="5178"/>
        <v>2004</v>
      </c>
      <c r="G2536" s="66">
        <f t="shared" ref="G2536" ca="1" si="5203">VLOOKUP(INDIRECT(CHAR(39)&amp;$A2536&amp;CHAR(39)&amp;"!r2c"&amp;$C2536,0),variables,2,0)</f>
        <v>10981</v>
      </c>
      <c r="H2536" s="71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66" t="s">
        <v>1244</v>
      </c>
      <c r="B2537" s="66">
        <f t="shared" si="5182"/>
        <v>6</v>
      </c>
      <c r="C2537" s="66">
        <f t="shared" si="5183"/>
        <v>24</v>
      </c>
      <c r="E2537" s="66">
        <f t="shared" ref="E2537" si="5204">plan_id</f>
        <v>1952</v>
      </c>
      <c r="F2537" s="66">
        <f t="shared" ca="1" si="5178"/>
        <v>2004</v>
      </c>
      <c r="G2537" s="66">
        <f t="shared" ref="G2537" ca="1" si="5205">VLOOKUP(INDIRECT(CHAR(39)&amp;$A2537&amp;CHAR(39)&amp;"!r2c"&amp;$C2537,0),variables,2,0)</f>
        <v>10998</v>
      </c>
      <c r="H2537" s="7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2811841000</v>
      </c>
    </row>
    <row r="2538" spans="1:8" x14ac:dyDescent="0.2">
      <c r="A2538" s="66" t="s">
        <v>1244</v>
      </c>
      <c r="B2538" s="66">
        <f t="shared" si="5182"/>
        <v>6</v>
      </c>
      <c r="C2538" s="66">
        <f t="shared" si="5183"/>
        <v>25</v>
      </c>
      <c r="E2538" s="66">
        <f t="shared" ref="E2538" si="5206">plan_id</f>
        <v>1952</v>
      </c>
      <c r="F2538" s="66">
        <f t="shared" ca="1" si="5178"/>
        <v>2004</v>
      </c>
      <c r="G2538" s="66">
        <f t="shared" ref="G2538" ca="1" si="5207">VLOOKUP(INDIRECT(CHAR(39)&amp;$A2538&amp;CHAR(39)&amp;"!r2c"&amp;$C2538,0),variables,2,0)</f>
        <v>10999</v>
      </c>
      <c r="H2538" s="71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1692166000</v>
      </c>
    </row>
    <row r="2539" spans="1:8" x14ac:dyDescent="0.2">
      <c r="A2539" s="66" t="s">
        <v>1244</v>
      </c>
      <c r="B2539" s="66">
        <f t="shared" si="5182"/>
        <v>6</v>
      </c>
      <c r="C2539" s="66">
        <f t="shared" si="5183"/>
        <v>26</v>
      </c>
      <c r="E2539" s="66">
        <f t="shared" ref="E2539" si="5208">plan_id</f>
        <v>1952</v>
      </c>
      <c r="F2539" s="66">
        <f t="shared" ca="1" si="5178"/>
        <v>2004</v>
      </c>
      <c r="G2539" s="66">
        <f t="shared" ref="G2539" ca="1" si="5209">VLOOKUP(INDIRECT(CHAR(39)&amp;$A2539&amp;CHAR(39)&amp;"!r2c"&amp;$C2539,0),variables,2,0)</f>
        <v>11000</v>
      </c>
      <c r="H2539" s="71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80237000</v>
      </c>
    </row>
    <row r="2540" spans="1:8" x14ac:dyDescent="0.2">
      <c r="A2540" s="66" t="s">
        <v>1244</v>
      </c>
      <c r="B2540" s="66">
        <f t="shared" si="5182"/>
        <v>6</v>
      </c>
      <c r="C2540" s="66">
        <f t="shared" si="5183"/>
        <v>27</v>
      </c>
      <c r="E2540" s="66">
        <f t="shared" ref="E2540" si="5210">plan_id</f>
        <v>1952</v>
      </c>
      <c r="F2540" s="66">
        <f t="shared" ca="1" si="5178"/>
        <v>2004</v>
      </c>
      <c r="G2540" s="66">
        <f t="shared" ref="G2540" ca="1" si="5211">VLOOKUP(INDIRECT(CHAR(39)&amp;$A2540&amp;CHAR(39)&amp;"!r2c"&amp;$C2540,0),variables,2,0)</f>
        <v>11001</v>
      </c>
      <c r="H2540" s="71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18119000</v>
      </c>
    </row>
    <row r="2541" spans="1:8" x14ac:dyDescent="0.2">
      <c r="A2541" s="66" t="s">
        <v>1244</v>
      </c>
      <c r="B2541" s="66">
        <f t="shared" si="5182"/>
        <v>6</v>
      </c>
      <c r="C2541" s="66">
        <f t="shared" si="5183"/>
        <v>28</v>
      </c>
      <c r="E2541" s="66">
        <f t="shared" ref="E2541" si="5212">plan_id</f>
        <v>1952</v>
      </c>
      <c r="F2541" s="66">
        <f t="shared" ca="1" si="5178"/>
        <v>2004</v>
      </c>
      <c r="G2541" s="66">
        <f t="shared" ref="G2541" ca="1" si="5213">VLOOKUP(INDIRECT(CHAR(39)&amp;$A2541&amp;CHAR(39)&amp;"!r2c"&amp;$C2541,0),variables,2,0)</f>
        <v>11002</v>
      </c>
      <c r="H2541" s="7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66" t="s">
        <v>1244</v>
      </c>
      <c r="B2542" s="66">
        <f t="shared" si="5182"/>
        <v>6</v>
      </c>
      <c r="C2542" s="66">
        <f t="shared" si="5183"/>
        <v>29</v>
      </c>
      <c r="E2542" s="66">
        <f t="shared" ref="E2542" si="5214">plan_id</f>
        <v>1952</v>
      </c>
      <c r="F2542" s="66">
        <f t="shared" ca="1" si="5178"/>
        <v>2004</v>
      </c>
      <c r="G2542" s="66">
        <f t="shared" ref="G2542" ca="1" si="5215">VLOOKUP(INDIRECT(CHAR(39)&amp;$A2542&amp;CHAR(39)&amp;"!r2c"&amp;$C2542,0),variables,2,0)</f>
        <v>11003</v>
      </c>
      <c r="H2542" s="71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1790522000</v>
      </c>
    </row>
    <row r="2543" spans="1:8" x14ac:dyDescent="0.2">
      <c r="A2543" s="66" t="s">
        <v>1244</v>
      </c>
      <c r="B2543" s="66">
        <f t="shared" si="5182"/>
        <v>7</v>
      </c>
      <c r="C2543" s="66">
        <f t="shared" si="5183"/>
        <v>3</v>
      </c>
      <c r="E2543" s="66">
        <f t="shared" ref="E2543" si="5216">plan_id</f>
        <v>1952</v>
      </c>
      <c r="F2543" s="66">
        <f t="shared" ca="1" si="5178"/>
        <v>2005</v>
      </c>
      <c r="G2543" s="66">
        <f t="shared" ref="G2543" ca="1" si="5217">VLOOKUP(INDIRECT(CHAR(39)&amp;$A2543&amp;CHAR(39)&amp;"!r2c"&amp;$C2543,0),variables,2,0)</f>
        <v>10982</v>
      </c>
      <c r="H2543" s="71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2">
      <c r="A2544" s="66" t="s">
        <v>1244</v>
      </c>
      <c r="B2544" s="66">
        <f t="shared" si="5182"/>
        <v>7</v>
      </c>
      <c r="C2544" s="66">
        <f t="shared" si="5183"/>
        <v>4</v>
      </c>
      <c r="E2544" s="66">
        <f t="shared" ref="E2544" si="5218">plan_id</f>
        <v>1952</v>
      </c>
      <c r="F2544" s="66">
        <f t="shared" ca="1" si="5178"/>
        <v>2005</v>
      </c>
      <c r="G2544" s="66">
        <f t="shared" ref="G2544" ca="1" si="5219">VLOOKUP(INDIRECT(CHAR(39)&amp;$A2544&amp;CHAR(39)&amp;"!r2c"&amp;$C2544,0),variables,2,0)</f>
        <v>10984</v>
      </c>
      <c r="H2544" s="71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810944000</v>
      </c>
    </row>
    <row r="2545" spans="1:8" x14ac:dyDescent="0.2">
      <c r="A2545" s="66" t="s">
        <v>1244</v>
      </c>
      <c r="B2545" s="66">
        <f t="shared" si="5182"/>
        <v>7</v>
      </c>
      <c r="C2545" s="66">
        <f t="shared" si="5183"/>
        <v>5</v>
      </c>
      <c r="E2545" s="66">
        <f t="shared" ref="E2545" si="5220">plan_id</f>
        <v>1952</v>
      </c>
      <c r="F2545" s="66">
        <f t="shared" ca="1" si="5178"/>
        <v>2005</v>
      </c>
      <c r="G2545" s="66">
        <f t="shared" ref="G2545" ca="1" si="5221">VLOOKUP(INDIRECT(CHAR(39)&amp;$A2545&amp;CHAR(39)&amp;"!r2c"&amp;$C2545,0),variables,2,0)</f>
        <v>10985</v>
      </c>
      <c r="H2545" s="71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691410854.39999998</v>
      </c>
    </row>
    <row r="2546" spans="1:8" x14ac:dyDescent="0.2">
      <c r="A2546" s="66" t="s">
        <v>1244</v>
      </c>
      <c r="B2546" s="66">
        <f t="shared" si="5182"/>
        <v>7</v>
      </c>
      <c r="C2546" s="66">
        <f t="shared" si="5183"/>
        <v>6</v>
      </c>
      <c r="E2546" s="66">
        <f t="shared" ref="E2546" si="5222">plan_id</f>
        <v>1952</v>
      </c>
      <c r="F2546" s="66">
        <f t="shared" ca="1" si="5178"/>
        <v>2005</v>
      </c>
      <c r="G2546" s="66">
        <f t="shared" ref="G2546" ca="1" si="5223">VLOOKUP(INDIRECT(CHAR(39)&amp;$A2546&amp;CHAR(39)&amp;"!r2c"&amp;$C2546,0),variables,2,0)</f>
        <v>10986</v>
      </c>
      <c r="H2546" s="7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119533145.60000002</v>
      </c>
    </row>
    <row r="2547" spans="1:8" x14ac:dyDescent="0.2">
      <c r="A2547" s="66" t="s">
        <v>1244</v>
      </c>
      <c r="B2547" s="66">
        <f t="shared" si="5182"/>
        <v>7</v>
      </c>
      <c r="C2547" s="66">
        <f t="shared" si="5183"/>
        <v>7</v>
      </c>
      <c r="E2547" s="66">
        <f t="shared" ref="E2547" si="5224">plan_id</f>
        <v>1952</v>
      </c>
      <c r="F2547" s="66">
        <f t="shared" ca="1" si="5178"/>
        <v>2005</v>
      </c>
      <c r="G2547" s="66">
        <f t="shared" ref="G2547" ca="1" si="5225">VLOOKUP(INDIRECT(CHAR(39)&amp;$A2547&amp;CHAR(39)&amp;"!r2c"&amp;$C2547,0),variables,2,0)</f>
        <v>10974</v>
      </c>
      <c r="H2547" s="71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2">
      <c r="A2548" s="66" t="s">
        <v>1244</v>
      </c>
      <c r="B2548" s="66">
        <f t="shared" si="5182"/>
        <v>7</v>
      </c>
      <c r="C2548" s="66">
        <f t="shared" si="5183"/>
        <v>8</v>
      </c>
      <c r="E2548" s="66">
        <f t="shared" ref="E2548" si="5226">plan_id</f>
        <v>1952</v>
      </c>
      <c r="F2548" s="66">
        <f t="shared" ca="1" si="5178"/>
        <v>2005</v>
      </c>
      <c r="G2548" s="66">
        <f t="shared" ref="G2548" ca="1" si="5227">VLOOKUP(INDIRECT(CHAR(39)&amp;$A2548&amp;CHAR(39)&amp;"!r2c"&amp;$C2548,0),variables,2,0)</f>
        <v>10987</v>
      </c>
      <c r="H2548" s="7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0.85260000000000002</v>
      </c>
    </row>
    <row r="2549" spans="1:8" x14ac:dyDescent="0.2">
      <c r="A2549" s="66" t="s">
        <v>1244</v>
      </c>
      <c r="B2549" s="66">
        <f t="shared" si="5182"/>
        <v>7</v>
      </c>
      <c r="C2549" s="66">
        <f t="shared" si="5183"/>
        <v>9</v>
      </c>
      <c r="E2549" s="66">
        <f t="shared" ref="E2549" si="5228">plan_id</f>
        <v>1952</v>
      </c>
      <c r="F2549" s="66">
        <f t="shared" ca="1" si="5178"/>
        <v>2005</v>
      </c>
      <c r="G2549" s="66">
        <f t="shared" ref="G2549" ca="1" si="5229">VLOOKUP(INDIRECT(CHAR(39)&amp;$A2549&amp;CHAR(39)&amp;"!r2c"&amp;$C2549,0),variables,2,0)</f>
        <v>10885</v>
      </c>
      <c r="H2549" s="71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66" t="s">
        <v>1244</v>
      </c>
      <c r="B2550" s="66">
        <f t="shared" si="5182"/>
        <v>7</v>
      </c>
      <c r="C2550" s="66">
        <f t="shared" si="5183"/>
        <v>10</v>
      </c>
      <c r="E2550" s="66">
        <f t="shared" ref="E2550" si="5230">plan_id</f>
        <v>1952</v>
      </c>
      <c r="F2550" s="66">
        <f t="shared" ca="1" si="5178"/>
        <v>2005</v>
      </c>
      <c r="G2550" s="66">
        <f t="shared" ref="G2550" ca="1" si="5231">VLOOKUP(INDIRECT(CHAR(39)&amp;$A2550&amp;CHAR(39)&amp;"!r2c"&amp;$C2550,0),variables,2,0)</f>
        <v>10886</v>
      </c>
      <c r="H2550" s="71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66" t="s">
        <v>1244</v>
      </c>
      <c r="B2551" s="66">
        <f t="shared" si="5182"/>
        <v>7</v>
      </c>
      <c r="C2551" s="66">
        <f t="shared" si="5183"/>
        <v>11</v>
      </c>
      <c r="E2551" s="66">
        <f t="shared" ref="E2551" si="5232">plan_id</f>
        <v>1952</v>
      </c>
      <c r="F2551" s="66">
        <f t="shared" ca="1" si="5178"/>
        <v>2005</v>
      </c>
      <c r="G2551" s="66">
        <f t="shared" ref="G2551" ca="1" si="5233">VLOOKUP(INDIRECT(CHAR(39)&amp;$A2551&amp;CHAR(39)&amp;"!r2c"&amp;$C2551,0),variables,2,0)</f>
        <v>10887</v>
      </c>
      <c r="H2551" s="71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66" t="s">
        <v>1244</v>
      </c>
      <c r="B2552" s="66">
        <f t="shared" si="5182"/>
        <v>7</v>
      </c>
      <c r="C2552" s="66">
        <f t="shared" si="5183"/>
        <v>12</v>
      </c>
      <c r="E2552" s="66">
        <f t="shared" ref="E2552" si="5234">plan_id</f>
        <v>1952</v>
      </c>
      <c r="F2552" s="66">
        <f t="shared" ca="1" si="5178"/>
        <v>2005</v>
      </c>
      <c r="G2552" s="66">
        <f t="shared" ref="G2552" ca="1" si="5235">VLOOKUP(INDIRECT(CHAR(39)&amp;$A2552&amp;CHAR(39)&amp;"!r2c"&amp;$C2552,0),variables,2,0)</f>
        <v>10883</v>
      </c>
      <c r="H2552" s="71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66" t="s">
        <v>1244</v>
      </c>
      <c r="B2553" s="66">
        <f t="shared" si="5182"/>
        <v>7</v>
      </c>
      <c r="C2553" s="66">
        <f t="shared" si="5183"/>
        <v>13</v>
      </c>
      <c r="E2553" s="66">
        <f t="shared" ref="E2553" si="5236">plan_id</f>
        <v>1952</v>
      </c>
      <c r="F2553" s="66">
        <f t="shared" ca="1" si="5178"/>
        <v>2005</v>
      </c>
      <c r="G2553" s="66">
        <f t="shared" ref="G2553" ca="1" si="5237">VLOOKUP(INDIRECT(CHAR(39)&amp;$A2553&amp;CHAR(39)&amp;"!r2c"&amp;$C2553,0),variables,2,0)</f>
        <v>10989</v>
      </c>
      <c r="H2553" s="71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39691000000</v>
      </c>
    </row>
    <row r="2554" spans="1:8" x14ac:dyDescent="0.2">
      <c r="A2554" s="66" t="s">
        <v>1244</v>
      </c>
      <c r="B2554" s="66">
        <f t="shared" si="5182"/>
        <v>7</v>
      </c>
      <c r="C2554" s="66">
        <f t="shared" si="5183"/>
        <v>14</v>
      </c>
      <c r="E2554" s="66">
        <f t="shared" ref="E2554" si="5238">plan_id</f>
        <v>1952</v>
      </c>
      <c r="F2554" s="66">
        <f t="shared" ca="1" si="5178"/>
        <v>2005</v>
      </c>
      <c r="G2554" s="66">
        <f t="shared" ref="G2554" ca="1" si="5239">VLOOKUP(INDIRECT(CHAR(39)&amp;$A2554&amp;CHAR(39)&amp;"!r2c"&amp;$C2554,0),variables,2,0)</f>
        <v>10990</v>
      </c>
      <c r="H2554" s="71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43958000000</v>
      </c>
    </row>
    <row r="2555" spans="1:8" x14ac:dyDescent="0.2">
      <c r="A2555" s="66" t="s">
        <v>1244</v>
      </c>
      <c r="B2555" s="66">
        <f t="shared" si="5182"/>
        <v>7</v>
      </c>
      <c r="C2555" s="66">
        <f t="shared" si="5183"/>
        <v>15</v>
      </c>
      <c r="E2555" s="66">
        <f t="shared" ref="E2555" si="5240">plan_id</f>
        <v>1952</v>
      </c>
      <c r="F2555" s="66">
        <f t="shared" ca="1" si="5178"/>
        <v>2005</v>
      </c>
      <c r="G2555" s="66">
        <f t="shared" ref="G2555" ca="1" si="5241">VLOOKUP(INDIRECT(CHAR(39)&amp;$A2555&amp;CHAR(39)&amp;"!r2c"&amp;$C2555,0),variables,2,0)</f>
        <v>10991</v>
      </c>
      <c r="H2555" s="71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4267000000</v>
      </c>
    </row>
    <row r="2556" spans="1:8" x14ac:dyDescent="0.2">
      <c r="A2556" s="66" t="s">
        <v>1244</v>
      </c>
      <c r="B2556" s="66">
        <f t="shared" si="5182"/>
        <v>7</v>
      </c>
      <c r="C2556" s="66">
        <f t="shared" si="5183"/>
        <v>16</v>
      </c>
      <c r="E2556" s="66">
        <f t="shared" ref="E2556" si="5242">plan_id</f>
        <v>1952</v>
      </c>
      <c r="F2556" s="66">
        <f t="shared" ca="1" si="5178"/>
        <v>2005</v>
      </c>
      <c r="G2556" s="66">
        <f t="shared" ref="G2556" ca="1" si="5243">VLOOKUP(INDIRECT(CHAR(39)&amp;$A2556&amp;CHAR(39)&amp;"!r2c"&amp;$C2556,0),variables,2,0)</f>
        <v>10992</v>
      </c>
      <c r="H2556" s="71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0.90300000000000002</v>
      </c>
    </row>
    <row r="2557" spans="1:8" x14ac:dyDescent="0.2">
      <c r="A2557" s="66" t="s">
        <v>1244</v>
      </c>
      <c r="B2557" s="66">
        <f t="shared" si="5182"/>
        <v>7</v>
      </c>
      <c r="C2557" s="66">
        <f t="shared" si="5183"/>
        <v>17</v>
      </c>
      <c r="E2557" s="66">
        <f t="shared" ref="E2557" si="5244">plan_id</f>
        <v>1952</v>
      </c>
      <c r="F2557" s="66">
        <f t="shared" ca="1" si="5178"/>
        <v>2005</v>
      </c>
      <c r="G2557" s="66">
        <f t="shared" ref="G2557" ca="1" si="5245">VLOOKUP(INDIRECT(CHAR(39)&amp;$A2557&amp;CHAR(39)&amp;"!r2c"&amp;$C2557,0),variables,2,0)</f>
        <v>10993</v>
      </c>
      <c r="H2557" s="71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11510000000</v>
      </c>
    </row>
    <row r="2558" spans="1:8" x14ac:dyDescent="0.2">
      <c r="A2558" s="66" t="s">
        <v>1244</v>
      </c>
      <c r="B2558" s="66">
        <f t="shared" si="5182"/>
        <v>7</v>
      </c>
      <c r="C2558" s="66">
        <f t="shared" si="5183"/>
        <v>18</v>
      </c>
      <c r="E2558" s="66">
        <f t="shared" ref="E2558" si="5246">plan_id</f>
        <v>1952</v>
      </c>
      <c r="F2558" s="66">
        <f t="shared" ca="1" si="5178"/>
        <v>2005</v>
      </c>
      <c r="G2558" s="66">
        <f t="shared" ref="G2558" ca="1" si="5247">VLOOKUP(INDIRECT(CHAR(39)&amp;$A2558&amp;CHAR(39)&amp;"!r2c"&amp;$C2558,0),variables,2,0)</f>
        <v>11005</v>
      </c>
      <c r="H2558" s="71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66" t="s">
        <v>1244</v>
      </c>
      <c r="B2559" s="66">
        <f t="shared" si="5182"/>
        <v>7</v>
      </c>
      <c r="C2559" s="66">
        <f t="shared" si="5183"/>
        <v>19</v>
      </c>
      <c r="E2559" s="66">
        <f t="shared" ref="E2559" si="5248">plan_id</f>
        <v>1952</v>
      </c>
      <c r="F2559" s="66">
        <f t="shared" ca="1" si="5178"/>
        <v>2005</v>
      </c>
      <c r="G2559" s="66">
        <f t="shared" ref="G2559" ca="1" si="5249">VLOOKUP(INDIRECT(CHAR(39)&amp;$A2559&amp;CHAR(39)&amp;"!r2c"&amp;$C2559,0),variables,2,0)</f>
        <v>10988</v>
      </c>
      <c r="H2559" s="71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7.0455603822762822E-2</v>
      </c>
    </row>
    <row r="2560" spans="1:8" x14ac:dyDescent="0.2">
      <c r="A2560" s="66" t="s">
        <v>1244</v>
      </c>
      <c r="B2560" s="66">
        <f t="shared" si="5182"/>
        <v>7</v>
      </c>
      <c r="C2560" s="66">
        <f t="shared" si="5183"/>
        <v>20</v>
      </c>
      <c r="E2560" s="66">
        <f t="shared" ref="E2560" si="5250">plan_id</f>
        <v>1952</v>
      </c>
      <c r="F2560" s="66">
        <f t="shared" ca="1" si="5178"/>
        <v>2005</v>
      </c>
      <c r="G2560" s="66">
        <f t="shared" ref="G2560" ca="1" si="5251">VLOOKUP(INDIRECT(CHAR(39)&amp;$A2560&amp;CHAR(39)&amp;"!r2c"&amp;$C2560,0),variables,2,0)</f>
        <v>10996</v>
      </c>
      <c r="H2560" s="71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41640481000</v>
      </c>
    </row>
    <row r="2561" spans="1:8" x14ac:dyDescent="0.2">
      <c r="A2561" s="66" t="s">
        <v>1244</v>
      </c>
      <c r="B2561" s="66">
        <f t="shared" si="5182"/>
        <v>7</v>
      </c>
      <c r="C2561" s="66">
        <f t="shared" si="5183"/>
        <v>21</v>
      </c>
      <c r="E2561" s="66">
        <f t="shared" ref="E2561" si="5252">plan_id</f>
        <v>1952</v>
      </c>
      <c r="F2561" s="66">
        <f t="shared" ca="1" si="5178"/>
        <v>2005</v>
      </c>
      <c r="G2561" s="66">
        <f t="shared" ref="G2561" ca="1" si="5253">VLOOKUP(INDIRECT(CHAR(39)&amp;$A2561&amp;CHAR(39)&amp;"!r2c"&amp;$C2561,0),variables,2,0)</f>
        <v>10997</v>
      </c>
      <c r="H2561" s="71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0.94727878884389649</v>
      </c>
    </row>
    <row r="2562" spans="1:8" x14ac:dyDescent="0.2">
      <c r="A2562" s="66" t="s">
        <v>1244</v>
      </c>
      <c r="B2562" s="66">
        <f t="shared" si="5182"/>
        <v>7</v>
      </c>
      <c r="C2562" s="66">
        <f t="shared" si="5183"/>
        <v>22</v>
      </c>
      <c r="E2562" s="66">
        <f t="shared" ref="E2562" si="5254">plan_id</f>
        <v>1952</v>
      </c>
      <c r="F2562" s="66">
        <f t="shared" ca="1" si="5178"/>
        <v>2005</v>
      </c>
      <c r="G2562" s="66">
        <f t="shared" ref="G2562" ca="1" si="5255">VLOOKUP(INDIRECT(CHAR(39)&amp;$A2562&amp;CHAR(39)&amp;"!r2c"&amp;$C2562,0),variables,2,0)</f>
        <v>10980</v>
      </c>
      <c r="H2562" s="71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66" t="s">
        <v>1244</v>
      </c>
      <c r="B2563" s="66">
        <f t="shared" si="5182"/>
        <v>7</v>
      </c>
      <c r="C2563" s="66">
        <f t="shared" si="5183"/>
        <v>23</v>
      </c>
      <c r="E2563" s="66">
        <f t="shared" ref="E2563" si="5256">plan_id</f>
        <v>1952</v>
      </c>
      <c r="F2563" s="66">
        <f t="shared" ca="1" si="5178"/>
        <v>2005</v>
      </c>
      <c r="G2563" s="66">
        <f t="shared" ref="G2563" ca="1" si="5257">VLOOKUP(INDIRECT(CHAR(39)&amp;$A2563&amp;CHAR(39)&amp;"!r2c"&amp;$C2563,0),variables,2,0)</f>
        <v>10981</v>
      </c>
      <c r="H2563" s="71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66" t="s">
        <v>1244</v>
      </c>
      <c r="B2564" s="66">
        <f t="shared" si="5182"/>
        <v>7</v>
      </c>
      <c r="C2564" s="66">
        <f t="shared" si="5183"/>
        <v>24</v>
      </c>
      <c r="E2564" s="66">
        <f t="shared" ref="E2564" si="5258">plan_id</f>
        <v>1952</v>
      </c>
      <c r="F2564" s="66">
        <f t="shared" ca="1" si="5178"/>
        <v>2005</v>
      </c>
      <c r="G2564" s="66">
        <f t="shared" ref="G2564" ca="1" si="5259">VLOOKUP(INDIRECT(CHAR(39)&amp;$A2564&amp;CHAR(39)&amp;"!r2c"&amp;$C2564,0),variables,2,0)</f>
        <v>10998</v>
      </c>
      <c r="H2564" s="7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5257614000</v>
      </c>
    </row>
    <row r="2565" spans="1:8" x14ac:dyDescent="0.2">
      <c r="A2565" s="66" t="s">
        <v>1244</v>
      </c>
      <c r="B2565" s="66">
        <f t="shared" si="5182"/>
        <v>7</v>
      </c>
      <c r="C2565" s="66">
        <f t="shared" si="5183"/>
        <v>25</v>
      </c>
      <c r="E2565" s="66">
        <f t="shared" ref="E2565" si="5260">plan_id</f>
        <v>1952</v>
      </c>
      <c r="F2565" s="66">
        <f t="shared" ca="1" si="5178"/>
        <v>2005</v>
      </c>
      <c r="G2565" s="66">
        <f t="shared" ref="G2565" ca="1" si="5261">VLOOKUP(INDIRECT(CHAR(39)&amp;$A2565&amp;CHAR(39)&amp;"!r2c"&amp;$C2565,0),variables,2,0)</f>
        <v>10999</v>
      </c>
      <c r="H2565" s="71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1865776000</v>
      </c>
    </row>
    <row r="2566" spans="1:8" x14ac:dyDescent="0.2">
      <c r="A2566" s="66" t="s">
        <v>1244</v>
      </c>
      <c r="B2566" s="66">
        <f t="shared" si="5182"/>
        <v>7</v>
      </c>
      <c r="C2566" s="66">
        <f t="shared" si="5183"/>
        <v>26</v>
      </c>
      <c r="E2566" s="66">
        <f t="shared" ref="E2566" si="5262">plan_id</f>
        <v>1952</v>
      </c>
      <c r="F2566" s="66">
        <f t="shared" ca="1" si="5178"/>
        <v>2005</v>
      </c>
      <c r="G2566" s="66">
        <f t="shared" ref="G2566" ca="1" si="5263">VLOOKUP(INDIRECT(CHAR(39)&amp;$A2566&amp;CHAR(39)&amp;"!r2c"&amp;$C2566,0),variables,2,0)</f>
        <v>11000</v>
      </c>
      <c r="H2566" s="71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78709000</v>
      </c>
    </row>
    <row r="2567" spans="1:8" x14ac:dyDescent="0.2">
      <c r="A2567" s="66" t="s">
        <v>1244</v>
      </c>
      <c r="B2567" s="66">
        <f t="shared" si="5182"/>
        <v>7</v>
      </c>
      <c r="C2567" s="66">
        <f t="shared" si="5183"/>
        <v>27</v>
      </c>
      <c r="E2567" s="66">
        <f t="shared" ref="E2567" si="5264">plan_id</f>
        <v>1952</v>
      </c>
      <c r="F2567" s="66">
        <f t="shared" ca="1" si="5178"/>
        <v>2005</v>
      </c>
      <c r="G2567" s="66">
        <f t="shared" ref="G2567" ca="1" si="5265">VLOOKUP(INDIRECT(CHAR(39)&amp;$A2567&amp;CHAR(39)&amp;"!r2c"&amp;$C2567,0),variables,2,0)</f>
        <v>11001</v>
      </c>
      <c r="H2567" s="71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18182000</v>
      </c>
    </row>
    <row r="2568" spans="1:8" x14ac:dyDescent="0.2">
      <c r="A2568" s="66" t="s">
        <v>1244</v>
      </c>
      <c r="B2568" s="66">
        <f t="shared" si="5182"/>
        <v>7</v>
      </c>
      <c r="C2568" s="66">
        <f t="shared" si="5183"/>
        <v>28</v>
      </c>
      <c r="E2568" s="66">
        <f t="shared" ref="E2568" si="5266">plan_id</f>
        <v>1952</v>
      </c>
      <c r="F2568" s="66">
        <f t="shared" ca="1" si="5178"/>
        <v>2005</v>
      </c>
      <c r="G2568" s="66">
        <f t="shared" ref="G2568" ca="1" si="5267">VLOOKUP(INDIRECT(CHAR(39)&amp;$A2568&amp;CHAR(39)&amp;"!r2c"&amp;$C2568,0),variables,2,0)</f>
        <v>11002</v>
      </c>
      <c r="H2568" s="7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66" t="s">
        <v>1244</v>
      </c>
      <c r="B2569" s="66">
        <f t="shared" si="5182"/>
        <v>7</v>
      </c>
      <c r="C2569" s="66">
        <f t="shared" si="5183"/>
        <v>29</v>
      </c>
      <c r="E2569" s="66">
        <f t="shared" ref="E2569" si="5268">plan_id</f>
        <v>1952</v>
      </c>
      <c r="F2569" s="66">
        <f t="shared" ca="1" si="5178"/>
        <v>2005</v>
      </c>
      <c r="G2569" s="66">
        <f t="shared" ref="G2569" ca="1" si="5269">VLOOKUP(INDIRECT(CHAR(39)&amp;$A2569&amp;CHAR(39)&amp;"!r2c"&amp;$C2569,0),variables,2,0)</f>
        <v>11003</v>
      </c>
      <c r="H2569" s="71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1962667000</v>
      </c>
    </row>
    <row r="2570" spans="1:8" x14ac:dyDescent="0.2">
      <c r="A2570" s="66" t="s">
        <v>1244</v>
      </c>
      <c r="B2570" s="66">
        <f t="shared" si="5182"/>
        <v>8</v>
      </c>
      <c r="C2570" s="66">
        <f t="shared" si="5183"/>
        <v>3</v>
      </c>
      <c r="E2570" s="66">
        <f t="shared" ref="E2570" si="5270">plan_id</f>
        <v>1952</v>
      </c>
      <c r="F2570" s="66">
        <f t="shared" ca="1" si="5178"/>
        <v>2006</v>
      </c>
      <c r="G2570" s="66">
        <f t="shared" ref="G2570" ca="1" si="5271">VLOOKUP(INDIRECT(CHAR(39)&amp;$A2570&amp;CHAR(39)&amp;"!r2c"&amp;$C2570,0),variables,2,0)</f>
        <v>10982</v>
      </c>
      <c r="H2570" s="71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2">
      <c r="A2571" s="66" t="s">
        <v>1244</v>
      </c>
      <c r="B2571" s="66">
        <f t="shared" si="5182"/>
        <v>8</v>
      </c>
      <c r="C2571" s="66">
        <f t="shared" si="5183"/>
        <v>4</v>
      </c>
      <c r="E2571" s="66">
        <f t="shared" ref="E2571" si="5272">plan_id</f>
        <v>1952</v>
      </c>
      <c r="F2571" s="66">
        <f t="shared" ca="1" si="5178"/>
        <v>2006</v>
      </c>
      <c r="G2571" s="66">
        <f t="shared" ref="G2571" ca="1" si="5273">VLOOKUP(INDIRECT(CHAR(39)&amp;$A2571&amp;CHAR(39)&amp;"!r2c"&amp;$C2571,0),variables,2,0)</f>
        <v>10984</v>
      </c>
      <c r="H2571" s="71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864245000</v>
      </c>
    </row>
    <row r="2572" spans="1:8" x14ac:dyDescent="0.2">
      <c r="A2572" s="66" t="s">
        <v>1244</v>
      </c>
      <c r="B2572" s="66">
        <f t="shared" si="5182"/>
        <v>8</v>
      </c>
      <c r="C2572" s="66">
        <f t="shared" si="5183"/>
        <v>5</v>
      </c>
      <c r="E2572" s="66">
        <f t="shared" ref="E2572" si="5274">plan_id</f>
        <v>1952</v>
      </c>
      <c r="F2572" s="66">
        <f t="shared" ca="1" si="5178"/>
        <v>2006</v>
      </c>
      <c r="G2572" s="66">
        <f t="shared" ref="G2572" ca="1" si="5275">VLOOKUP(INDIRECT(CHAR(39)&amp;$A2572&amp;CHAR(39)&amp;"!r2c"&amp;$C2572,0),variables,2,0)</f>
        <v>10985</v>
      </c>
      <c r="H2572" s="71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773585699.5</v>
      </c>
    </row>
    <row r="2573" spans="1:8" x14ac:dyDescent="0.2">
      <c r="A2573" s="66" t="s">
        <v>1244</v>
      </c>
      <c r="B2573" s="66">
        <f t="shared" si="5182"/>
        <v>8</v>
      </c>
      <c r="C2573" s="66">
        <f t="shared" si="5183"/>
        <v>6</v>
      </c>
      <c r="E2573" s="66">
        <f t="shared" ref="E2573" si="5276">plan_id</f>
        <v>1952</v>
      </c>
      <c r="F2573" s="66">
        <f t="shared" ca="1" si="5178"/>
        <v>2006</v>
      </c>
      <c r="G2573" s="66">
        <f t="shared" ref="G2573" ca="1" si="5277">VLOOKUP(INDIRECT(CHAR(39)&amp;$A2573&amp;CHAR(39)&amp;"!r2c"&amp;$C2573,0),variables,2,0)</f>
        <v>10986</v>
      </c>
      <c r="H2573" s="7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90659300.5</v>
      </c>
    </row>
    <row r="2574" spans="1:8" x14ac:dyDescent="0.2">
      <c r="A2574" s="66" t="s">
        <v>1244</v>
      </c>
      <c r="B2574" s="66">
        <f t="shared" si="5182"/>
        <v>8</v>
      </c>
      <c r="C2574" s="66">
        <f t="shared" si="5183"/>
        <v>7</v>
      </c>
      <c r="E2574" s="66">
        <f t="shared" ref="E2574" si="5278">plan_id</f>
        <v>1952</v>
      </c>
      <c r="F2574" s="66">
        <f t="shared" ca="1" si="5178"/>
        <v>2006</v>
      </c>
      <c r="G2574" s="66">
        <f t="shared" ref="G2574" ca="1" si="5279">VLOOKUP(INDIRECT(CHAR(39)&amp;$A2574&amp;CHAR(39)&amp;"!r2c"&amp;$C2574,0),variables,2,0)</f>
        <v>10974</v>
      </c>
      <c r="H2574" s="71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2">
      <c r="A2575" s="66" t="s">
        <v>1244</v>
      </c>
      <c r="B2575" s="66">
        <f t="shared" si="5182"/>
        <v>8</v>
      </c>
      <c r="C2575" s="66">
        <f t="shared" si="5183"/>
        <v>8</v>
      </c>
      <c r="E2575" s="66">
        <f t="shared" ref="E2575" si="5280">plan_id</f>
        <v>1952</v>
      </c>
      <c r="F2575" s="66">
        <f t="shared" ca="1" si="5178"/>
        <v>2006</v>
      </c>
      <c r="G2575" s="66">
        <f t="shared" ref="G2575" ca="1" si="5281">VLOOKUP(INDIRECT(CHAR(39)&amp;$A2575&amp;CHAR(39)&amp;"!r2c"&amp;$C2575,0),variables,2,0)</f>
        <v>10987</v>
      </c>
      <c r="H2575" s="7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0.89510000000000001</v>
      </c>
    </row>
    <row r="2576" spans="1:8" x14ac:dyDescent="0.2">
      <c r="A2576" s="66" t="s">
        <v>1244</v>
      </c>
      <c r="B2576" s="66">
        <f t="shared" si="5182"/>
        <v>8</v>
      </c>
      <c r="C2576" s="66">
        <f t="shared" si="5183"/>
        <v>9</v>
      </c>
      <c r="E2576" s="66">
        <f t="shared" ref="E2576" si="5282">plan_id</f>
        <v>1952</v>
      </c>
      <c r="F2576" s="66">
        <f t="shared" ca="1" si="5178"/>
        <v>2006</v>
      </c>
      <c r="G2576" s="66">
        <f t="shared" ref="G2576" ca="1" si="5283">VLOOKUP(INDIRECT(CHAR(39)&amp;$A2576&amp;CHAR(39)&amp;"!r2c"&amp;$C2576,0),variables,2,0)</f>
        <v>10885</v>
      </c>
      <c r="H2576" s="71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66" t="s">
        <v>1244</v>
      </c>
      <c r="B2577" s="66">
        <f t="shared" si="5182"/>
        <v>8</v>
      </c>
      <c r="C2577" s="66">
        <f t="shared" si="5183"/>
        <v>10</v>
      </c>
      <c r="E2577" s="66">
        <f t="shared" ref="E2577" si="5284">plan_id</f>
        <v>1952</v>
      </c>
      <c r="F2577" s="66">
        <f t="shared" ca="1" si="5178"/>
        <v>2006</v>
      </c>
      <c r="G2577" s="66">
        <f t="shared" ref="G2577" ca="1" si="5285">VLOOKUP(INDIRECT(CHAR(39)&amp;$A2577&amp;CHAR(39)&amp;"!r2c"&amp;$C2577,0),variables,2,0)</f>
        <v>10886</v>
      </c>
      <c r="H2577" s="71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66" t="s">
        <v>1244</v>
      </c>
      <c r="B2578" s="66">
        <f t="shared" si="5182"/>
        <v>8</v>
      </c>
      <c r="C2578" s="66">
        <f t="shared" si="5183"/>
        <v>11</v>
      </c>
      <c r="E2578" s="66">
        <f t="shared" ref="E2578" si="5286">plan_id</f>
        <v>1952</v>
      </c>
      <c r="F2578" s="66">
        <f t="shared" ca="1" si="5178"/>
        <v>2006</v>
      </c>
      <c r="G2578" s="66">
        <f t="shared" ref="G2578" ca="1" si="5287">VLOOKUP(INDIRECT(CHAR(39)&amp;$A2578&amp;CHAR(39)&amp;"!r2c"&amp;$C2578,0),variables,2,0)</f>
        <v>10887</v>
      </c>
      <c r="H2578" s="71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66" t="s">
        <v>1244</v>
      </c>
      <c r="B2579" s="66">
        <f t="shared" si="5182"/>
        <v>8</v>
      </c>
      <c r="C2579" s="66">
        <f t="shared" si="5183"/>
        <v>12</v>
      </c>
      <c r="E2579" s="66">
        <f t="shared" ref="E2579" si="5288">plan_id</f>
        <v>1952</v>
      </c>
      <c r="F2579" s="66">
        <f t="shared" ca="1" si="5178"/>
        <v>2006</v>
      </c>
      <c r="G2579" s="66">
        <f t="shared" ref="G2579" ca="1" si="5289">VLOOKUP(INDIRECT(CHAR(39)&amp;$A2579&amp;CHAR(39)&amp;"!r2c"&amp;$C2579,0),variables,2,0)</f>
        <v>10883</v>
      </c>
      <c r="H2579" s="71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66" t="s">
        <v>1244</v>
      </c>
      <c r="B2580" s="66">
        <f t="shared" si="5182"/>
        <v>8</v>
      </c>
      <c r="C2580" s="66">
        <f t="shared" si="5183"/>
        <v>13</v>
      </c>
      <c r="E2580" s="66">
        <f t="shared" ref="E2580" si="5290">plan_id</f>
        <v>1952</v>
      </c>
      <c r="F2580" s="66">
        <f t="shared" ca="1" si="5178"/>
        <v>2006</v>
      </c>
      <c r="G2580" s="66">
        <f t="shared" ref="G2580" ca="1" si="5291">VLOOKUP(INDIRECT(CHAR(39)&amp;$A2580&amp;CHAR(39)&amp;"!r2c"&amp;$C2580,0),variables,2,0)</f>
        <v>10989</v>
      </c>
      <c r="H2580" s="71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40372000000</v>
      </c>
    </row>
    <row r="2581" spans="1:8" x14ac:dyDescent="0.2">
      <c r="A2581" s="66" t="s">
        <v>1244</v>
      </c>
      <c r="B2581" s="66">
        <f t="shared" si="5182"/>
        <v>8</v>
      </c>
      <c r="C2581" s="66">
        <f t="shared" si="5183"/>
        <v>14</v>
      </c>
      <c r="E2581" s="66">
        <f t="shared" ref="E2581" si="5292">plan_id</f>
        <v>1952</v>
      </c>
      <c r="F2581" s="66">
        <f t="shared" ca="1" si="5178"/>
        <v>2006</v>
      </c>
      <c r="G2581" s="66">
        <f t="shared" ref="G2581" ca="1" si="5293">VLOOKUP(INDIRECT(CHAR(39)&amp;$A2581&amp;CHAR(39)&amp;"!r2c"&amp;$C2581,0),variables,2,0)</f>
        <v>10990</v>
      </c>
      <c r="H2581" s="71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49628000000</v>
      </c>
    </row>
    <row r="2582" spans="1:8" x14ac:dyDescent="0.2">
      <c r="A2582" s="66" t="s">
        <v>1244</v>
      </c>
      <c r="B2582" s="66">
        <f t="shared" si="5182"/>
        <v>8</v>
      </c>
      <c r="C2582" s="66">
        <f t="shared" si="5183"/>
        <v>15</v>
      </c>
      <c r="E2582" s="66">
        <f t="shared" ref="E2582" si="5294">plan_id</f>
        <v>1952</v>
      </c>
      <c r="F2582" s="66">
        <f t="shared" ca="1" si="5178"/>
        <v>2006</v>
      </c>
      <c r="G2582" s="66">
        <f t="shared" ref="G2582" ca="1" si="5295">VLOOKUP(INDIRECT(CHAR(39)&amp;$A2582&amp;CHAR(39)&amp;"!r2c"&amp;$C2582,0),variables,2,0)</f>
        <v>10991</v>
      </c>
      <c r="H2582" s="71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9256000000</v>
      </c>
    </row>
    <row r="2583" spans="1:8" x14ac:dyDescent="0.2">
      <c r="A2583" s="66" t="s">
        <v>1244</v>
      </c>
      <c r="B2583" s="66">
        <f t="shared" si="5182"/>
        <v>8</v>
      </c>
      <c r="C2583" s="66">
        <f t="shared" si="5183"/>
        <v>16</v>
      </c>
      <c r="E2583" s="66">
        <f t="shared" ref="E2583" si="5296">plan_id</f>
        <v>1952</v>
      </c>
      <c r="F2583" s="66">
        <f t="shared" ca="1" si="5178"/>
        <v>2006</v>
      </c>
      <c r="G2583" s="66">
        <f t="shared" ref="G2583" ca="1" si="5297">VLOOKUP(INDIRECT(CHAR(39)&amp;$A2583&amp;CHAR(39)&amp;"!r2c"&amp;$C2583,0),variables,2,0)</f>
        <v>10992</v>
      </c>
      <c r="H2583" s="71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0.81299999999999994</v>
      </c>
    </row>
    <row r="2584" spans="1:8" x14ac:dyDescent="0.2">
      <c r="A2584" s="66" t="s">
        <v>1244</v>
      </c>
      <c r="B2584" s="66">
        <f t="shared" si="5182"/>
        <v>8</v>
      </c>
      <c r="C2584" s="66">
        <f t="shared" si="5183"/>
        <v>17</v>
      </c>
      <c r="E2584" s="66">
        <f t="shared" ref="E2584" si="5298">plan_id</f>
        <v>1952</v>
      </c>
      <c r="F2584" s="66">
        <f t="shared" ca="1" si="5178"/>
        <v>2006</v>
      </c>
      <c r="G2584" s="66">
        <f t="shared" ref="G2584" ca="1" si="5299">VLOOKUP(INDIRECT(CHAR(39)&amp;$A2584&amp;CHAR(39)&amp;"!r2c"&amp;$C2584,0),variables,2,0)</f>
        <v>10993</v>
      </c>
      <c r="H2584" s="71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12212000000</v>
      </c>
    </row>
    <row r="2585" spans="1:8" x14ac:dyDescent="0.2">
      <c r="A2585" s="66" t="s">
        <v>1244</v>
      </c>
      <c r="B2585" s="66">
        <f t="shared" si="5182"/>
        <v>8</v>
      </c>
      <c r="C2585" s="66">
        <f t="shared" si="5183"/>
        <v>18</v>
      </c>
      <c r="E2585" s="66">
        <f t="shared" ref="E2585" si="5300">plan_id</f>
        <v>1952</v>
      </c>
      <c r="F2585" s="66">
        <f t="shared" ca="1" si="5178"/>
        <v>2006</v>
      </c>
      <c r="G2585" s="66">
        <f t="shared" ref="G2585" ca="1" si="5301">VLOOKUP(INDIRECT(CHAR(39)&amp;$A2585&amp;CHAR(39)&amp;"!r2c"&amp;$C2585,0),variables,2,0)</f>
        <v>11005</v>
      </c>
      <c r="H2585" s="71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66" t="s">
        <v>1244</v>
      </c>
      <c r="B2586" s="66">
        <f t="shared" si="5182"/>
        <v>8</v>
      </c>
      <c r="C2586" s="66">
        <f t="shared" si="5183"/>
        <v>19</v>
      </c>
      <c r="E2586" s="66">
        <f t="shared" ref="E2586" si="5302">plan_id</f>
        <v>1952</v>
      </c>
      <c r="F2586" s="66">
        <f t="shared" ca="1" si="5178"/>
        <v>2006</v>
      </c>
      <c r="G2586" s="66">
        <f t="shared" ref="G2586" ca="1" si="5303">VLOOKUP(INDIRECT(CHAR(39)&amp;$A2586&amp;CHAR(39)&amp;"!r2c"&amp;$C2586,0),variables,2,0)</f>
        <v>10988</v>
      </c>
      <c r="H2586" s="71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7.0770144120537171E-2</v>
      </c>
    </row>
    <row r="2587" spans="1:8" x14ac:dyDescent="0.2">
      <c r="A2587" s="66" t="s">
        <v>1244</v>
      </c>
      <c r="B2587" s="66">
        <f t="shared" si="5182"/>
        <v>8</v>
      </c>
      <c r="C2587" s="66">
        <f t="shared" si="5183"/>
        <v>20</v>
      </c>
      <c r="E2587" s="66">
        <f t="shared" ref="E2587" si="5304">plan_id</f>
        <v>1952</v>
      </c>
      <c r="F2587" s="66">
        <f t="shared" ca="1" si="5178"/>
        <v>2006</v>
      </c>
      <c r="G2587" s="66">
        <f t="shared" ref="G2587" ca="1" si="5305">VLOOKUP(INDIRECT(CHAR(39)&amp;$A2587&amp;CHAR(39)&amp;"!r2c"&amp;$C2587,0),variables,2,0)</f>
        <v>10996</v>
      </c>
      <c r="H2587" s="71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46020734000</v>
      </c>
    </row>
    <row r="2588" spans="1:8" x14ac:dyDescent="0.2">
      <c r="A2588" s="66" t="s">
        <v>1244</v>
      </c>
      <c r="B2588" s="66">
        <f t="shared" si="5182"/>
        <v>8</v>
      </c>
      <c r="C2588" s="66">
        <f t="shared" si="5183"/>
        <v>21</v>
      </c>
      <c r="E2588" s="66">
        <f t="shared" ref="E2588" si="5306">plan_id</f>
        <v>1952</v>
      </c>
      <c r="F2588" s="66">
        <f t="shared" ca="1" si="5178"/>
        <v>2006</v>
      </c>
      <c r="G2588" s="66">
        <f t="shared" ref="G2588" ca="1" si="5307">VLOOKUP(INDIRECT(CHAR(39)&amp;$A2588&amp;CHAR(39)&amp;"!r2c"&amp;$C2588,0),variables,2,0)</f>
        <v>10997</v>
      </c>
      <c r="H2588" s="71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0.92731389538163944</v>
      </c>
    </row>
    <row r="2589" spans="1:8" x14ac:dyDescent="0.2">
      <c r="A2589" s="66" t="s">
        <v>1244</v>
      </c>
      <c r="B2589" s="66">
        <f t="shared" si="5182"/>
        <v>8</v>
      </c>
      <c r="C2589" s="66">
        <f t="shared" si="5183"/>
        <v>22</v>
      </c>
      <c r="E2589" s="66">
        <f t="shared" ref="E2589" si="5308">plan_id</f>
        <v>1952</v>
      </c>
      <c r="F2589" s="66">
        <f t="shared" ca="1" si="5178"/>
        <v>2006</v>
      </c>
      <c r="G2589" s="66">
        <f t="shared" ref="G2589" ca="1" si="5309">VLOOKUP(INDIRECT(CHAR(39)&amp;$A2589&amp;CHAR(39)&amp;"!r2c"&amp;$C2589,0),variables,2,0)</f>
        <v>10980</v>
      </c>
      <c r="H2589" s="71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66" t="s">
        <v>1244</v>
      </c>
      <c r="B2590" s="66">
        <f t="shared" si="5182"/>
        <v>8</v>
      </c>
      <c r="C2590" s="66">
        <f t="shared" si="5183"/>
        <v>23</v>
      </c>
      <c r="E2590" s="66">
        <f t="shared" ref="E2590" si="5310">plan_id</f>
        <v>1952</v>
      </c>
      <c r="F2590" s="66">
        <f t="shared" ca="1" si="5178"/>
        <v>2006</v>
      </c>
      <c r="G2590" s="66">
        <f t="shared" ref="G2590" ca="1" si="5311">VLOOKUP(INDIRECT(CHAR(39)&amp;$A2590&amp;CHAR(39)&amp;"!r2c"&amp;$C2590,0),variables,2,0)</f>
        <v>10981</v>
      </c>
      <c r="H2590" s="71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66" t="s">
        <v>1244</v>
      </c>
      <c r="B2591" s="66">
        <f t="shared" ref="B2591:B2654" si="5312">B2564+1</f>
        <v>8</v>
      </c>
      <c r="C2591" s="66">
        <f t="shared" ref="C2591:C2654" si="5313">C2564</f>
        <v>24</v>
      </c>
      <c r="E2591" s="66">
        <f t="shared" ref="E2591" si="5314">plan_id</f>
        <v>1952</v>
      </c>
      <c r="F2591" s="66">
        <f t="shared" ca="1" si="5178"/>
        <v>2006</v>
      </c>
      <c r="G2591" s="66">
        <f t="shared" ref="G2591" ca="1" si="5315">VLOOKUP(INDIRECT(CHAR(39)&amp;$A2591&amp;CHAR(39)&amp;"!r2c"&amp;$C2591,0),variables,2,0)</f>
        <v>10998</v>
      </c>
      <c r="H2591" s="7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1260843000</v>
      </c>
    </row>
    <row r="2592" spans="1:8" x14ac:dyDescent="0.2">
      <c r="A2592" s="66" t="s">
        <v>1244</v>
      </c>
      <c r="B2592" s="66">
        <f t="shared" si="5312"/>
        <v>8</v>
      </c>
      <c r="C2592" s="66">
        <f t="shared" si="5313"/>
        <v>25</v>
      </c>
      <c r="E2592" s="66">
        <f t="shared" ref="E2592" si="5316">plan_id</f>
        <v>1952</v>
      </c>
      <c r="F2592" s="66">
        <f t="shared" ca="1" si="5178"/>
        <v>2006</v>
      </c>
      <c r="G2592" s="66">
        <f t="shared" ref="G2592" ca="1" si="5317">VLOOKUP(INDIRECT(CHAR(39)&amp;$A2592&amp;CHAR(39)&amp;"!r2c"&amp;$C2592,0),variables,2,0)</f>
        <v>10999</v>
      </c>
      <c r="H2592" s="71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2015557000</v>
      </c>
    </row>
    <row r="2593" spans="1:8" x14ac:dyDescent="0.2">
      <c r="A2593" s="66" t="s">
        <v>1244</v>
      </c>
      <c r="B2593" s="66">
        <f t="shared" si="5312"/>
        <v>8</v>
      </c>
      <c r="C2593" s="66">
        <f t="shared" si="5313"/>
        <v>26</v>
      </c>
      <c r="E2593" s="66">
        <f t="shared" ref="E2593" si="5318">plan_id</f>
        <v>1952</v>
      </c>
      <c r="F2593" s="66">
        <f t="shared" ca="1" si="5178"/>
        <v>2006</v>
      </c>
      <c r="G2593" s="66">
        <f t="shared" ref="G2593" ca="1" si="5319">VLOOKUP(INDIRECT(CHAR(39)&amp;$A2593&amp;CHAR(39)&amp;"!r2c"&amp;$C2593,0),variables,2,0)</f>
        <v>11000</v>
      </c>
      <c r="H2593" s="71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85804000</v>
      </c>
    </row>
    <row r="2594" spans="1:8" x14ac:dyDescent="0.2">
      <c r="A2594" s="66" t="s">
        <v>1244</v>
      </c>
      <c r="B2594" s="66">
        <f t="shared" si="5312"/>
        <v>8</v>
      </c>
      <c r="C2594" s="66">
        <f t="shared" si="5313"/>
        <v>27</v>
      </c>
      <c r="E2594" s="66">
        <f t="shared" ref="E2594" si="5320">plan_id</f>
        <v>1952</v>
      </c>
      <c r="F2594" s="66">
        <f t="shared" ca="1" si="5178"/>
        <v>2006</v>
      </c>
      <c r="G2594" s="66">
        <f t="shared" ref="G2594" ca="1" si="5321">VLOOKUP(INDIRECT(CHAR(39)&amp;$A2594&amp;CHAR(39)&amp;"!r2c"&amp;$C2594,0),variables,2,0)</f>
        <v>11001</v>
      </c>
      <c r="H2594" s="71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19724000</v>
      </c>
    </row>
    <row r="2595" spans="1:8" x14ac:dyDescent="0.2">
      <c r="A2595" s="66" t="s">
        <v>1244</v>
      </c>
      <c r="B2595" s="66">
        <f t="shared" si="5312"/>
        <v>8</v>
      </c>
      <c r="C2595" s="66">
        <f t="shared" si="5313"/>
        <v>28</v>
      </c>
      <c r="E2595" s="66">
        <f t="shared" ref="E2595" si="5322">plan_id</f>
        <v>1952</v>
      </c>
      <c r="F2595" s="66">
        <f t="shared" ca="1" si="5178"/>
        <v>2006</v>
      </c>
      <c r="G2595" s="66">
        <f t="shared" ref="G2595" ca="1" si="5323">VLOOKUP(INDIRECT(CHAR(39)&amp;$A2595&amp;CHAR(39)&amp;"!r2c"&amp;$C2595,0),variables,2,0)</f>
        <v>11002</v>
      </c>
      <c r="H2595" s="7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258000</v>
      </c>
    </row>
    <row r="2596" spans="1:8" x14ac:dyDescent="0.2">
      <c r="A2596" s="66" t="s">
        <v>1244</v>
      </c>
      <c r="B2596" s="66">
        <f t="shared" si="5312"/>
        <v>8</v>
      </c>
      <c r="C2596" s="66">
        <f t="shared" si="5313"/>
        <v>29</v>
      </c>
      <c r="E2596" s="66">
        <f t="shared" ref="E2596" si="5324">plan_id</f>
        <v>1952</v>
      </c>
      <c r="F2596" s="66">
        <f t="shared" ca="1" si="5178"/>
        <v>2006</v>
      </c>
      <c r="G2596" s="66">
        <f t="shared" ref="G2596" ca="1" si="5325">VLOOKUP(INDIRECT(CHAR(39)&amp;$A2596&amp;CHAR(39)&amp;"!r2c"&amp;$C2596,0),variables,2,0)</f>
        <v>11003</v>
      </c>
      <c r="H2596" s="71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2121343000</v>
      </c>
    </row>
    <row r="2597" spans="1:8" x14ac:dyDescent="0.2">
      <c r="A2597" s="66" t="s">
        <v>1244</v>
      </c>
      <c r="B2597" s="66">
        <f t="shared" si="5312"/>
        <v>9</v>
      </c>
      <c r="C2597" s="66">
        <f t="shared" si="5313"/>
        <v>3</v>
      </c>
      <c r="E2597" s="66">
        <f t="shared" ref="E2597" si="5326">plan_id</f>
        <v>1952</v>
      </c>
      <c r="F2597" s="66">
        <f t="shared" ca="1" si="5178"/>
        <v>2007</v>
      </c>
      <c r="G2597" s="66">
        <f t="shared" ref="G2597" ca="1" si="5327">VLOOKUP(INDIRECT(CHAR(39)&amp;$A2597&amp;CHAR(39)&amp;"!r2c"&amp;$C2597,0),variables,2,0)</f>
        <v>10982</v>
      </c>
      <c r="H2597" s="71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2">
      <c r="A2598" s="66" t="s">
        <v>1244</v>
      </c>
      <c r="B2598" s="66">
        <f t="shared" si="5312"/>
        <v>9</v>
      </c>
      <c r="C2598" s="66">
        <f t="shared" si="5313"/>
        <v>4</v>
      </c>
      <c r="E2598" s="66">
        <f t="shared" ref="E2598" si="5328">plan_id</f>
        <v>1952</v>
      </c>
      <c r="F2598" s="66">
        <f t="shared" ca="1" si="5178"/>
        <v>2007</v>
      </c>
      <c r="G2598" s="66">
        <f t="shared" ref="G2598" ca="1" si="5329">VLOOKUP(INDIRECT(CHAR(39)&amp;$A2598&amp;CHAR(39)&amp;"!r2c"&amp;$C2598,0),variables,2,0)</f>
        <v>10984</v>
      </c>
      <c r="H2598" s="71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1299606000</v>
      </c>
    </row>
    <row r="2599" spans="1:8" x14ac:dyDescent="0.2">
      <c r="A2599" s="66" t="s">
        <v>1244</v>
      </c>
      <c r="B2599" s="66">
        <f t="shared" si="5312"/>
        <v>9</v>
      </c>
      <c r="C2599" s="66">
        <f t="shared" si="5313"/>
        <v>5</v>
      </c>
      <c r="E2599" s="66">
        <f t="shared" ref="E2599" si="5330">plan_id</f>
        <v>1952</v>
      </c>
      <c r="F2599" s="66">
        <f t="shared" ca="1" si="5178"/>
        <v>2007</v>
      </c>
      <c r="G2599" s="66">
        <f t="shared" ref="G2599" ca="1" si="5331">VLOOKUP(INDIRECT(CHAR(39)&amp;$A2599&amp;CHAR(39)&amp;"!r2c"&amp;$C2599,0),variables,2,0)</f>
        <v>10985</v>
      </c>
      <c r="H2599" s="71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1116231593.4000001</v>
      </c>
    </row>
    <row r="2600" spans="1:8" x14ac:dyDescent="0.2">
      <c r="A2600" s="66" t="s">
        <v>1244</v>
      </c>
      <c r="B2600" s="66">
        <f t="shared" si="5312"/>
        <v>9</v>
      </c>
      <c r="C2600" s="66">
        <f t="shared" si="5313"/>
        <v>6</v>
      </c>
      <c r="E2600" s="66">
        <f t="shared" ref="E2600" si="5332">plan_id</f>
        <v>1952</v>
      </c>
      <c r="F2600" s="66">
        <f t="shared" ca="1" si="5178"/>
        <v>2007</v>
      </c>
      <c r="G2600" s="66">
        <f t="shared" ref="G2600" ca="1" si="5333">VLOOKUP(INDIRECT(CHAR(39)&amp;$A2600&amp;CHAR(39)&amp;"!r2c"&amp;$C2600,0),variables,2,0)</f>
        <v>10986</v>
      </c>
      <c r="H2600" s="7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183374406.5999999</v>
      </c>
    </row>
    <row r="2601" spans="1:8" x14ac:dyDescent="0.2">
      <c r="A2601" s="66" t="s">
        <v>1244</v>
      </c>
      <c r="B2601" s="66">
        <f t="shared" si="5312"/>
        <v>9</v>
      </c>
      <c r="C2601" s="66">
        <f t="shared" si="5313"/>
        <v>7</v>
      </c>
      <c r="E2601" s="66">
        <f t="shared" ref="E2601" si="5334">plan_id</f>
        <v>1952</v>
      </c>
      <c r="F2601" s="66">
        <f t="shared" ca="1" si="5178"/>
        <v>2007</v>
      </c>
      <c r="G2601" s="66">
        <f t="shared" ref="G2601" ca="1" si="5335">VLOOKUP(INDIRECT(CHAR(39)&amp;$A2601&amp;CHAR(39)&amp;"!r2c"&amp;$C2601,0),variables,2,0)</f>
        <v>10974</v>
      </c>
      <c r="H2601" s="71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2">
      <c r="A2602" s="66" t="s">
        <v>1244</v>
      </c>
      <c r="B2602" s="66">
        <f t="shared" si="5312"/>
        <v>9</v>
      </c>
      <c r="C2602" s="66">
        <f t="shared" si="5313"/>
        <v>8</v>
      </c>
      <c r="E2602" s="66">
        <f t="shared" ref="E2602" si="5336">plan_id</f>
        <v>1952</v>
      </c>
      <c r="F2602" s="66">
        <f t="shared" ca="1" si="5178"/>
        <v>2007</v>
      </c>
      <c r="G2602" s="66">
        <f t="shared" ref="G2602" ca="1" si="5337">VLOOKUP(INDIRECT(CHAR(39)&amp;$A2602&amp;CHAR(39)&amp;"!r2c"&amp;$C2602,0),variables,2,0)</f>
        <v>10987</v>
      </c>
      <c r="H2602" s="7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0.85890000000000011</v>
      </c>
    </row>
    <row r="2603" spans="1:8" x14ac:dyDescent="0.2">
      <c r="A2603" s="66" t="s">
        <v>1244</v>
      </c>
      <c r="B2603" s="66">
        <f t="shared" si="5312"/>
        <v>9</v>
      </c>
      <c r="C2603" s="66">
        <f t="shared" si="5313"/>
        <v>9</v>
      </c>
      <c r="E2603" s="66">
        <f t="shared" ref="E2603" si="5338">plan_id</f>
        <v>1952</v>
      </c>
      <c r="F2603" s="66">
        <f t="shared" ca="1" si="5178"/>
        <v>2007</v>
      </c>
      <c r="G2603" s="66">
        <f t="shared" ref="G2603" ca="1" si="5339">VLOOKUP(INDIRECT(CHAR(39)&amp;$A2603&amp;CHAR(39)&amp;"!r2c"&amp;$C2603,0),variables,2,0)</f>
        <v>10885</v>
      </c>
      <c r="H2603" s="71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66" t="s">
        <v>1244</v>
      </c>
      <c r="B2604" s="66">
        <f t="shared" si="5312"/>
        <v>9</v>
      </c>
      <c r="C2604" s="66">
        <f t="shared" si="5313"/>
        <v>10</v>
      </c>
      <c r="E2604" s="66">
        <f t="shared" ref="E2604" si="5340">plan_id</f>
        <v>1952</v>
      </c>
      <c r="F2604" s="66">
        <f t="shared" ca="1" si="5178"/>
        <v>2007</v>
      </c>
      <c r="G2604" s="66">
        <f t="shared" ref="G2604" ca="1" si="5341">VLOOKUP(INDIRECT(CHAR(39)&amp;$A2604&amp;CHAR(39)&amp;"!r2c"&amp;$C2604,0),variables,2,0)</f>
        <v>10886</v>
      </c>
      <c r="H2604" s="71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66" t="s">
        <v>1244</v>
      </c>
      <c r="B2605" s="66">
        <f t="shared" si="5312"/>
        <v>9</v>
      </c>
      <c r="C2605" s="66">
        <f t="shared" si="5313"/>
        <v>11</v>
      </c>
      <c r="E2605" s="66">
        <f t="shared" ref="E2605" si="5342">plan_id</f>
        <v>1952</v>
      </c>
      <c r="F2605" s="66">
        <f t="shared" ca="1" si="5178"/>
        <v>2007</v>
      </c>
      <c r="G2605" s="66">
        <f t="shared" ref="G2605" ca="1" si="5343">VLOOKUP(INDIRECT(CHAR(39)&amp;$A2605&amp;CHAR(39)&amp;"!r2c"&amp;$C2605,0),variables,2,0)</f>
        <v>10887</v>
      </c>
      <c r="H2605" s="71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66" t="s">
        <v>1244</v>
      </c>
      <c r="B2606" s="66">
        <f t="shared" si="5312"/>
        <v>9</v>
      </c>
      <c r="C2606" s="66">
        <f t="shared" si="5313"/>
        <v>12</v>
      </c>
      <c r="E2606" s="66">
        <f t="shared" ref="E2606" si="5344">plan_id</f>
        <v>1952</v>
      </c>
      <c r="F2606" s="66">
        <f t="shared" ca="1" si="5178"/>
        <v>2007</v>
      </c>
      <c r="G2606" s="66">
        <f t="shared" ref="G2606" ca="1" si="5345">VLOOKUP(INDIRECT(CHAR(39)&amp;$A2606&amp;CHAR(39)&amp;"!r2c"&amp;$C2606,0),variables,2,0)</f>
        <v>10883</v>
      </c>
      <c r="H2606" s="71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66" t="s">
        <v>1244</v>
      </c>
      <c r="B2607" s="66">
        <f t="shared" si="5312"/>
        <v>9</v>
      </c>
      <c r="C2607" s="66">
        <f t="shared" si="5313"/>
        <v>13</v>
      </c>
      <c r="E2607" s="66">
        <f t="shared" ref="E2607" si="5346">plan_id</f>
        <v>1952</v>
      </c>
      <c r="F2607" s="66">
        <f t="shared" ca="1" si="5178"/>
        <v>2007</v>
      </c>
      <c r="G2607" s="66">
        <f t="shared" ref="G2607" ca="1" si="5347">VLOOKUP(INDIRECT(CHAR(39)&amp;$A2607&amp;CHAR(39)&amp;"!r2c"&amp;$C2607,0),variables,2,0)</f>
        <v>10989</v>
      </c>
      <c r="H2607" s="71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42669000000</v>
      </c>
    </row>
    <row r="2608" spans="1:8" x14ac:dyDescent="0.2">
      <c r="A2608" s="66" t="s">
        <v>1244</v>
      </c>
      <c r="B2608" s="66">
        <f t="shared" si="5312"/>
        <v>9</v>
      </c>
      <c r="C2608" s="66">
        <f t="shared" si="5313"/>
        <v>14</v>
      </c>
      <c r="E2608" s="66">
        <f t="shared" ref="E2608" si="5348">plan_id</f>
        <v>1952</v>
      </c>
      <c r="F2608" s="66">
        <f t="shared" ca="1" si="5178"/>
        <v>2007</v>
      </c>
      <c r="G2608" s="66">
        <f t="shared" ref="G2608" ca="1" si="5349">VLOOKUP(INDIRECT(CHAR(39)&amp;$A2608&amp;CHAR(39)&amp;"!r2c"&amp;$C2608,0),variables,2,0)</f>
        <v>10990</v>
      </c>
      <c r="H2608" s="71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52822000000</v>
      </c>
    </row>
    <row r="2609" spans="1:8" x14ac:dyDescent="0.2">
      <c r="A2609" s="66" t="s">
        <v>1244</v>
      </c>
      <c r="B2609" s="66">
        <f t="shared" si="5312"/>
        <v>9</v>
      </c>
      <c r="C2609" s="66">
        <f t="shared" si="5313"/>
        <v>15</v>
      </c>
      <c r="E2609" s="66">
        <f t="shared" ref="E2609" si="5350">plan_id</f>
        <v>1952</v>
      </c>
      <c r="F2609" s="66">
        <f t="shared" ca="1" si="5178"/>
        <v>2007</v>
      </c>
      <c r="G2609" s="66">
        <f t="shared" ref="G2609" ca="1" si="5351">VLOOKUP(INDIRECT(CHAR(39)&amp;$A2609&amp;CHAR(39)&amp;"!r2c"&amp;$C2609,0),variables,2,0)</f>
        <v>10991</v>
      </c>
      <c r="H2609" s="71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10153000000</v>
      </c>
    </row>
    <row r="2610" spans="1:8" x14ac:dyDescent="0.2">
      <c r="A2610" s="66" t="s">
        <v>1244</v>
      </c>
      <c r="B2610" s="66">
        <f t="shared" si="5312"/>
        <v>9</v>
      </c>
      <c r="C2610" s="66">
        <f t="shared" si="5313"/>
        <v>16</v>
      </c>
      <c r="E2610" s="66">
        <f t="shared" ref="E2610" si="5352">plan_id</f>
        <v>1952</v>
      </c>
      <c r="F2610" s="66">
        <f t="shared" ca="1" si="5178"/>
        <v>2007</v>
      </c>
      <c r="G2610" s="66">
        <f t="shared" ref="G2610" ca="1" si="5353">VLOOKUP(INDIRECT(CHAR(39)&amp;$A2610&amp;CHAR(39)&amp;"!r2c"&amp;$C2610,0),variables,2,0)</f>
        <v>10992</v>
      </c>
      <c r="H2610" s="71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0.80800000000000005</v>
      </c>
    </row>
    <row r="2611" spans="1:8" x14ac:dyDescent="0.2">
      <c r="A2611" s="66" t="s">
        <v>1244</v>
      </c>
      <c r="B2611" s="66">
        <f t="shared" si="5312"/>
        <v>9</v>
      </c>
      <c r="C2611" s="66">
        <f t="shared" si="5313"/>
        <v>17</v>
      </c>
      <c r="E2611" s="66">
        <f t="shared" ref="E2611" si="5354">plan_id</f>
        <v>1952</v>
      </c>
      <c r="F2611" s="66">
        <f t="shared" ca="1" si="5178"/>
        <v>2007</v>
      </c>
      <c r="G2611" s="66">
        <f t="shared" ref="G2611" ca="1" si="5355">VLOOKUP(INDIRECT(CHAR(39)&amp;$A2611&amp;CHAR(39)&amp;"!r2c"&amp;$C2611,0),variables,2,0)</f>
        <v>10993</v>
      </c>
      <c r="H2611" s="71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13002000000</v>
      </c>
    </row>
    <row r="2612" spans="1:8" x14ac:dyDescent="0.2">
      <c r="A2612" s="66" t="s">
        <v>1244</v>
      </c>
      <c r="B2612" s="66">
        <f t="shared" si="5312"/>
        <v>9</v>
      </c>
      <c r="C2612" s="66">
        <f t="shared" si="5313"/>
        <v>18</v>
      </c>
      <c r="E2612" s="66">
        <f t="shared" ref="E2612" si="5356">plan_id</f>
        <v>1952</v>
      </c>
      <c r="F2612" s="66">
        <f t="shared" ca="1" si="5178"/>
        <v>2007</v>
      </c>
      <c r="G2612" s="66">
        <f t="shared" ref="G2612" ca="1" si="5357">VLOOKUP(INDIRECT(CHAR(39)&amp;$A2612&amp;CHAR(39)&amp;"!r2c"&amp;$C2612,0),variables,2,0)</f>
        <v>11005</v>
      </c>
      <c r="H2612" s="71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66" t="s">
        <v>1244</v>
      </c>
      <c r="B2613" s="66">
        <f t="shared" si="5312"/>
        <v>9</v>
      </c>
      <c r="C2613" s="66">
        <f t="shared" si="5313"/>
        <v>19</v>
      </c>
      <c r="E2613" s="66">
        <f t="shared" ref="E2613" si="5358">plan_id</f>
        <v>1952</v>
      </c>
      <c r="F2613" s="66">
        <f t="shared" ca="1" si="5178"/>
        <v>2007</v>
      </c>
      <c r="G2613" s="66">
        <f t="shared" ref="G2613" ca="1" si="5359">VLOOKUP(INDIRECT(CHAR(39)&amp;$A2613&amp;CHAR(39)&amp;"!r2c"&amp;$C2613,0),variables,2,0)</f>
        <v>10988</v>
      </c>
      <c r="H2613" s="71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9.9954314720812176E-2</v>
      </c>
    </row>
    <row r="2614" spans="1:8" x14ac:dyDescent="0.2">
      <c r="A2614" s="66" t="s">
        <v>1244</v>
      </c>
      <c r="B2614" s="66">
        <f t="shared" si="5312"/>
        <v>9</v>
      </c>
      <c r="C2614" s="66">
        <f t="shared" si="5313"/>
        <v>20</v>
      </c>
      <c r="E2614" s="66">
        <f t="shared" ref="E2614" si="5360">plan_id</f>
        <v>1952</v>
      </c>
      <c r="F2614" s="66">
        <f t="shared" ca="1" si="5178"/>
        <v>2007</v>
      </c>
      <c r="G2614" s="66">
        <f t="shared" ref="G2614" ca="1" si="5361">VLOOKUP(INDIRECT(CHAR(39)&amp;$A2614&amp;CHAR(39)&amp;"!r2c"&amp;$C2614,0),variables,2,0)</f>
        <v>10996</v>
      </c>
      <c r="H2614" s="71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54948224000</v>
      </c>
    </row>
    <row r="2615" spans="1:8" x14ac:dyDescent="0.2">
      <c r="A2615" s="66" t="s">
        <v>1244</v>
      </c>
      <c r="B2615" s="66">
        <f t="shared" si="5312"/>
        <v>9</v>
      </c>
      <c r="C2615" s="66">
        <f t="shared" si="5313"/>
        <v>21</v>
      </c>
      <c r="E2615" s="66">
        <f t="shared" ref="E2615" si="5362">plan_id</f>
        <v>1952</v>
      </c>
      <c r="F2615" s="66">
        <f t="shared" ca="1" si="5178"/>
        <v>2007</v>
      </c>
      <c r="G2615" s="66">
        <f t="shared" ref="G2615" ca="1" si="5363">VLOOKUP(INDIRECT(CHAR(39)&amp;$A2615&amp;CHAR(39)&amp;"!r2c"&amp;$C2615,0),variables,2,0)</f>
        <v>10997</v>
      </c>
      <c r="H2615" s="71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1.0402526220135551</v>
      </c>
    </row>
    <row r="2616" spans="1:8" x14ac:dyDescent="0.2">
      <c r="A2616" s="66" t="s">
        <v>1244</v>
      </c>
      <c r="B2616" s="66">
        <f t="shared" si="5312"/>
        <v>9</v>
      </c>
      <c r="C2616" s="66">
        <f t="shared" si="5313"/>
        <v>22</v>
      </c>
      <c r="E2616" s="66">
        <f t="shared" ref="E2616" si="5364">plan_id</f>
        <v>1952</v>
      </c>
      <c r="F2616" s="66">
        <f t="shared" ca="1" si="5178"/>
        <v>2007</v>
      </c>
      <c r="G2616" s="66">
        <f t="shared" ref="G2616" ca="1" si="5365">VLOOKUP(INDIRECT(CHAR(39)&amp;$A2616&amp;CHAR(39)&amp;"!r2c"&amp;$C2616,0),variables,2,0)</f>
        <v>10980</v>
      </c>
      <c r="H2616" s="71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66" t="s">
        <v>1244</v>
      </c>
      <c r="B2617" s="66">
        <f t="shared" si="5312"/>
        <v>9</v>
      </c>
      <c r="C2617" s="66">
        <f t="shared" si="5313"/>
        <v>23</v>
      </c>
      <c r="E2617" s="66">
        <f t="shared" ref="E2617" si="5366">plan_id</f>
        <v>1952</v>
      </c>
      <c r="F2617" s="66">
        <f t="shared" ca="1" si="5178"/>
        <v>2007</v>
      </c>
      <c r="G2617" s="66">
        <f t="shared" ref="G2617" ca="1" si="5367">VLOOKUP(INDIRECT(CHAR(39)&amp;$A2617&amp;CHAR(39)&amp;"!r2c"&amp;$C2617,0),variables,2,0)</f>
        <v>10981</v>
      </c>
      <c r="H2617" s="71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66" t="s">
        <v>1244</v>
      </c>
      <c r="B2618" s="66">
        <f t="shared" si="5312"/>
        <v>9</v>
      </c>
      <c r="C2618" s="66">
        <f t="shared" si="5313"/>
        <v>24</v>
      </c>
      <c r="E2618" s="66">
        <f t="shared" ref="E2618" si="5368">plan_id</f>
        <v>1952</v>
      </c>
      <c r="F2618" s="66">
        <f t="shared" ca="1" si="5178"/>
        <v>2007</v>
      </c>
      <c r="G2618" s="66">
        <f t="shared" ref="G2618" ca="1" si="5369">VLOOKUP(INDIRECT(CHAR(39)&amp;$A2618&amp;CHAR(39)&amp;"!r2c"&amp;$C2618,0),variables,2,0)</f>
        <v>10998</v>
      </c>
      <c r="H2618" s="7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-214222000</v>
      </c>
    </row>
    <row r="2619" spans="1:8" x14ac:dyDescent="0.2">
      <c r="A2619" s="66" t="s">
        <v>1244</v>
      </c>
      <c r="B2619" s="66">
        <f t="shared" si="5312"/>
        <v>9</v>
      </c>
      <c r="C2619" s="66">
        <f t="shared" si="5313"/>
        <v>25</v>
      </c>
      <c r="E2619" s="66">
        <f t="shared" ref="E2619" si="5370">plan_id</f>
        <v>1952</v>
      </c>
      <c r="F2619" s="66">
        <f t="shared" ca="1" si="5178"/>
        <v>2007</v>
      </c>
      <c r="G2619" s="66">
        <f t="shared" ref="G2619" ca="1" si="5371">VLOOKUP(INDIRECT(CHAR(39)&amp;$A2619&amp;CHAR(39)&amp;"!r2c"&amp;$C2619,0),variables,2,0)</f>
        <v>10999</v>
      </c>
      <c r="H2619" s="71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2219350000</v>
      </c>
    </row>
    <row r="2620" spans="1:8" x14ac:dyDescent="0.2">
      <c r="A2620" s="66" t="s">
        <v>1244</v>
      </c>
      <c r="B2620" s="66">
        <f t="shared" si="5312"/>
        <v>9</v>
      </c>
      <c r="C2620" s="66">
        <f t="shared" si="5313"/>
        <v>26</v>
      </c>
      <c r="E2620" s="66">
        <f t="shared" ref="E2620" si="5372">plan_id</f>
        <v>1952</v>
      </c>
      <c r="F2620" s="66">
        <f t="shared" ca="1" si="5178"/>
        <v>2007</v>
      </c>
      <c r="G2620" s="66">
        <f t="shared" ref="G2620" ca="1" si="5373">VLOOKUP(INDIRECT(CHAR(39)&amp;$A2620&amp;CHAR(39)&amp;"!r2c"&amp;$C2620,0),variables,2,0)</f>
        <v>11000</v>
      </c>
      <c r="H2620" s="71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89716000</v>
      </c>
    </row>
    <row r="2621" spans="1:8" x14ac:dyDescent="0.2">
      <c r="A2621" s="66" t="s">
        <v>1244</v>
      </c>
      <c r="B2621" s="66">
        <f t="shared" si="5312"/>
        <v>9</v>
      </c>
      <c r="C2621" s="66">
        <f t="shared" si="5313"/>
        <v>27</v>
      </c>
      <c r="E2621" s="66">
        <f t="shared" ref="E2621" si="5374">plan_id</f>
        <v>1952</v>
      </c>
      <c r="F2621" s="66">
        <f t="shared" ca="1" si="5178"/>
        <v>2007</v>
      </c>
      <c r="G2621" s="66">
        <f t="shared" ref="G2621" ca="1" si="5375">VLOOKUP(INDIRECT(CHAR(39)&amp;$A2621&amp;CHAR(39)&amp;"!r2c"&amp;$C2621,0),variables,2,0)</f>
        <v>11001</v>
      </c>
      <c r="H2621" s="71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23686000</v>
      </c>
    </row>
    <row r="2622" spans="1:8" x14ac:dyDescent="0.2">
      <c r="A2622" s="66" t="s">
        <v>1244</v>
      </c>
      <c r="B2622" s="66">
        <f t="shared" si="5312"/>
        <v>9</v>
      </c>
      <c r="C2622" s="66">
        <f t="shared" si="5313"/>
        <v>28</v>
      </c>
      <c r="E2622" s="66">
        <f t="shared" ref="E2622" si="5376">plan_id</f>
        <v>1952</v>
      </c>
      <c r="F2622" s="66">
        <f t="shared" ca="1" si="5178"/>
        <v>2007</v>
      </c>
      <c r="G2622" s="66">
        <f t="shared" ref="G2622" ca="1" si="5377">VLOOKUP(INDIRECT(CHAR(39)&amp;$A2622&amp;CHAR(39)&amp;"!r2c"&amp;$C2622,0),variables,2,0)</f>
        <v>11002</v>
      </c>
      <c r="H2622" s="7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178000</v>
      </c>
    </row>
    <row r="2623" spans="1:8" x14ac:dyDescent="0.2">
      <c r="A2623" s="66" t="s">
        <v>1244</v>
      </c>
      <c r="B2623" s="66">
        <f t="shared" si="5312"/>
        <v>9</v>
      </c>
      <c r="C2623" s="66">
        <f t="shared" si="5313"/>
        <v>29</v>
      </c>
      <c r="E2623" s="66">
        <f t="shared" ref="E2623" si="5378">plan_id</f>
        <v>1952</v>
      </c>
      <c r="F2623" s="66">
        <f t="shared" ca="1" si="5178"/>
        <v>2007</v>
      </c>
      <c r="G2623" s="66">
        <f t="shared" ref="G2623" ca="1" si="5379">VLOOKUP(INDIRECT(CHAR(39)&amp;$A2623&amp;CHAR(39)&amp;"!r2c"&amp;$C2623,0),variables,2,0)</f>
        <v>11003</v>
      </c>
      <c r="H2623" s="71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2332930000</v>
      </c>
    </row>
    <row r="2624" spans="1:8" x14ac:dyDescent="0.2">
      <c r="A2624" s="66" t="s">
        <v>1244</v>
      </c>
      <c r="B2624" s="66">
        <f t="shared" si="5312"/>
        <v>10</v>
      </c>
      <c r="C2624" s="66">
        <f t="shared" si="5313"/>
        <v>3</v>
      </c>
      <c r="E2624" s="66">
        <f t="shared" ref="E2624" si="5380">plan_id</f>
        <v>1952</v>
      </c>
      <c r="F2624" s="66">
        <f t="shared" ca="1" si="5178"/>
        <v>2008</v>
      </c>
      <c r="G2624" s="66">
        <f t="shared" ref="G2624" ca="1" si="5381">VLOOKUP(INDIRECT(CHAR(39)&amp;$A2624&amp;CHAR(39)&amp;"!r2c"&amp;$C2624,0),variables,2,0)</f>
        <v>10982</v>
      </c>
      <c r="H2624" s="7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66" t="s">
        <v>1244</v>
      </c>
      <c r="B2625" s="66">
        <f t="shared" si="5312"/>
        <v>10</v>
      </c>
      <c r="C2625" s="66">
        <f t="shared" si="5313"/>
        <v>4</v>
      </c>
      <c r="E2625" s="66">
        <f t="shared" ref="E2625" si="5382">plan_id</f>
        <v>1952</v>
      </c>
      <c r="F2625" s="66">
        <f t="shared" ca="1" si="5178"/>
        <v>2008</v>
      </c>
      <c r="G2625" s="66">
        <f t="shared" ref="G2625" ca="1" si="5383">VLOOKUP(INDIRECT(CHAR(39)&amp;$A2625&amp;CHAR(39)&amp;"!r2c"&amp;$C2625,0),variables,2,0)</f>
        <v>10984</v>
      </c>
      <c r="H2625" s="71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1378993000</v>
      </c>
    </row>
    <row r="2626" spans="1:8" x14ac:dyDescent="0.2">
      <c r="A2626" s="66" t="s">
        <v>1244</v>
      </c>
      <c r="B2626" s="66">
        <f t="shared" si="5312"/>
        <v>10</v>
      </c>
      <c r="C2626" s="66">
        <f t="shared" si="5313"/>
        <v>5</v>
      </c>
      <c r="E2626" s="66">
        <f t="shared" ref="E2626" si="5384">plan_id</f>
        <v>1952</v>
      </c>
      <c r="F2626" s="66">
        <f t="shared" ca="1" si="5178"/>
        <v>2008</v>
      </c>
      <c r="G2626" s="66">
        <f t="shared" ref="G2626" ca="1" si="5385">VLOOKUP(INDIRECT(CHAR(39)&amp;$A2626&amp;CHAR(39)&amp;"!r2c"&amp;$C2626,0),variables,2,0)</f>
        <v>10985</v>
      </c>
      <c r="H2626" s="71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1276671719.3999999</v>
      </c>
    </row>
    <row r="2627" spans="1:8" x14ac:dyDescent="0.2">
      <c r="A2627" s="66" t="s">
        <v>1244</v>
      </c>
      <c r="B2627" s="66">
        <f t="shared" si="5312"/>
        <v>10</v>
      </c>
      <c r="C2627" s="66">
        <f t="shared" si="5313"/>
        <v>6</v>
      </c>
      <c r="E2627" s="66">
        <f t="shared" ref="E2627" si="5386">plan_id</f>
        <v>1952</v>
      </c>
      <c r="F2627" s="66">
        <f t="shared" ca="1" si="5178"/>
        <v>2008</v>
      </c>
      <c r="G2627" s="66">
        <f t="shared" ref="G2627" ca="1" si="5387">VLOOKUP(INDIRECT(CHAR(39)&amp;$A2627&amp;CHAR(39)&amp;"!r2c"&amp;$C2627,0),variables,2,0)</f>
        <v>10986</v>
      </c>
      <c r="H2627" s="71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102321280.60000014</v>
      </c>
    </row>
    <row r="2628" spans="1:8" x14ac:dyDescent="0.2">
      <c r="A2628" s="66" t="s">
        <v>1244</v>
      </c>
      <c r="B2628" s="66">
        <f t="shared" si="5312"/>
        <v>10</v>
      </c>
      <c r="C2628" s="66">
        <f t="shared" si="5313"/>
        <v>7</v>
      </c>
      <c r="E2628" s="66">
        <f t="shared" ref="E2628" si="5388">plan_id</f>
        <v>1952</v>
      </c>
      <c r="F2628" s="66">
        <f t="shared" ca="1" si="5178"/>
        <v>2008</v>
      </c>
      <c r="G2628" s="66">
        <f t="shared" ref="G2628" ca="1" si="5389">VLOOKUP(INDIRECT(CHAR(39)&amp;$A2628&amp;CHAR(39)&amp;"!r2c"&amp;$C2628,0),variables,2,0)</f>
        <v>10974</v>
      </c>
      <c r="H2628" s="71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2">
      <c r="A2629" s="66" t="s">
        <v>1244</v>
      </c>
      <c r="B2629" s="66">
        <f t="shared" si="5312"/>
        <v>10</v>
      </c>
      <c r="C2629" s="66">
        <f t="shared" si="5313"/>
        <v>8</v>
      </c>
      <c r="E2629" s="66">
        <f t="shared" ref="E2629" si="5390">plan_id</f>
        <v>1952</v>
      </c>
      <c r="F2629" s="66">
        <f t="shared" ca="1" si="5178"/>
        <v>2008</v>
      </c>
      <c r="G2629" s="66">
        <f t="shared" ref="G2629" ca="1" si="5391">VLOOKUP(INDIRECT(CHAR(39)&amp;$A2629&amp;CHAR(39)&amp;"!r2c"&amp;$C2629,0),variables,2,0)</f>
        <v>10987</v>
      </c>
      <c r="H2629" s="7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0.92579999999999985</v>
      </c>
    </row>
    <row r="2630" spans="1:8" x14ac:dyDescent="0.2">
      <c r="A2630" s="66" t="s">
        <v>1244</v>
      </c>
      <c r="B2630" s="66">
        <f t="shared" si="5312"/>
        <v>10</v>
      </c>
      <c r="C2630" s="66">
        <f t="shared" si="5313"/>
        <v>9</v>
      </c>
      <c r="E2630" s="66">
        <f t="shared" ref="E2630" si="5392">plan_id</f>
        <v>1952</v>
      </c>
      <c r="F2630" s="66">
        <f t="shared" ca="1" si="5178"/>
        <v>2008</v>
      </c>
      <c r="G2630" s="66">
        <f t="shared" ref="G2630" ca="1" si="5393">VLOOKUP(INDIRECT(CHAR(39)&amp;$A2630&amp;CHAR(39)&amp;"!r2c"&amp;$C2630,0),variables,2,0)</f>
        <v>10885</v>
      </c>
      <c r="H2630" s="71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66" t="s">
        <v>1244</v>
      </c>
      <c r="B2631" s="66">
        <f t="shared" si="5312"/>
        <v>10</v>
      </c>
      <c r="C2631" s="66">
        <f t="shared" si="5313"/>
        <v>10</v>
      </c>
      <c r="E2631" s="66">
        <f t="shared" ref="E2631" si="5394">plan_id</f>
        <v>1952</v>
      </c>
      <c r="F2631" s="66">
        <f t="shared" ca="1" si="5178"/>
        <v>2008</v>
      </c>
      <c r="G2631" s="66">
        <f t="shared" ref="G2631" ca="1" si="5395">VLOOKUP(INDIRECT(CHAR(39)&amp;$A2631&amp;CHAR(39)&amp;"!r2c"&amp;$C2631,0),variables,2,0)</f>
        <v>10886</v>
      </c>
      <c r="H2631" s="71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66" t="s">
        <v>1244</v>
      </c>
      <c r="B2632" s="66">
        <f t="shared" si="5312"/>
        <v>10</v>
      </c>
      <c r="C2632" s="66">
        <f t="shared" si="5313"/>
        <v>11</v>
      </c>
      <c r="E2632" s="66">
        <f t="shared" ref="E2632" si="5396">plan_id</f>
        <v>1952</v>
      </c>
      <c r="F2632" s="66">
        <f t="shared" ca="1" si="5178"/>
        <v>2008</v>
      </c>
      <c r="G2632" s="66">
        <f t="shared" ref="G2632" ca="1" si="5397">VLOOKUP(INDIRECT(CHAR(39)&amp;$A2632&amp;CHAR(39)&amp;"!r2c"&amp;$C2632,0),variables,2,0)</f>
        <v>10887</v>
      </c>
      <c r="H2632" s="71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66" t="s">
        <v>1244</v>
      </c>
      <c r="B2633" s="66">
        <f t="shared" si="5312"/>
        <v>10</v>
      </c>
      <c r="C2633" s="66">
        <f t="shared" si="5313"/>
        <v>12</v>
      </c>
      <c r="E2633" s="66">
        <f t="shared" ref="E2633" si="5398">plan_id</f>
        <v>1952</v>
      </c>
      <c r="F2633" s="66">
        <f t="shared" ca="1" si="5178"/>
        <v>2008</v>
      </c>
      <c r="G2633" s="66">
        <f t="shared" ref="G2633" ca="1" si="5399">VLOOKUP(INDIRECT(CHAR(39)&amp;$A2633&amp;CHAR(39)&amp;"!r2c"&amp;$C2633,0),variables,2,0)</f>
        <v>10883</v>
      </c>
      <c r="H2633" s="71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66" t="s">
        <v>1244</v>
      </c>
      <c r="B2634" s="66">
        <f t="shared" si="5312"/>
        <v>10</v>
      </c>
      <c r="C2634" s="66">
        <f t="shared" si="5313"/>
        <v>13</v>
      </c>
      <c r="E2634" s="66">
        <f t="shared" ref="E2634" si="5400">plan_id</f>
        <v>1952</v>
      </c>
      <c r="F2634" s="66">
        <f t="shared" ca="1" si="5178"/>
        <v>2008</v>
      </c>
      <c r="G2634" s="66">
        <f t="shared" ref="G2634" ca="1" si="5401">VLOOKUP(INDIRECT(CHAR(39)&amp;$A2634&amp;CHAR(39)&amp;"!r2c"&amp;$C2634,0),variables,2,0)</f>
        <v>10989</v>
      </c>
      <c r="H2634" s="71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47815000000</v>
      </c>
    </row>
    <row r="2635" spans="1:8" x14ac:dyDescent="0.2">
      <c r="A2635" s="66" t="s">
        <v>1244</v>
      </c>
      <c r="B2635" s="66">
        <f t="shared" si="5312"/>
        <v>10</v>
      </c>
      <c r="C2635" s="66">
        <f t="shared" si="5313"/>
        <v>14</v>
      </c>
      <c r="E2635" s="66">
        <f t="shared" ref="E2635" si="5402">plan_id</f>
        <v>1952</v>
      </c>
      <c r="F2635" s="66">
        <f t="shared" ca="1" si="5178"/>
        <v>2008</v>
      </c>
      <c r="G2635" s="66">
        <f t="shared" ref="G2635" ca="1" si="5403">VLOOKUP(INDIRECT(CHAR(39)&amp;$A2635&amp;CHAR(39)&amp;"!r2c"&amp;$C2635,0),variables,2,0)</f>
        <v>10990</v>
      </c>
      <c r="H2635" s="71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58116000000</v>
      </c>
    </row>
    <row r="2636" spans="1:8" x14ac:dyDescent="0.2">
      <c r="A2636" s="66" t="s">
        <v>1244</v>
      </c>
      <c r="B2636" s="66">
        <f t="shared" si="5312"/>
        <v>10</v>
      </c>
      <c r="C2636" s="66">
        <f t="shared" si="5313"/>
        <v>15</v>
      </c>
      <c r="E2636" s="66">
        <f t="shared" ref="E2636" si="5404">plan_id</f>
        <v>1952</v>
      </c>
      <c r="F2636" s="66">
        <f t="shared" ref="F2636:F2699" ca="1" si="5405">INDIRECT(CHAR(39)&amp;$A2636&amp;CHAR(39)&amp;"!r"&amp;$B2636&amp;"c2",0)</f>
        <v>2008</v>
      </c>
      <c r="G2636" s="66">
        <f t="shared" ref="G2636" ca="1" si="5406">VLOOKUP(INDIRECT(CHAR(39)&amp;$A2636&amp;CHAR(39)&amp;"!r2c"&amp;$C2636,0),variables,2,0)</f>
        <v>10991</v>
      </c>
      <c r="H2636" s="71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10301000000</v>
      </c>
    </row>
    <row r="2637" spans="1:8" x14ac:dyDescent="0.2">
      <c r="A2637" s="66" t="s">
        <v>1244</v>
      </c>
      <c r="B2637" s="66">
        <f t="shared" si="5312"/>
        <v>10</v>
      </c>
      <c r="C2637" s="66">
        <f t="shared" si="5313"/>
        <v>16</v>
      </c>
      <c r="E2637" s="66">
        <f t="shared" ref="E2637" si="5407">plan_id</f>
        <v>1952</v>
      </c>
      <c r="F2637" s="66">
        <f t="shared" ca="1" si="5405"/>
        <v>2008</v>
      </c>
      <c r="G2637" s="66">
        <f t="shared" ref="G2637" ca="1" si="5408">VLOOKUP(INDIRECT(CHAR(39)&amp;$A2637&amp;CHAR(39)&amp;"!r2c"&amp;$C2637,0),variables,2,0)</f>
        <v>10992</v>
      </c>
      <c r="H2637" s="71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0.82299999999999995</v>
      </c>
    </row>
    <row r="2638" spans="1:8" x14ac:dyDescent="0.2">
      <c r="A2638" s="66" t="s">
        <v>1244</v>
      </c>
      <c r="B2638" s="66">
        <f t="shared" si="5312"/>
        <v>10</v>
      </c>
      <c r="C2638" s="66">
        <f t="shared" si="5313"/>
        <v>17</v>
      </c>
      <c r="E2638" s="66">
        <f t="shared" ref="E2638" si="5409">plan_id</f>
        <v>1952</v>
      </c>
      <c r="F2638" s="66">
        <f t="shared" ca="1" si="5405"/>
        <v>2008</v>
      </c>
      <c r="G2638" s="66">
        <f t="shared" ref="G2638" ca="1" si="5410">VLOOKUP(INDIRECT(CHAR(39)&amp;$A2638&amp;CHAR(39)&amp;"!r2c"&amp;$C2638,0),variables,2,0)</f>
        <v>10993</v>
      </c>
      <c r="H2638" s="71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13834000000</v>
      </c>
    </row>
    <row r="2639" spans="1:8" x14ac:dyDescent="0.2">
      <c r="A2639" s="66" t="s">
        <v>1244</v>
      </c>
      <c r="B2639" s="66">
        <f t="shared" si="5312"/>
        <v>10</v>
      </c>
      <c r="C2639" s="66">
        <f t="shared" si="5313"/>
        <v>18</v>
      </c>
      <c r="E2639" s="66">
        <f t="shared" ref="E2639" si="5411">plan_id</f>
        <v>1952</v>
      </c>
      <c r="F2639" s="66">
        <f t="shared" ca="1" si="5405"/>
        <v>2008</v>
      </c>
      <c r="G2639" s="66">
        <f t="shared" ref="G2639" ca="1" si="5412">VLOOKUP(INDIRECT(CHAR(39)&amp;$A2639&amp;CHAR(39)&amp;"!r2c"&amp;$C2639,0),variables,2,0)</f>
        <v>11005</v>
      </c>
      <c r="H2639" s="71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66" t="s">
        <v>1244</v>
      </c>
      <c r="B2640" s="66">
        <f t="shared" si="5312"/>
        <v>10</v>
      </c>
      <c r="C2640" s="66">
        <f t="shared" si="5313"/>
        <v>19</v>
      </c>
      <c r="E2640" s="66">
        <f t="shared" ref="E2640" si="5413">plan_id</f>
        <v>1952</v>
      </c>
      <c r="F2640" s="66">
        <f t="shared" ca="1" si="5405"/>
        <v>2008</v>
      </c>
      <c r="G2640" s="66">
        <f t="shared" ref="G2640" ca="1" si="5414">VLOOKUP(INDIRECT(CHAR(39)&amp;$A2640&amp;CHAR(39)&amp;"!r2c"&amp;$C2640,0),variables,2,0)</f>
        <v>10988</v>
      </c>
      <c r="H2640" s="71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9.9681437039178838E-2</v>
      </c>
    </row>
    <row r="2641" spans="1:8" x14ac:dyDescent="0.2">
      <c r="A2641" s="66" t="s">
        <v>1244</v>
      </c>
      <c r="B2641" s="66">
        <f t="shared" si="5312"/>
        <v>10</v>
      </c>
      <c r="C2641" s="66">
        <f t="shared" si="5313"/>
        <v>20</v>
      </c>
      <c r="E2641" s="66">
        <f t="shared" ref="E2641" si="5415">plan_id</f>
        <v>1952</v>
      </c>
      <c r="F2641" s="66">
        <f t="shared" ca="1" si="5405"/>
        <v>2008</v>
      </c>
      <c r="G2641" s="66">
        <f t="shared" ref="G2641" ca="1" si="5416">VLOOKUP(INDIRECT(CHAR(39)&amp;$A2641&amp;CHAR(39)&amp;"!r2c"&amp;$C2641,0),variables,2,0)</f>
        <v>10996</v>
      </c>
      <c r="H2641" s="71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51743477000</v>
      </c>
    </row>
    <row r="2642" spans="1:8" x14ac:dyDescent="0.2">
      <c r="A2642" s="66" t="s">
        <v>1244</v>
      </c>
      <c r="B2642" s="66">
        <f t="shared" si="5312"/>
        <v>10</v>
      </c>
      <c r="C2642" s="66">
        <f t="shared" si="5313"/>
        <v>21</v>
      </c>
      <c r="E2642" s="66">
        <f t="shared" ref="E2642" si="5417">plan_id</f>
        <v>1952</v>
      </c>
      <c r="F2642" s="66">
        <f t="shared" ca="1" si="5405"/>
        <v>2008</v>
      </c>
      <c r="G2642" s="66">
        <f t="shared" ref="G2642" ca="1" si="5418">VLOOKUP(INDIRECT(CHAR(39)&amp;$A2642&amp;CHAR(39)&amp;"!r2c"&amp;$C2642,0),variables,2,0)</f>
        <v>10997</v>
      </c>
      <c r="H2642" s="71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0.89034821735838665</v>
      </c>
    </row>
    <row r="2643" spans="1:8" x14ac:dyDescent="0.2">
      <c r="A2643" s="66" t="s">
        <v>1244</v>
      </c>
      <c r="B2643" s="66">
        <f t="shared" si="5312"/>
        <v>10</v>
      </c>
      <c r="C2643" s="66">
        <f t="shared" si="5313"/>
        <v>22</v>
      </c>
      <c r="E2643" s="66">
        <f t="shared" ref="E2643" si="5419">plan_id</f>
        <v>1952</v>
      </c>
      <c r="F2643" s="66">
        <f t="shared" ca="1" si="5405"/>
        <v>2008</v>
      </c>
      <c r="G2643" s="66">
        <f t="shared" ref="G2643" ca="1" si="5420">VLOOKUP(INDIRECT(CHAR(39)&amp;$A2643&amp;CHAR(39)&amp;"!r2c"&amp;$C2643,0),variables,2,0)</f>
        <v>10980</v>
      </c>
      <c r="H2643" s="71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66" t="s">
        <v>1244</v>
      </c>
      <c r="B2644" s="66">
        <f t="shared" si="5312"/>
        <v>10</v>
      </c>
      <c r="C2644" s="66">
        <f t="shared" si="5313"/>
        <v>23</v>
      </c>
      <c r="E2644" s="66">
        <f t="shared" ref="E2644" si="5421">plan_id</f>
        <v>1952</v>
      </c>
      <c r="F2644" s="66">
        <f t="shared" ca="1" si="5405"/>
        <v>2008</v>
      </c>
      <c r="G2644" s="66">
        <f t="shared" ref="G2644" ca="1" si="5422">VLOOKUP(INDIRECT(CHAR(39)&amp;$A2644&amp;CHAR(39)&amp;"!r2c"&amp;$C2644,0),variables,2,0)</f>
        <v>10981</v>
      </c>
      <c r="H2644" s="71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66" t="s">
        <v>1244</v>
      </c>
      <c r="B2645" s="66">
        <f t="shared" si="5312"/>
        <v>10</v>
      </c>
      <c r="C2645" s="66">
        <f t="shared" si="5313"/>
        <v>24</v>
      </c>
      <c r="E2645" s="66">
        <f t="shared" ref="E2645" si="5423">plan_id</f>
        <v>1952</v>
      </c>
      <c r="F2645" s="66">
        <f t="shared" ca="1" si="5405"/>
        <v>2008</v>
      </c>
      <c r="G2645" s="66">
        <f t="shared" ref="G2645" ca="1" si="5424">VLOOKUP(INDIRECT(CHAR(39)&amp;$A2645&amp;CHAR(39)&amp;"!r2c"&amp;$C2645,0),variables,2,0)</f>
        <v>10998</v>
      </c>
      <c r="H2645" s="71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-294667000</v>
      </c>
    </row>
    <row r="2646" spans="1:8" x14ac:dyDescent="0.2">
      <c r="A2646" s="66" t="s">
        <v>1244</v>
      </c>
      <c r="B2646" s="66">
        <f t="shared" si="5312"/>
        <v>10</v>
      </c>
      <c r="C2646" s="66">
        <f t="shared" si="5313"/>
        <v>25</v>
      </c>
      <c r="E2646" s="66">
        <f t="shared" ref="E2646" si="5425">plan_id</f>
        <v>1952</v>
      </c>
      <c r="F2646" s="66">
        <f t="shared" ca="1" si="5405"/>
        <v>2008</v>
      </c>
      <c r="G2646" s="66">
        <f t="shared" ref="G2646" ca="1" si="5426">VLOOKUP(INDIRECT(CHAR(39)&amp;$A2646&amp;CHAR(39)&amp;"!r2c"&amp;$C2646,0),variables,2,0)</f>
        <v>10999</v>
      </c>
      <c r="H2646" s="71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2427543000</v>
      </c>
    </row>
    <row r="2647" spans="1:8" x14ac:dyDescent="0.2">
      <c r="A2647" s="66" t="s">
        <v>1244</v>
      </c>
      <c r="B2647" s="66">
        <f t="shared" si="5312"/>
        <v>10</v>
      </c>
      <c r="C2647" s="66">
        <f t="shared" si="5313"/>
        <v>26</v>
      </c>
      <c r="E2647" s="66">
        <f t="shared" ref="E2647" si="5427">plan_id</f>
        <v>1952</v>
      </c>
      <c r="F2647" s="66">
        <f t="shared" ca="1" si="5405"/>
        <v>2008</v>
      </c>
      <c r="G2647" s="66">
        <f t="shared" ref="G2647" ca="1" si="5428">VLOOKUP(INDIRECT(CHAR(39)&amp;$A2647&amp;CHAR(39)&amp;"!r2c"&amp;$C2647,0),variables,2,0)</f>
        <v>11000</v>
      </c>
      <c r="H2647" s="71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97574000</v>
      </c>
    </row>
    <row r="2648" spans="1:8" x14ac:dyDescent="0.2">
      <c r="A2648" s="66" t="s">
        <v>1244</v>
      </c>
      <c r="B2648" s="66">
        <f t="shared" si="5312"/>
        <v>10</v>
      </c>
      <c r="C2648" s="66">
        <f t="shared" si="5313"/>
        <v>27</v>
      </c>
      <c r="E2648" s="66">
        <f t="shared" ref="E2648" si="5429">plan_id</f>
        <v>1952</v>
      </c>
      <c r="F2648" s="66">
        <f t="shared" ca="1" si="5405"/>
        <v>2008</v>
      </c>
      <c r="G2648" s="66">
        <f t="shared" ref="G2648" ca="1" si="5430">VLOOKUP(INDIRECT(CHAR(39)&amp;$A2648&amp;CHAR(39)&amp;"!r2c"&amp;$C2648,0),variables,2,0)</f>
        <v>11001</v>
      </c>
      <c r="H2648" s="71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24677000</v>
      </c>
    </row>
    <row r="2649" spans="1:8" x14ac:dyDescent="0.2">
      <c r="A2649" s="66" t="s">
        <v>1244</v>
      </c>
      <c r="B2649" s="66">
        <f t="shared" si="5312"/>
        <v>10</v>
      </c>
      <c r="C2649" s="66">
        <f t="shared" si="5313"/>
        <v>28</v>
      </c>
      <c r="E2649" s="66">
        <f t="shared" ref="E2649" si="5431">plan_id</f>
        <v>1952</v>
      </c>
      <c r="F2649" s="66">
        <f t="shared" ca="1" si="5405"/>
        <v>2008</v>
      </c>
      <c r="G2649" s="66">
        <f t="shared" ref="G2649" ca="1" si="5432">VLOOKUP(INDIRECT(CHAR(39)&amp;$A2649&amp;CHAR(39)&amp;"!r2c"&amp;$C2649,0),variables,2,0)</f>
        <v>11002</v>
      </c>
      <c r="H2649" s="71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298000</v>
      </c>
    </row>
    <row r="2650" spans="1:8" x14ac:dyDescent="0.2">
      <c r="A2650" s="66" t="s">
        <v>1244</v>
      </c>
      <c r="B2650" s="66">
        <f t="shared" si="5312"/>
        <v>10</v>
      </c>
      <c r="C2650" s="66">
        <f t="shared" si="5313"/>
        <v>29</v>
      </c>
      <c r="E2650" s="66">
        <f t="shared" ref="E2650" si="5433">plan_id</f>
        <v>1952</v>
      </c>
      <c r="F2650" s="66">
        <f t="shared" ca="1" si="5405"/>
        <v>2008</v>
      </c>
      <c r="G2650" s="66">
        <f t="shared" ref="G2650" ca="1" si="5434">VLOOKUP(INDIRECT(CHAR(39)&amp;$A2650&amp;CHAR(39)&amp;"!r2c"&amp;$C2650,0),variables,2,0)</f>
        <v>11003</v>
      </c>
      <c r="H2650" s="71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2550092000</v>
      </c>
    </row>
    <row r="2651" spans="1:8" x14ac:dyDescent="0.2">
      <c r="A2651" s="66" t="s">
        <v>1244</v>
      </c>
      <c r="B2651" s="66">
        <f t="shared" si="5312"/>
        <v>11</v>
      </c>
      <c r="C2651" s="66">
        <f t="shared" si="5313"/>
        <v>3</v>
      </c>
      <c r="E2651" s="66">
        <f t="shared" ref="E2651" si="5435">plan_id</f>
        <v>1952</v>
      </c>
      <c r="F2651" s="66">
        <f t="shared" ca="1" si="5405"/>
        <v>2009</v>
      </c>
      <c r="G2651" s="66">
        <f t="shared" ref="G2651" ca="1" si="5436">VLOOKUP(INDIRECT(CHAR(39)&amp;$A2651&amp;CHAR(39)&amp;"!r2c"&amp;$C2651,0),variables,2,0)</f>
        <v>10982</v>
      </c>
      <c r="H2651" s="71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66" t="s">
        <v>1244</v>
      </c>
      <c r="B2652" s="66">
        <f t="shared" si="5312"/>
        <v>11</v>
      </c>
      <c r="C2652" s="66">
        <f t="shared" si="5313"/>
        <v>4</v>
      </c>
      <c r="E2652" s="66">
        <f t="shared" ref="E2652" si="5437">plan_id</f>
        <v>1952</v>
      </c>
      <c r="F2652" s="66">
        <f t="shared" ca="1" si="5405"/>
        <v>2009</v>
      </c>
      <c r="G2652" s="66">
        <f t="shared" ref="G2652" ca="1" si="5438">VLOOKUP(INDIRECT(CHAR(39)&amp;$A2652&amp;CHAR(39)&amp;"!r2c"&amp;$C2652,0),variables,2,0)</f>
        <v>10984</v>
      </c>
      <c r="H2652" s="71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1501018000</v>
      </c>
    </row>
    <row r="2653" spans="1:8" x14ac:dyDescent="0.2">
      <c r="A2653" s="66" t="s">
        <v>1244</v>
      </c>
      <c r="B2653" s="66">
        <f t="shared" si="5312"/>
        <v>11</v>
      </c>
      <c r="C2653" s="66">
        <f t="shared" si="5313"/>
        <v>5</v>
      </c>
      <c r="E2653" s="66">
        <f t="shared" ref="E2653" si="5439">plan_id</f>
        <v>1952</v>
      </c>
      <c r="F2653" s="66">
        <f t="shared" ca="1" si="5405"/>
        <v>2009</v>
      </c>
      <c r="G2653" s="66">
        <f t="shared" ref="G2653" ca="1" si="5440">VLOOKUP(INDIRECT(CHAR(39)&amp;$A2653&amp;CHAR(39)&amp;"!r2c"&amp;$C2653,0),variables,2,0)</f>
        <v>10985</v>
      </c>
      <c r="H2653" s="71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1219577125</v>
      </c>
    </row>
    <row r="2654" spans="1:8" x14ac:dyDescent="0.2">
      <c r="A2654" s="66" t="s">
        <v>1244</v>
      </c>
      <c r="B2654" s="66">
        <f t="shared" si="5312"/>
        <v>11</v>
      </c>
      <c r="C2654" s="66">
        <f t="shared" si="5313"/>
        <v>6</v>
      </c>
      <c r="E2654" s="66">
        <f t="shared" ref="E2654" si="5441">plan_id</f>
        <v>1952</v>
      </c>
      <c r="F2654" s="66">
        <f t="shared" ca="1" si="5405"/>
        <v>2009</v>
      </c>
      <c r="G2654" s="66">
        <f t="shared" ref="G2654" ca="1" si="5442">VLOOKUP(INDIRECT(CHAR(39)&amp;$A2654&amp;CHAR(39)&amp;"!r2c"&amp;$C2654,0),variables,2,0)</f>
        <v>10986</v>
      </c>
      <c r="H2654" s="71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281440875</v>
      </c>
    </row>
    <row r="2655" spans="1:8" x14ac:dyDescent="0.2">
      <c r="A2655" s="66" t="s">
        <v>1244</v>
      </c>
      <c r="B2655" s="66">
        <f t="shared" ref="B2655:B2718" si="5443">B2628+1</f>
        <v>11</v>
      </c>
      <c r="C2655" s="66">
        <f t="shared" ref="C2655:C2718" si="5444">C2628</f>
        <v>7</v>
      </c>
      <c r="E2655" s="66">
        <f t="shared" ref="E2655" si="5445">plan_id</f>
        <v>1952</v>
      </c>
      <c r="F2655" s="66">
        <f t="shared" ca="1" si="5405"/>
        <v>2009</v>
      </c>
      <c r="G2655" s="66">
        <f t="shared" ref="G2655" ca="1" si="5446">VLOOKUP(INDIRECT(CHAR(39)&amp;$A2655&amp;CHAR(39)&amp;"!r2c"&amp;$C2655,0),variables,2,0)</f>
        <v>10974</v>
      </c>
      <c r="H2655" s="71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2">
      <c r="A2656" s="66" t="s">
        <v>1244</v>
      </c>
      <c r="B2656" s="66">
        <f t="shared" si="5443"/>
        <v>11</v>
      </c>
      <c r="C2656" s="66">
        <f t="shared" si="5444"/>
        <v>8</v>
      </c>
      <c r="E2656" s="66">
        <f t="shared" ref="E2656" si="5447">plan_id</f>
        <v>1952</v>
      </c>
      <c r="F2656" s="66">
        <f t="shared" ca="1" si="5405"/>
        <v>2009</v>
      </c>
      <c r="G2656" s="66">
        <f t="shared" ref="G2656" ca="1" si="5448">VLOOKUP(INDIRECT(CHAR(39)&amp;$A2656&amp;CHAR(39)&amp;"!r2c"&amp;$C2656,0),variables,2,0)</f>
        <v>10987</v>
      </c>
      <c r="H2656" s="71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0.8125</v>
      </c>
    </row>
    <row r="2657" spans="1:8" x14ac:dyDescent="0.2">
      <c r="A2657" s="66" t="s">
        <v>1244</v>
      </c>
      <c r="B2657" s="66">
        <f t="shared" si="5443"/>
        <v>11</v>
      </c>
      <c r="C2657" s="66">
        <f t="shared" si="5444"/>
        <v>9</v>
      </c>
      <c r="E2657" s="66">
        <f t="shared" ref="E2657" si="5449">plan_id</f>
        <v>1952</v>
      </c>
      <c r="F2657" s="66">
        <f t="shared" ca="1" si="5405"/>
        <v>2009</v>
      </c>
      <c r="G2657" s="66">
        <f t="shared" ref="G2657" ca="1" si="5450">VLOOKUP(INDIRECT(CHAR(39)&amp;$A2657&amp;CHAR(39)&amp;"!r2c"&amp;$C2657,0),variables,2,0)</f>
        <v>10885</v>
      </c>
      <c r="H2657" s="71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66" t="s">
        <v>1244</v>
      </c>
      <c r="B2658" s="66">
        <f t="shared" si="5443"/>
        <v>11</v>
      </c>
      <c r="C2658" s="66">
        <f t="shared" si="5444"/>
        <v>10</v>
      </c>
      <c r="E2658" s="66">
        <f t="shared" ref="E2658" si="5451">plan_id</f>
        <v>1952</v>
      </c>
      <c r="F2658" s="66">
        <f t="shared" ca="1" si="5405"/>
        <v>2009</v>
      </c>
      <c r="G2658" s="66">
        <f t="shared" ref="G2658" ca="1" si="5452">VLOOKUP(INDIRECT(CHAR(39)&amp;$A2658&amp;CHAR(39)&amp;"!r2c"&amp;$C2658,0),variables,2,0)</f>
        <v>10886</v>
      </c>
      <c r="H2658" s="71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66" t="s">
        <v>1244</v>
      </c>
      <c r="B2659" s="66">
        <f t="shared" si="5443"/>
        <v>11</v>
      </c>
      <c r="C2659" s="66">
        <f t="shared" si="5444"/>
        <v>11</v>
      </c>
      <c r="E2659" s="66">
        <f t="shared" ref="E2659" si="5453">plan_id</f>
        <v>1952</v>
      </c>
      <c r="F2659" s="66">
        <f t="shared" ca="1" si="5405"/>
        <v>2009</v>
      </c>
      <c r="G2659" s="66">
        <f t="shared" ref="G2659" ca="1" si="5454">VLOOKUP(INDIRECT(CHAR(39)&amp;$A2659&amp;CHAR(39)&amp;"!r2c"&amp;$C2659,0),variables,2,0)</f>
        <v>10887</v>
      </c>
      <c r="H2659" s="71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66" t="s">
        <v>1244</v>
      </c>
      <c r="B2660" s="66">
        <f t="shared" si="5443"/>
        <v>11</v>
      </c>
      <c r="C2660" s="66">
        <f t="shared" si="5444"/>
        <v>12</v>
      </c>
      <c r="E2660" s="66">
        <f t="shared" ref="E2660" si="5455">plan_id</f>
        <v>1952</v>
      </c>
      <c r="F2660" s="66">
        <f t="shared" ca="1" si="5405"/>
        <v>2009</v>
      </c>
      <c r="G2660" s="66">
        <f t="shared" ref="G2660" ca="1" si="5456">VLOOKUP(INDIRECT(CHAR(39)&amp;$A2660&amp;CHAR(39)&amp;"!r2c"&amp;$C2660,0),variables,2,0)</f>
        <v>10883</v>
      </c>
      <c r="H2660" s="71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66" t="s">
        <v>1244</v>
      </c>
      <c r="B2661" s="66">
        <f t="shared" si="5443"/>
        <v>11</v>
      </c>
      <c r="C2661" s="66">
        <f t="shared" si="5444"/>
        <v>13</v>
      </c>
      <c r="E2661" s="66">
        <f t="shared" ref="E2661" si="5457">plan_id</f>
        <v>1952</v>
      </c>
      <c r="F2661" s="66">
        <f t="shared" ca="1" si="5405"/>
        <v>2009</v>
      </c>
      <c r="G2661" s="66">
        <f t="shared" ref="G2661" ca="1" si="5458">VLOOKUP(INDIRECT(CHAR(39)&amp;$A2661&amp;CHAR(39)&amp;"!r2c"&amp;$C2661,0),variables,2,0)</f>
        <v>10989</v>
      </c>
      <c r="H2661" s="71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52548000000</v>
      </c>
    </row>
    <row r="2662" spans="1:8" x14ac:dyDescent="0.2">
      <c r="A2662" s="66" t="s">
        <v>1244</v>
      </c>
      <c r="B2662" s="66">
        <f t="shared" si="5443"/>
        <v>11</v>
      </c>
      <c r="C2662" s="66">
        <f t="shared" si="5444"/>
        <v>14</v>
      </c>
      <c r="E2662" s="66">
        <f t="shared" ref="E2662" si="5459">plan_id</f>
        <v>1952</v>
      </c>
      <c r="F2662" s="66">
        <f t="shared" ca="1" si="5405"/>
        <v>2009</v>
      </c>
      <c r="G2662" s="66">
        <f t="shared" ref="G2662" ca="1" si="5460">VLOOKUP(INDIRECT(CHAR(39)&amp;$A2662&amp;CHAR(39)&amp;"!r2c"&amp;$C2662,0),variables,2,0)</f>
        <v>10990</v>
      </c>
      <c r="H2662" s="71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62554000000</v>
      </c>
    </row>
    <row r="2663" spans="1:8" x14ac:dyDescent="0.2">
      <c r="A2663" s="66" t="s">
        <v>1244</v>
      </c>
      <c r="B2663" s="66">
        <f t="shared" si="5443"/>
        <v>11</v>
      </c>
      <c r="C2663" s="66">
        <f t="shared" si="5444"/>
        <v>15</v>
      </c>
      <c r="E2663" s="66">
        <f t="shared" ref="E2663" si="5461">plan_id</f>
        <v>1952</v>
      </c>
      <c r="F2663" s="66">
        <f t="shared" ca="1" si="5405"/>
        <v>2009</v>
      </c>
      <c r="G2663" s="66">
        <f t="shared" ref="G2663" ca="1" si="5462">VLOOKUP(INDIRECT(CHAR(39)&amp;$A2663&amp;CHAR(39)&amp;"!r2c"&amp;$C2663,0),variables,2,0)</f>
        <v>10991</v>
      </c>
      <c r="H2663" s="71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10006000000</v>
      </c>
    </row>
    <row r="2664" spans="1:8" x14ac:dyDescent="0.2">
      <c r="A2664" s="66" t="s">
        <v>1244</v>
      </c>
      <c r="B2664" s="66">
        <f t="shared" si="5443"/>
        <v>11</v>
      </c>
      <c r="C2664" s="66">
        <f t="shared" si="5444"/>
        <v>16</v>
      </c>
      <c r="E2664" s="66">
        <f t="shared" ref="E2664" si="5463">plan_id</f>
        <v>1952</v>
      </c>
      <c r="F2664" s="66">
        <f t="shared" ca="1" si="5405"/>
        <v>2009</v>
      </c>
      <c r="G2664" s="66">
        <f t="shared" ref="G2664" ca="1" si="5464">VLOOKUP(INDIRECT(CHAR(39)&amp;$A2664&amp;CHAR(39)&amp;"!r2c"&amp;$C2664,0),variables,2,0)</f>
        <v>10992</v>
      </c>
      <c r="H2664" s="71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0.84</v>
      </c>
    </row>
    <row r="2665" spans="1:8" x14ac:dyDescent="0.2">
      <c r="A2665" s="66" t="s">
        <v>1244</v>
      </c>
      <c r="B2665" s="66">
        <f t="shared" si="5443"/>
        <v>11</v>
      </c>
      <c r="C2665" s="66">
        <f t="shared" si="5444"/>
        <v>17</v>
      </c>
      <c r="E2665" s="66">
        <f t="shared" ref="E2665" si="5465">plan_id</f>
        <v>1952</v>
      </c>
      <c r="F2665" s="66">
        <f t="shared" ca="1" si="5405"/>
        <v>2009</v>
      </c>
      <c r="G2665" s="66">
        <f t="shared" ref="G2665" ca="1" si="5466">VLOOKUP(INDIRECT(CHAR(39)&amp;$A2665&amp;CHAR(39)&amp;"!r2c"&amp;$C2665,0),variables,2,0)</f>
        <v>10993</v>
      </c>
      <c r="H2665" s="71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14559000000</v>
      </c>
    </row>
    <row r="2666" spans="1:8" x14ac:dyDescent="0.2">
      <c r="A2666" s="66" t="s">
        <v>1244</v>
      </c>
      <c r="B2666" s="66">
        <f t="shared" si="5443"/>
        <v>11</v>
      </c>
      <c r="C2666" s="66">
        <f t="shared" si="5444"/>
        <v>18</v>
      </c>
      <c r="E2666" s="66">
        <f t="shared" ref="E2666" si="5467">plan_id</f>
        <v>1952</v>
      </c>
      <c r="F2666" s="66">
        <f t="shared" ca="1" si="5405"/>
        <v>2009</v>
      </c>
      <c r="G2666" s="66">
        <f t="shared" ref="G2666" ca="1" si="5468">VLOOKUP(INDIRECT(CHAR(39)&amp;$A2666&amp;CHAR(39)&amp;"!r2c"&amp;$C2666,0),variables,2,0)</f>
        <v>11005</v>
      </c>
      <c r="H2666" s="71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66" t="s">
        <v>1244</v>
      </c>
      <c r="B2667" s="66">
        <f t="shared" si="5443"/>
        <v>11</v>
      </c>
      <c r="C2667" s="66">
        <f t="shared" si="5444"/>
        <v>19</v>
      </c>
      <c r="E2667" s="66">
        <f t="shared" ref="E2667" si="5469">plan_id</f>
        <v>1952</v>
      </c>
      <c r="F2667" s="66">
        <f t="shared" ca="1" si="5405"/>
        <v>2009</v>
      </c>
      <c r="G2667" s="66">
        <f t="shared" ref="G2667" ca="1" si="5470">VLOOKUP(INDIRECT(CHAR(39)&amp;$A2667&amp;CHAR(39)&amp;"!r2c"&amp;$C2667,0),variables,2,0)</f>
        <v>10988</v>
      </c>
      <c r="H2667" s="71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0.10309897657806168</v>
      </c>
    </row>
    <row r="2668" spans="1:8" x14ac:dyDescent="0.2">
      <c r="A2668" s="66" t="s">
        <v>1244</v>
      </c>
      <c r="B2668" s="66">
        <f t="shared" si="5443"/>
        <v>11</v>
      </c>
      <c r="C2668" s="66">
        <f t="shared" si="5444"/>
        <v>20</v>
      </c>
      <c r="E2668" s="66">
        <f t="shared" ref="E2668" si="5471">plan_id</f>
        <v>1952</v>
      </c>
      <c r="F2668" s="66">
        <f t="shared" ca="1" si="5405"/>
        <v>2009</v>
      </c>
      <c r="G2668" s="66">
        <f t="shared" ref="G2668" ca="1" si="5472">VLOOKUP(INDIRECT(CHAR(39)&amp;$A2668&amp;CHAR(39)&amp;"!r2c"&amp;$C2668,0),variables,2,0)</f>
        <v>10996</v>
      </c>
      <c r="H2668" s="71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39889754000</v>
      </c>
    </row>
    <row r="2669" spans="1:8" x14ac:dyDescent="0.2">
      <c r="A2669" s="66" t="s">
        <v>1244</v>
      </c>
      <c r="B2669" s="66">
        <f t="shared" si="5443"/>
        <v>11</v>
      </c>
      <c r="C2669" s="66">
        <f t="shared" si="5444"/>
        <v>21</v>
      </c>
      <c r="E2669" s="66">
        <f t="shared" ref="E2669" si="5473">plan_id</f>
        <v>1952</v>
      </c>
      <c r="F2669" s="66">
        <f t="shared" ca="1" si="5405"/>
        <v>2009</v>
      </c>
      <c r="G2669" s="66">
        <f t="shared" ref="G2669" ca="1" si="5474">VLOOKUP(INDIRECT(CHAR(39)&amp;$A2669&amp;CHAR(39)&amp;"!r2c"&amp;$C2669,0),variables,2,0)</f>
        <v>10997</v>
      </c>
      <c r="H2669" s="71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0.6376851040700835</v>
      </c>
    </row>
    <row r="2670" spans="1:8" x14ac:dyDescent="0.2">
      <c r="A2670" s="66" t="s">
        <v>1244</v>
      </c>
      <c r="B2670" s="66">
        <f t="shared" si="5443"/>
        <v>11</v>
      </c>
      <c r="C2670" s="66">
        <f t="shared" si="5444"/>
        <v>22</v>
      </c>
      <c r="E2670" s="66">
        <f t="shared" ref="E2670" si="5475">plan_id</f>
        <v>1952</v>
      </c>
      <c r="F2670" s="66">
        <f t="shared" ca="1" si="5405"/>
        <v>2009</v>
      </c>
      <c r="G2670" s="66">
        <f t="shared" ref="G2670" ca="1" si="5476">VLOOKUP(INDIRECT(CHAR(39)&amp;$A2670&amp;CHAR(39)&amp;"!r2c"&amp;$C2670,0),variables,2,0)</f>
        <v>10980</v>
      </c>
      <c r="H2670" s="71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66" t="s">
        <v>1244</v>
      </c>
      <c r="B2671" s="66">
        <f t="shared" si="5443"/>
        <v>11</v>
      </c>
      <c r="C2671" s="66">
        <f t="shared" si="5444"/>
        <v>23</v>
      </c>
      <c r="E2671" s="66">
        <f t="shared" ref="E2671" si="5477">plan_id</f>
        <v>1952</v>
      </c>
      <c r="F2671" s="66">
        <f t="shared" ca="1" si="5405"/>
        <v>2009</v>
      </c>
      <c r="G2671" s="66">
        <f t="shared" ref="G2671" ca="1" si="5478">VLOOKUP(INDIRECT(CHAR(39)&amp;$A2671&amp;CHAR(39)&amp;"!r2c"&amp;$C2671,0),variables,2,0)</f>
        <v>10981</v>
      </c>
      <c r="H2671" s="71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66" t="s">
        <v>1244</v>
      </c>
      <c r="B2672" s="66">
        <f t="shared" si="5443"/>
        <v>11</v>
      </c>
      <c r="C2672" s="66">
        <f t="shared" si="5444"/>
        <v>24</v>
      </c>
      <c r="E2672" s="66">
        <f t="shared" ref="E2672" si="5479">plan_id</f>
        <v>1952</v>
      </c>
      <c r="F2672" s="66">
        <f t="shared" ca="1" si="5405"/>
        <v>2009</v>
      </c>
      <c r="G2672" s="66">
        <f t="shared" ref="G2672" ca="1" si="5480">VLOOKUP(INDIRECT(CHAR(39)&amp;$A2672&amp;CHAR(39)&amp;"!r2c"&amp;$C2672,0),variables,2,0)</f>
        <v>10998</v>
      </c>
      <c r="H2672" s="71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-6868123000</v>
      </c>
    </row>
    <row r="2673" spans="1:8" x14ac:dyDescent="0.2">
      <c r="A2673" s="66" t="s">
        <v>1244</v>
      </c>
      <c r="B2673" s="66">
        <f t="shared" si="5443"/>
        <v>11</v>
      </c>
      <c r="C2673" s="66">
        <f t="shared" si="5444"/>
        <v>25</v>
      </c>
      <c r="E2673" s="66">
        <f t="shared" ref="E2673" si="5481">plan_id</f>
        <v>1952</v>
      </c>
      <c r="F2673" s="66">
        <f t="shared" ca="1" si="5405"/>
        <v>2009</v>
      </c>
      <c r="G2673" s="66">
        <f t="shared" ref="G2673" ca="1" si="5482">VLOOKUP(INDIRECT(CHAR(39)&amp;$A2673&amp;CHAR(39)&amp;"!r2c"&amp;$C2673,0),variables,2,0)</f>
        <v>10999</v>
      </c>
      <c r="H2673" s="71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2617313000</v>
      </c>
    </row>
    <row r="2674" spans="1:8" x14ac:dyDescent="0.2">
      <c r="A2674" s="66" t="s">
        <v>1244</v>
      </c>
      <c r="B2674" s="66">
        <f t="shared" si="5443"/>
        <v>11</v>
      </c>
      <c r="C2674" s="66">
        <f t="shared" si="5444"/>
        <v>26</v>
      </c>
      <c r="E2674" s="66">
        <f t="shared" ref="E2674" si="5483">plan_id</f>
        <v>1952</v>
      </c>
      <c r="F2674" s="66">
        <f t="shared" ca="1" si="5405"/>
        <v>2009</v>
      </c>
      <c r="G2674" s="66">
        <f t="shared" ref="G2674" ca="1" si="5484">VLOOKUP(INDIRECT(CHAR(39)&amp;$A2674&amp;CHAR(39)&amp;"!r2c"&amp;$C2674,0),variables,2,0)</f>
        <v>11000</v>
      </c>
      <c r="H2674" s="71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86688000</v>
      </c>
    </row>
    <row r="2675" spans="1:8" x14ac:dyDescent="0.2">
      <c r="A2675" s="66" t="s">
        <v>1244</v>
      </c>
      <c r="B2675" s="66">
        <f t="shared" si="5443"/>
        <v>11</v>
      </c>
      <c r="C2675" s="66">
        <f t="shared" si="5444"/>
        <v>27</v>
      </c>
      <c r="E2675" s="66">
        <f t="shared" ref="E2675" si="5485">plan_id</f>
        <v>1952</v>
      </c>
      <c r="F2675" s="66">
        <f t="shared" ca="1" si="5405"/>
        <v>2009</v>
      </c>
      <c r="G2675" s="66">
        <f t="shared" ref="G2675" ca="1" si="5486">VLOOKUP(INDIRECT(CHAR(39)&amp;$A2675&amp;CHAR(39)&amp;"!r2c"&amp;$C2675,0),variables,2,0)</f>
        <v>11001</v>
      </c>
      <c r="H2675" s="71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30692000</v>
      </c>
    </row>
    <row r="2676" spans="1:8" x14ac:dyDescent="0.2">
      <c r="A2676" s="66" t="s">
        <v>1244</v>
      </c>
      <c r="B2676" s="66">
        <f t="shared" si="5443"/>
        <v>11</v>
      </c>
      <c r="C2676" s="66">
        <f t="shared" si="5444"/>
        <v>28</v>
      </c>
      <c r="E2676" s="66">
        <f t="shared" ref="E2676" si="5487">plan_id</f>
        <v>1952</v>
      </c>
      <c r="F2676" s="66">
        <f t="shared" ca="1" si="5405"/>
        <v>2009</v>
      </c>
      <c r="G2676" s="66">
        <f t="shared" ref="G2676" ca="1" si="5488">VLOOKUP(INDIRECT(CHAR(39)&amp;$A2676&amp;CHAR(39)&amp;"!r2c"&amp;$C2676,0),variables,2,0)</f>
        <v>11002</v>
      </c>
      <c r="H2676" s="71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668000</v>
      </c>
    </row>
    <row r="2677" spans="1:8" x14ac:dyDescent="0.2">
      <c r="A2677" s="66" t="s">
        <v>1244</v>
      </c>
      <c r="B2677" s="66">
        <f t="shared" si="5443"/>
        <v>11</v>
      </c>
      <c r="C2677" s="66">
        <f t="shared" si="5444"/>
        <v>29</v>
      </c>
      <c r="E2677" s="66">
        <f t="shared" ref="E2677" si="5489">plan_id</f>
        <v>1952</v>
      </c>
      <c r="F2677" s="66">
        <f t="shared" ca="1" si="5405"/>
        <v>2009</v>
      </c>
      <c r="G2677" s="66">
        <f t="shared" ref="G2677" ca="1" si="5490">VLOOKUP(INDIRECT(CHAR(39)&amp;$A2677&amp;CHAR(39)&amp;"!r2c"&amp;$C2677,0),variables,2,0)</f>
        <v>11003</v>
      </c>
      <c r="H2677" s="71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2735361000</v>
      </c>
    </row>
    <row r="2678" spans="1:8" x14ac:dyDescent="0.2">
      <c r="A2678" s="66" t="s">
        <v>1244</v>
      </c>
      <c r="B2678" s="66">
        <f t="shared" si="5443"/>
        <v>12</v>
      </c>
      <c r="C2678" s="66">
        <f t="shared" si="5444"/>
        <v>3</v>
      </c>
      <c r="E2678" s="66">
        <f t="shared" ref="E2678" si="5491">plan_id</f>
        <v>1952</v>
      </c>
      <c r="F2678" s="66">
        <f t="shared" ca="1" si="5405"/>
        <v>2010</v>
      </c>
      <c r="G2678" s="66">
        <f t="shared" ref="G2678" ca="1" si="5492">VLOOKUP(INDIRECT(CHAR(39)&amp;$A2678&amp;CHAR(39)&amp;"!r2c"&amp;$C2678,0),variables,2,0)</f>
        <v>10982</v>
      </c>
      <c r="H2678" s="71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66" t="s">
        <v>1244</v>
      </c>
      <c r="B2679" s="66">
        <f t="shared" si="5443"/>
        <v>12</v>
      </c>
      <c r="C2679" s="66">
        <f t="shared" si="5444"/>
        <v>4</v>
      </c>
      <c r="E2679" s="66">
        <f t="shared" ref="E2679" si="5493">plan_id</f>
        <v>1952</v>
      </c>
      <c r="F2679" s="66">
        <f t="shared" ca="1" si="5405"/>
        <v>2010</v>
      </c>
      <c r="G2679" s="66">
        <f t="shared" ref="G2679" ca="1" si="5494">VLOOKUP(INDIRECT(CHAR(39)&amp;$A2679&amp;CHAR(39)&amp;"!r2c"&amp;$C2679,0),variables,2,0)</f>
        <v>10984</v>
      </c>
      <c r="H2679" s="71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1489124000</v>
      </c>
    </row>
    <row r="2680" spans="1:8" x14ac:dyDescent="0.2">
      <c r="A2680" s="66" t="s">
        <v>1244</v>
      </c>
      <c r="B2680" s="66">
        <f t="shared" si="5443"/>
        <v>12</v>
      </c>
      <c r="C2680" s="66">
        <f t="shared" si="5444"/>
        <v>5</v>
      </c>
      <c r="E2680" s="66">
        <f t="shared" ref="E2680" si="5495">plan_id</f>
        <v>1952</v>
      </c>
      <c r="F2680" s="66">
        <f t="shared" ca="1" si="5405"/>
        <v>2010</v>
      </c>
      <c r="G2680" s="66">
        <f t="shared" ref="G2680" ca="1" si="5496">VLOOKUP(INDIRECT(CHAR(39)&amp;$A2680&amp;CHAR(39)&amp;"!r2c"&amp;$C2680,0),variables,2,0)</f>
        <v>10985</v>
      </c>
      <c r="H2680" s="71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991309846.79999995</v>
      </c>
    </row>
    <row r="2681" spans="1:8" x14ac:dyDescent="0.2">
      <c r="A2681" s="66" t="s">
        <v>1244</v>
      </c>
      <c r="B2681" s="66">
        <f t="shared" si="5443"/>
        <v>12</v>
      </c>
      <c r="C2681" s="66">
        <f t="shared" si="5444"/>
        <v>6</v>
      </c>
      <c r="E2681" s="66">
        <f t="shared" ref="E2681" si="5497">plan_id</f>
        <v>1952</v>
      </c>
      <c r="F2681" s="66">
        <f t="shared" ca="1" si="5405"/>
        <v>2010</v>
      </c>
      <c r="G2681" s="66">
        <f t="shared" ref="G2681" ca="1" si="5498">VLOOKUP(INDIRECT(CHAR(39)&amp;$A2681&amp;CHAR(39)&amp;"!r2c"&amp;$C2681,0),variables,2,0)</f>
        <v>10986</v>
      </c>
      <c r="H2681" s="71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497814153.20000005</v>
      </c>
    </row>
    <row r="2682" spans="1:8" x14ac:dyDescent="0.2">
      <c r="A2682" s="66" t="s">
        <v>1244</v>
      </c>
      <c r="B2682" s="66">
        <f t="shared" si="5443"/>
        <v>12</v>
      </c>
      <c r="C2682" s="66">
        <f t="shared" si="5444"/>
        <v>7</v>
      </c>
      <c r="E2682" s="66">
        <f t="shared" ref="E2682" si="5499">plan_id</f>
        <v>1952</v>
      </c>
      <c r="F2682" s="66">
        <f t="shared" ca="1" si="5405"/>
        <v>2010</v>
      </c>
      <c r="G2682" s="66">
        <f t="shared" ref="G2682" ca="1" si="5500">VLOOKUP(INDIRECT(CHAR(39)&amp;$A2682&amp;CHAR(39)&amp;"!r2c"&amp;$C2682,0),variables,2,0)</f>
        <v>10974</v>
      </c>
      <c r="H2682" s="71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2">
      <c r="A2683" s="66" t="s">
        <v>1244</v>
      </c>
      <c r="B2683" s="66">
        <f t="shared" si="5443"/>
        <v>12</v>
      </c>
      <c r="C2683" s="66">
        <f t="shared" si="5444"/>
        <v>8</v>
      </c>
      <c r="E2683" s="66">
        <f t="shared" ref="E2683" si="5501">plan_id</f>
        <v>1952</v>
      </c>
      <c r="F2683" s="66">
        <f t="shared" ca="1" si="5405"/>
        <v>2010</v>
      </c>
      <c r="G2683" s="66">
        <f t="shared" ref="G2683" ca="1" si="5502">VLOOKUP(INDIRECT(CHAR(39)&amp;$A2683&amp;CHAR(39)&amp;"!r2c"&amp;$C2683,0),variables,2,0)</f>
        <v>10987</v>
      </c>
      <c r="H2683" s="71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0.66569999999999996</v>
      </c>
    </row>
    <row r="2684" spans="1:8" x14ac:dyDescent="0.2">
      <c r="A2684" s="66" t="s">
        <v>1244</v>
      </c>
      <c r="B2684" s="66">
        <f t="shared" si="5443"/>
        <v>12</v>
      </c>
      <c r="C2684" s="66">
        <f t="shared" si="5444"/>
        <v>9</v>
      </c>
      <c r="E2684" s="66">
        <f t="shared" ref="E2684" si="5503">plan_id</f>
        <v>1952</v>
      </c>
      <c r="F2684" s="66">
        <f t="shared" ca="1" si="5405"/>
        <v>2010</v>
      </c>
      <c r="G2684" s="66">
        <f t="shared" ref="G2684" ca="1" si="5504">VLOOKUP(INDIRECT(CHAR(39)&amp;$A2684&amp;CHAR(39)&amp;"!r2c"&amp;$C2684,0),variables,2,0)</f>
        <v>10885</v>
      </c>
      <c r="H2684" s="71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66" t="s">
        <v>1244</v>
      </c>
      <c r="B2685" s="66">
        <f t="shared" si="5443"/>
        <v>12</v>
      </c>
      <c r="C2685" s="66">
        <f t="shared" si="5444"/>
        <v>10</v>
      </c>
      <c r="E2685" s="66">
        <f t="shared" ref="E2685" si="5505">plan_id</f>
        <v>1952</v>
      </c>
      <c r="F2685" s="66">
        <f t="shared" ca="1" si="5405"/>
        <v>2010</v>
      </c>
      <c r="G2685" s="66">
        <f t="shared" ref="G2685" ca="1" si="5506">VLOOKUP(INDIRECT(CHAR(39)&amp;$A2685&amp;CHAR(39)&amp;"!r2c"&amp;$C2685,0),variables,2,0)</f>
        <v>10886</v>
      </c>
      <c r="H2685" s="71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66" t="s">
        <v>1244</v>
      </c>
      <c r="B2686" s="66">
        <f t="shared" si="5443"/>
        <v>12</v>
      </c>
      <c r="C2686" s="66">
        <f t="shared" si="5444"/>
        <v>11</v>
      </c>
      <c r="E2686" s="66">
        <f t="shared" ref="E2686" si="5507">plan_id</f>
        <v>1952</v>
      </c>
      <c r="F2686" s="66">
        <f t="shared" ca="1" si="5405"/>
        <v>2010</v>
      </c>
      <c r="G2686" s="66">
        <f t="shared" ref="G2686" ca="1" si="5508">VLOOKUP(INDIRECT(CHAR(39)&amp;$A2686&amp;CHAR(39)&amp;"!r2c"&amp;$C2686,0),variables,2,0)</f>
        <v>10887</v>
      </c>
      <c r="H2686" s="71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66" t="s">
        <v>1244</v>
      </c>
      <c r="B2687" s="66">
        <f t="shared" si="5443"/>
        <v>12</v>
      </c>
      <c r="C2687" s="66">
        <f t="shared" si="5444"/>
        <v>12</v>
      </c>
      <c r="E2687" s="66">
        <f t="shared" ref="E2687" si="5509">plan_id</f>
        <v>1952</v>
      </c>
      <c r="F2687" s="66">
        <f t="shared" ca="1" si="5405"/>
        <v>2010</v>
      </c>
      <c r="G2687" s="66">
        <f t="shared" ref="G2687" ca="1" si="5510">VLOOKUP(INDIRECT(CHAR(39)&amp;$A2687&amp;CHAR(39)&amp;"!r2c"&amp;$C2687,0),variables,2,0)</f>
        <v>10883</v>
      </c>
      <c r="H2687" s="71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66" t="s">
        <v>1244</v>
      </c>
      <c r="B2688" s="66">
        <f t="shared" si="5443"/>
        <v>12</v>
      </c>
      <c r="C2688" s="66">
        <f t="shared" si="5444"/>
        <v>13</v>
      </c>
      <c r="E2688" s="66">
        <f t="shared" ref="E2688" si="5511">plan_id</f>
        <v>1952</v>
      </c>
      <c r="F2688" s="66">
        <f t="shared" ca="1" si="5405"/>
        <v>2010</v>
      </c>
      <c r="G2688" s="66">
        <f t="shared" ref="G2688" ca="1" si="5512">VLOOKUP(INDIRECT(CHAR(39)&amp;$A2688&amp;CHAR(39)&amp;"!r2c"&amp;$C2688,0),variables,2,0)</f>
        <v>10989</v>
      </c>
      <c r="H2688" s="71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53185000000</v>
      </c>
    </row>
    <row r="2689" spans="1:8" x14ac:dyDescent="0.2">
      <c r="A2689" s="66" t="s">
        <v>1244</v>
      </c>
      <c r="B2689" s="66">
        <f t="shared" si="5443"/>
        <v>12</v>
      </c>
      <c r="C2689" s="66">
        <f t="shared" si="5444"/>
        <v>14</v>
      </c>
      <c r="E2689" s="66">
        <f t="shared" ref="E2689" si="5513">plan_id</f>
        <v>1952</v>
      </c>
      <c r="F2689" s="66">
        <f t="shared" ca="1" si="5405"/>
        <v>2010</v>
      </c>
      <c r="G2689" s="66">
        <f t="shared" ref="G2689" ca="1" si="5514">VLOOKUP(INDIRECT(CHAR(39)&amp;$A2689&amp;CHAR(39)&amp;"!r2c"&amp;$C2689,0),variables,2,0)</f>
        <v>10990</v>
      </c>
      <c r="H2689" s="71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66323000000</v>
      </c>
    </row>
    <row r="2690" spans="1:8" x14ac:dyDescent="0.2">
      <c r="A2690" s="66" t="s">
        <v>1244</v>
      </c>
      <c r="B2690" s="66">
        <f t="shared" si="5443"/>
        <v>12</v>
      </c>
      <c r="C2690" s="66">
        <f t="shared" si="5444"/>
        <v>15</v>
      </c>
      <c r="E2690" s="66">
        <f t="shared" ref="E2690" si="5515">plan_id</f>
        <v>1952</v>
      </c>
      <c r="F2690" s="66">
        <f t="shared" ca="1" si="5405"/>
        <v>2010</v>
      </c>
      <c r="G2690" s="66">
        <f t="shared" ref="G2690" ca="1" si="5516">VLOOKUP(INDIRECT(CHAR(39)&amp;$A2690&amp;CHAR(39)&amp;"!r2c"&amp;$C2690,0),variables,2,0)</f>
        <v>10991</v>
      </c>
      <c r="H2690" s="71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13138000000</v>
      </c>
    </row>
    <row r="2691" spans="1:8" x14ac:dyDescent="0.2">
      <c r="A2691" s="66" t="s">
        <v>1244</v>
      </c>
      <c r="B2691" s="66">
        <f t="shared" si="5443"/>
        <v>12</v>
      </c>
      <c r="C2691" s="66">
        <f t="shared" si="5444"/>
        <v>16</v>
      </c>
      <c r="E2691" s="66">
        <f t="shared" ref="E2691" si="5517">plan_id</f>
        <v>1952</v>
      </c>
      <c r="F2691" s="66">
        <f t="shared" ca="1" si="5405"/>
        <v>2010</v>
      </c>
      <c r="G2691" s="66">
        <f t="shared" ref="G2691" ca="1" si="5518">VLOOKUP(INDIRECT(CHAR(39)&amp;$A2691&amp;CHAR(39)&amp;"!r2c"&amp;$C2691,0),variables,2,0)</f>
        <v>10992</v>
      </c>
      <c r="H2691" s="71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0.80200000000000005</v>
      </c>
    </row>
    <row r="2692" spans="1:8" x14ac:dyDescent="0.2">
      <c r="A2692" s="66" t="s">
        <v>1244</v>
      </c>
      <c r="B2692" s="66">
        <f t="shared" si="5443"/>
        <v>12</v>
      </c>
      <c r="C2692" s="66">
        <f t="shared" si="5444"/>
        <v>17</v>
      </c>
      <c r="E2692" s="66">
        <f t="shared" ref="E2692" si="5519">plan_id</f>
        <v>1952</v>
      </c>
      <c r="F2692" s="66">
        <f t="shared" ca="1" si="5405"/>
        <v>2010</v>
      </c>
      <c r="G2692" s="66">
        <f t="shared" ref="G2692" ca="1" si="5520">VLOOKUP(INDIRECT(CHAR(39)&amp;$A2692&amp;CHAR(39)&amp;"!r2c"&amp;$C2692,0),variables,2,0)</f>
        <v>10993</v>
      </c>
      <c r="H2692" s="71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14948000000</v>
      </c>
    </row>
    <row r="2693" spans="1:8" x14ac:dyDescent="0.2">
      <c r="A2693" s="66" t="s">
        <v>1244</v>
      </c>
      <c r="B2693" s="66">
        <f t="shared" si="5443"/>
        <v>12</v>
      </c>
      <c r="C2693" s="66">
        <f t="shared" si="5444"/>
        <v>18</v>
      </c>
      <c r="E2693" s="66">
        <f t="shared" ref="E2693" si="5521">plan_id</f>
        <v>1952</v>
      </c>
      <c r="F2693" s="66">
        <f t="shared" ca="1" si="5405"/>
        <v>2010</v>
      </c>
      <c r="G2693" s="66">
        <f t="shared" ref="G2693" ca="1" si="5522">VLOOKUP(INDIRECT(CHAR(39)&amp;$A2693&amp;CHAR(39)&amp;"!r2c"&amp;$C2693,0),variables,2,0)</f>
        <v>11005</v>
      </c>
      <c r="H2693" s="71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66" t="s">
        <v>1244</v>
      </c>
      <c r="B2694" s="66">
        <f t="shared" si="5443"/>
        <v>12</v>
      </c>
      <c r="C2694" s="66">
        <f t="shared" si="5444"/>
        <v>19</v>
      </c>
      <c r="E2694" s="66">
        <f t="shared" ref="E2694" si="5523">plan_id</f>
        <v>1952</v>
      </c>
      <c r="F2694" s="66">
        <f t="shared" ca="1" si="5405"/>
        <v>2010</v>
      </c>
      <c r="G2694" s="66">
        <f t="shared" ref="G2694" ca="1" si="5524">VLOOKUP(INDIRECT(CHAR(39)&amp;$A2694&amp;CHAR(39)&amp;"!r2c"&amp;$C2694,0),variables,2,0)</f>
        <v>10988</v>
      </c>
      <c r="H2694" s="71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9.9620283649986624E-2</v>
      </c>
    </row>
    <row r="2695" spans="1:8" x14ac:dyDescent="0.2">
      <c r="A2695" s="66" t="s">
        <v>1244</v>
      </c>
      <c r="B2695" s="66">
        <f t="shared" si="5443"/>
        <v>12</v>
      </c>
      <c r="C2695" s="66">
        <f t="shared" si="5444"/>
        <v>20</v>
      </c>
      <c r="E2695" s="66">
        <f t="shared" ref="E2695" si="5525">plan_id</f>
        <v>1952</v>
      </c>
      <c r="F2695" s="66">
        <f t="shared" ca="1" si="5405"/>
        <v>2010</v>
      </c>
      <c r="G2695" s="66">
        <f t="shared" ref="G2695" ca="1" si="5526">VLOOKUP(INDIRECT(CHAR(39)&amp;$A2695&amp;CHAR(39)&amp;"!r2c"&amp;$C2695,0),variables,2,0)</f>
        <v>10996</v>
      </c>
      <c r="H2695" s="71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44645816000</v>
      </c>
    </row>
    <row r="2696" spans="1:8" x14ac:dyDescent="0.2">
      <c r="A2696" s="66" t="s">
        <v>1244</v>
      </c>
      <c r="B2696" s="66">
        <f t="shared" si="5443"/>
        <v>12</v>
      </c>
      <c r="C2696" s="66">
        <f t="shared" si="5444"/>
        <v>21</v>
      </c>
      <c r="E2696" s="66">
        <f t="shared" ref="E2696" si="5527">plan_id</f>
        <v>1952</v>
      </c>
      <c r="F2696" s="66">
        <f t="shared" ca="1" si="5405"/>
        <v>2010</v>
      </c>
      <c r="G2696" s="66">
        <f t="shared" ref="G2696" ca="1" si="5528">VLOOKUP(INDIRECT(CHAR(39)&amp;$A2696&amp;CHAR(39)&amp;"!r2c"&amp;$C2696,0),variables,2,0)</f>
        <v>10997</v>
      </c>
      <c r="H2696" s="71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0.67315736622287892</v>
      </c>
    </row>
    <row r="2697" spans="1:8" x14ac:dyDescent="0.2">
      <c r="A2697" s="66" t="s">
        <v>1244</v>
      </c>
      <c r="B2697" s="66">
        <f t="shared" si="5443"/>
        <v>12</v>
      </c>
      <c r="C2697" s="66">
        <f t="shared" si="5444"/>
        <v>22</v>
      </c>
      <c r="E2697" s="66">
        <f t="shared" ref="E2697" si="5529">plan_id</f>
        <v>1952</v>
      </c>
      <c r="F2697" s="66">
        <f t="shared" ca="1" si="5405"/>
        <v>2010</v>
      </c>
      <c r="G2697" s="66">
        <f t="shared" ref="G2697" ca="1" si="5530">VLOOKUP(INDIRECT(CHAR(39)&amp;$A2697&amp;CHAR(39)&amp;"!r2c"&amp;$C2697,0),variables,2,0)</f>
        <v>10980</v>
      </c>
      <c r="H2697" s="71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66" t="s">
        <v>1244</v>
      </c>
      <c r="B2698" s="66">
        <f t="shared" si="5443"/>
        <v>12</v>
      </c>
      <c r="C2698" s="66">
        <f t="shared" si="5444"/>
        <v>23</v>
      </c>
      <c r="E2698" s="66">
        <f t="shared" ref="E2698" si="5531">plan_id</f>
        <v>1952</v>
      </c>
      <c r="F2698" s="66">
        <f t="shared" ca="1" si="5405"/>
        <v>2010</v>
      </c>
      <c r="G2698" s="66">
        <f t="shared" ref="G2698" ca="1" si="5532">VLOOKUP(INDIRECT(CHAR(39)&amp;$A2698&amp;CHAR(39)&amp;"!r2c"&amp;$C2698,0),variables,2,0)</f>
        <v>10981</v>
      </c>
      <c r="H2698" s="71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66" t="s">
        <v>1244</v>
      </c>
      <c r="B2699" s="66">
        <f t="shared" si="5443"/>
        <v>12</v>
      </c>
      <c r="C2699" s="66">
        <f t="shared" si="5444"/>
        <v>24</v>
      </c>
      <c r="E2699" s="66">
        <f t="shared" ref="E2699" si="5533">plan_id</f>
        <v>1952</v>
      </c>
      <c r="F2699" s="66">
        <f t="shared" ca="1" si="5405"/>
        <v>2010</v>
      </c>
      <c r="G2699" s="66">
        <f t="shared" ref="G2699" ca="1" si="5534">VLOOKUP(INDIRECT(CHAR(39)&amp;$A2699&amp;CHAR(39)&amp;"!r2c"&amp;$C2699,0),variables,2,0)</f>
        <v>10998</v>
      </c>
      <c r="H2699" s="71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6933593000</v>
      </c>
    </row>
    <row r="2700" spans="1:8" x14ac:dyDescent="0.2">
      <c r="A2700" s="66" t="s">
        <v>1244</v>
      </c>
      <c r="B2700" s="66">
        <f t="shared" si="5443"/>
        <v>12</v>
      </c>
      <c r="C2700" s="66">
        <f t="shared" si="5444"/>
        <v>25</v>
      </c>
      <c r="E2700" s="66">
        <f t="shared" ref="E2700" si="5535">plan_id</f>
        <v>1952</v>
      </c>
      <c r="F2700" s="66">
        <f t="shared" ref="F2700:F2763" ca="1" si="5536">INDIRECT(CHAR(39)&amp;$A2700&amp;CHAR(39)&amp;"!r"&amp;$B2700&amp;"c2",0)</f>
        <v>2010</v>
      </c>
      <c r="G2700" s="66">
        <f t="shared" ref="G2700" ca="1" si="5537">VLOOKUP(INDIRECT(CHAR(39)&amp;$A2700&amp;CHAR(39)&amp;"!r2c"&amp;$C2700,0),variables,2,0)</f>
        <v>10999</v>
      </c>
      <c r="H2700" s="71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2907204000</v>
      </c>
    </row>
    <row r="2701" spans="1:8" x14ac:dyDescent="0.2">
      <c r="A2701" s="66" t="s">
        <v>1244</v>
      </c>
      <c r="B2701" s="66">
        <f t="shared" si="5443"/>
        <v>12</v>
      </c>
      <c r="C2701" s="66">
        <f t="shared" si="5444"/>
        <v>26</v>
      </c>
      <c r="E2701" s="66">
        <f t="shared" ref="E2701" si="5538">plan_id</f>
        <v>1952</v>
      </c>
      <c r="F2701" s="66">
        <f t="shared" ca="1" si="5536"/>
        <v>2010</v>
      </c>
      <c r="G2701" s="66">
        <f t="shared" ref="G2701" ca="1" si="5539">VLOOKUP(INDIRECT(CHAR(39)&amp;$A2701&amp;CHAR(39)&amp;"!r2c"&amp;$C2701,0),variables,2,0)</f>
        <v>11000</v>
      </c>
      <c r="H2701" s="71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88671000</v>
      </c>
    </row>
    <row r="2702" spans="1:8" x14ac:dyDescent="0.2">
      <c r="A2702" s="66" t="s">
        <v>1244</v>
      </c>
      <c r="B2702" s="66">
        <f t="shared" si="5443"/>
        <v>12</v>
      </c>
      <c r="C2702" s="66">
        <f t="shared" si="5444"/>
        <v>27</v>
      </c>
      <c r="E2702" s="66">
        <f t="shared" ref="E2702" si="5540">plan_id</f>
        <v>1952</v>
      </c>
      <c r="F2702" s="66">
        <f t="shared" ca="1" si="5536"/>
        <v>2010</v>
      </c>
      <c r="G2702" s="66">
        <f t="shared" ref="G2702" ca="1" si="5541">VLOOKUP(INDIRECT(CHAR(39)&amp;$A2702&amp;CHAR(39)&amp;"!r2c"&amp;$C2702,0),variables,2,0)</f>
        <v>11001</v>
      </c>
      <c r="H2702" s="71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23720000</v>
      </c>
    </row>
    <row r="2703" spans="1:8" x14ac:dyDescent="0.2">
      <c r="A2703" s="66" t="s">
        <v>1244</v>
      </c>
      <c r="B2703" s="66">
        <f t="shared" si="5443"/>
        <v>12</v>
      </c>
      <c r="C2703" s="66">
        <f t="shared" si="5444"/>
        <v>28</v>
      </c>
      <c r="E2703" s="66">
        <f t="shared" ref="E2703" si="5542">plan_id</f>
        <v>1952</v>
      </c>
      <c r="F2703" s="66">
        <f t="shared" ca="1" si="5536"/>
        <v>2010</v>
      </c>
      <c r="G2703" s="66">
        <f t="shared" ref="G2703" ca="1" si="5543">VLOOKUP(INDIRECT(CHAR(39)&amp;$A2703&amp;CHAR(39)&amp;"!r2c"&amp;$C2703,0),variables,2,0)</f>
        <v>11002</v>
      </c>
      <c r="H2703" s="71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3911000</v>
      </c>
    </row>
    <row r="2704" spans="1:8" x14ac:dyDescent="0.2">
      <c r="A2704" s="66" t="s">
        <v>1244</v>
      </c>
      <c r="B2704" s="66">
        <f t="shared" si="5443"/>
        <v>12</v>
      </c>
      <c r="C2704" s="66">
        <f t="shared" si="5444"/>
        <v>29</v>
      </c>
      <c r="E2704" s="66">
        <f t="shared" ref="E2704" si="5544">plan_id</f>
        <v>1952</v>
      </c>
      <c r="F2704" s="66">
        <f t="shared" ca="1" si="5536"/>
        <v>2010</v>
      </c>
      <c r="G2704" s="66">
        <f t="shared" ref="G2704" ca="1" si="5545">VLOOKUP(INDIRECT(CHAR(39)&amp;$A2704&amp;CHAR(39)&amp;"!r2c"&amp;$C2704,0),variables,2,0)</f>
        <v>11003</v>
      </c>
      <c r="H2704" s="71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3023506000</v>
      </c>
    </row>
    <row r="2705" spans="1:8" x14ac:dyDescent="0.2">
      <c r="A2705" s="66" t="s">
        <v>1244</v>
      </c>
      <c r="B2705" s="66">
        <f t="shared" si="5443"/>
        <v>13</v>
      </c>
      <c r="C2705" s="66">
        <f t="shared" si="5444"/>
        <v>3</v>
      </c>
      <c r="E2705" s="66">
        <f t="shared" ref="E2705" si="5546">plan_id</f>
        <v>1952</v>
      </c>
      <c r="F2705" s="66">
        <f t="shared" ca="1" si="5536"/>
        <v>2011</v>
      </c>
      <c r="G2705" s="66">
        <f t="shared" ref="G2705" ca="1" si="5547">VLOOKUP(INDIRECT(CHAR(39)&amp;$A2705&amp;CHAR(39)&amp;"!r2c"&amp;$C2705,0),variables,2,0)</f>
        <v>10982</v>
      </c>
      <c r="H2705" s="71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66" t="s">
        <v>1244</v>
      </c>
      <c r="B2706" s="66">
        <f t="shared" si="5443"/>
        <v>13</v>
      </c>
      <c r="C2706" s="66">
        <f t="shared" si="5444"/>
        <v>4</v>
      </c>
      <c r="E2706" s="66">
        <f t="shared" ref="E2706" si="5548">plan_id</f>
        <v>1952</v>
      </c>
      <c r="F2706" s="66">
        <f t="shared" ca="1" si="5536"/>
        <v>2011</v>
      </c>
      <c r="G2706" s="66">
        <f t="shared" ref="G2706" ca="1" si="5549">VLOOKUP(INDIRECT(CHAR(39)&amp;$A2706&amp;CHAR(39)&amp;"!r2c"&amp;$C2706,0),variables,2,0)</f>
        <v>10984</v>
      </c>
      <c r="H2706" s="71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1577131000</v>
      </c>
    </row>
    <row r="2707" spans="1:8" x14ac:dyDescent="0.2">
      <c r="A2707" s="66" t="s">
        <v>1244</v>
      </c>
      <c r="B2707" s="66">
        <f t="shared" si="5443"/>
        <v>13</v>
      </c>
      <c r="C2707" s="66">
        <f t="shared" si="5444"/>
        <v>5</v>
      </c>
      <c r="E2707" s="66">
        <f t="shared" ref="E2707" si="5550">plan_id</f>
        <v>1952</v>
      </c>
      <c r="F2707" s="66">
        <f t="shared" ca="1" si="5536"/>
        <v>2011</v>
      </c>
      <c r="G2707" s="66">
        <f t="shared" ref="G2707" ca="1" si="5551">VLOOKUP(INDIRECT(CHAR(39)&amp;$A2707&amp;CHAR(39)&amp;"!r2c"&amp;$C2707,0),variables,2,0)</f>
        <v>10985</v>
      </c>
      <c r="H2707" s="71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736993316.29999995</v>
      </c>
    </row>
    <row r="2708" spans="1:8" x14ac:dyDescent="0.2">
      <c r="A2708" s="66" t="s">
        <v>1244</v>
      </c>
      <c r="B2708" s="66">
        <f t="shared" si="5443"/>
        <v>13</v>
      </c>
      <c r="C2708" s="66">
        <f t="shared" si="5444"/>
        <v>6</v>
      </c>
      <c r="E2708" s="66">
        <f t="shared" ref="E2708" si="5552">plan_id</f>
        <v>1952</v>
      </c>
      <c r="F2708" s="66">
        <f t="shared" ca="1" si="5536"/>
        <v>2011</v>
      </c>
      <c r="G2708" s="66">
        <f t="shared" ref="G2708" ca="1" si="5553">VLOOKUP(INDIRECT(CHAR(39)&amp;$A2708&amp;CHAR(39)&amp;"!r2c"&amp;$C2708,0),variables,2,0)</f>
        <v>10986</v>
      </c>
      <c r="H2708" s="71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840137683.70000005</v>
      </c>
    </row>
    <row r="2709" spans="1:8" x14ac:dyDescent="0.2">
      <c r="A2709" s="66" t="s">
        <v>1244</v>
      </c>
      <c r="B2709" s="66">
        <f t="shared" si="5443"/>
        <v>13</v>
      </c>
      <c r="C2709" s="66">
        <f t="shared" si="5444"/>
        <v>7</v>
      </c>
      <c r="E2709" s="66">
        <f t="shared" ref="E2709" si="5554">plan_id</f>
        <v>1952</v>
      </c>
      <c r="F2709" s="66">
        <f t="shared" ca="1" si="5536"/>
        <v>2011</v>
      </c>
      <c r="G2709" s="66">
        <f t="shared" ref="G2709" ca="1" si="5555">VLOOKUP(INDIRECT(CHAR(39)&amp;$A2709&amp;CHAR(39)&amp;"!r2c"&amp;$C2709,0),variables,2,0)</f>
        <v>10974</v>
      </c>
      <c r="H2709" s="71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2">
      <c r="A2710" s="66" t="s">
        <v>1244</v>
      </c>
      <c r="B2710" s="66">
        <f t="shared" si="5443"/>
        <v>13</v>
      </c>
      <c r="C2710" s="66">
        <f t="shared" si="5444"/>
        <v>8</v>
      </c>
      <c r="E2710" s="66">
        <f t="shared" ref="E2710" si="5556">plan_id</f>
        <v>1952</v>
      </c>
      <c r="F2710" s="66">
        <f t="shared" ca="1" si="5536"/>
        <v>2011</v>
      </c>
      <c r="G2710" s="66">
        <f t="shared" ref="G2710" ca="1" si="5557">VLOOKUP(INDIRECT(CHAR(39)&amp;$A2710&amp;CHAR(39)&amp;"!r2c"&amp;$C2710,0),variables,2,0)</f>
        <v>10987</v>
      </c>
      <c r="H2710" s="71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0.46729999999999999</v>
      </c>
    </row>
    <row r="2711" spans="1:8" x14ac:dyDescent="0.2">
      <c r="A2711" s="66" t="s">
        <v>1244</v>
      </c>
      <c r="B2711" s="66">
        <f t="shared" si="5443"/>
        <v>13</v>
      </c>
      <c r="C2711" s="66">
        <f t="shared" si="5444"/>
        <v>9</v>
      </c>
      <c r="E2711" s="66">
        <f t="shared" ref="E2711" si="5558">plan_id</f>
        <v>1952</v>
      </c>
      <c r="F2711" s="66">
        <f t="shared" ca="1" si="5536"/>
        <v>2011</v>
      </c>
      <c r="G2711" s="66">
        <f t="shared" ref="G2711" ca="1" si="5559">VLOOKUP(INDIRECT(CHAR(39)&amp;$A2711&amp;CHAR(39)&amp;"!r2c"&amp;$C2711,0),variables,2,0)</f>
        <v>10885</v>
      </c>
      <c r="H2711" s="71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66" t="s">
        <v>1244</v>
      </c>
      <c r="B2712" s="66">
        <f t="shared" si="5443"/>
        <v>13</v>
      </c>
      <c r="C2712" s="66">
        <f t="shared" si="5444"/>
        <v>10</v>
      </c>
      <c r="E2712" s="66">
        <f t="shared" ref="E2712" si="5560">plan_id</f>
        <v>1952</v>
      </c>
      <c r="F2712" s="66">
        <f t="shared" ca="1" si="5536"/>
        <v>2011</v>
      </c>
      <c r="G2712" s="66">
        <f t="shared" ref="G2712" ca="1" si="5561">VLOOKUP(INDIRECT(CHAR(39)&amp;$A2712&amp;CHAR(39)&amp;"!r2c"&amp;$C2712,0),variables,2,0)</f>
        <v>10886</v>
      </c>
      <c r="H2712" s="71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66" t="s">
        <v>1244</v>
      </c>
      <c r="B2713" s="66">
        <f t="shared" si="5443"/>
        <v>13</v>
      </c>
      <c r="C2713" s="66">
        <f t="shared" si="5444"/>
        <v>11</v>
      </c>
      <c r="E2713" s="66">
        <f t="shared" ref="E2713" si="5562">plan_id</f>
        <v>1952</v>
      </c>
      <c r="F2713" s="66">
        <f t="shared" ca="1" si="5536"/>
        <v>2011</v>
      </c>
      <c r="G2713" s="66">
        <f t="shared" ref="G2713" ca="1" si="5563">VLOOKUP(INDIRECT(CHAR(39)&amp;$A2713&amp;CHAR(39)&amp;"!r2c"&amp;$C2713,0),variables,2,0)</f>
        <v>10887</v>
      </c>
      <c r="H2713" s="71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66" t="s">
        <v>1244</v>
      </c>
      <c r="B2714" s="66">
        <f t="shared" si="5443"/>
        <v>13</v>
      </c>
      <c r="C2714" s="66">
        <f t="shared" si="5444"/>
        <v>12</v>
      </c>
      <c r="E2714" s="66">
        <f t="shared" ref="E2714" si="5564">plan_id</f>
        <v>1952</v>
      </c>
      <c r="F2714" s="66">
        <f t="shared" ca="1" si="5536"/>
        <v>2011</v>
      </c>
      <c r="G2714" s="66">
        <f t="shared" ref="G2714" ca="1" si="5565">VLOOKUP(INDIRECT(CHAR(39)&amp;$A2714&amp;CHAR(39)&amp;"!r2c"&amp;$C2714,0),variables,2,0)</f>
        <v>10883</v>
      </c>
      <c r="H2714" s="71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66" t="s">
        <v>1244</v>
      </c>
      <c r="B2715" s="66">
        <f t="shared" si="5443"/>
        <v>13</v>
      </c>
      <c r="C2715" s="66">
        <f t="shared" si="5444"/>
        <v>13</v>
      </c>
      <c r="E2715" s="66">
        <f t="shared" ref="E2715" si="5566">plan_id</f>
        <v>1952</v>
      </c>
      <c r="F2715" s="66">
        <f t="shared" ca="1" si="5536"/>
        <v>2011</v>
      </c>
      <c r="G2715" s="66">
        <f t="shared" ref="G2715" ca="1" si="5567">VLOOKUP(INDIRECT(CHAR(39)&amp;$A2715&amp;CHAR(39)&amp;"!r2c"&amp;$C2715,0),variables,2,0)</f>
        <v>10989</v>
      </c>
      <c r="H2715" s="71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52729000000</v>
      </c>
    </row>
    <row r="2716" spans="1:8" x14ac:dyDescent="0.2">
      <c r="A2716" s="66" t="s">
        <v>1244</v>
      </c>
      <c r="B2716" s="66">
        <f t="shared" si="5443"/>
        <v>13</v>
      </c>
      <c r="C2716" s="66">
        <f t="shared" si="5444"/>
        <v>14</v>
      </c>
      <c r="E2716" s="66">
        <f t="shared" ref="E2716" si="5568">plan_id</f>
        <v>1952</v>
      </c>
      <c r="F2716" s="66">
        <f t="shared" ca="1" si="5536"/>
        <v>2011</v>
      </c>
      <c r="G2716" s="66">
        <f t="shared" ref="G2716" ca="1" si="5569">VLOOKUP(INDIRECT(CHAR(39)&amp;$A2716&amp;CHAR(39)&amp;"!r2c"&amp;$C2716,0),variables,2,0)</f>
        <v>10990</v>
      </c>
      <c r="H2716" s="71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72801000000</v>
      </c>
    </row>
    <row r="2717" spans="1:8" x14ac:dyDescent="0.2">
      <c r="A2717" s="66" t="s">
        <v>1244</v>
      </c>
      <c r="B2717" s="66">
        <f t="shared" si="5443"/>
        <v>13</v>
      </c>
      <c r="C2717" s="66">
        <f t="shared" si="5444"/>
        <v>15</v>
      </c>
      <c r="E2717" s="66">
        <f t="shared" ref="E2717" si="5570">plan_id</f>
        <v>1952</v>
      </c>
      <c r="F2717" s="66">
        <f t="shared" ca="1" si="5536"/>
        <v>2011</v>
      </c>
      <c r="G2717" s="66">
        <f t="shared" ref="G2717" ca="1" si="5571">VLOOKUP(INDIRECT(CHAR(39)&amp;$A2717&amp;CHAR(39)&amp;"!r2c"&amp;$C2717,0),variables,2,0)</f>
        <v>10991</v>
      </c>
      <c r="H2717" s="71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20072000000</v>
      </c>
    </row>
    <row r="2718" spans="1:8" x14ac:dyDescent="0.2">
      <c r="A2718" s="66" t="s">
        <v>1244</v>
      </c>
      <c r="B2718" s="66">
        <f t="shared" si="5443"/>
        <v>13</v>
      </c>
      <c r="C2718" s="66">
        <f t="shared" si="5444"/>
        <v>16</v>
      </c>
      <c r="E2718" s="66">
        <f t="shared" ref="E2718" si="5572">plan_id</f>
        <v>1952</v>
      </c>
      <c r="F2718" s="66">
        <f t="shared" ca="1" si="5536"/>
        <v>2011</v>
      </c>
      <c r="G2718" s="66">
        <f t="shared" ref="G2718" ca="1" si="5573">VLOOKUP(INDIRECT(CHAR(39)&amp;$A2718&amp;CHAR(39)&amp;"!r2c"&amp;$C2718,0),variables,2,0)</f>
        <v>10992</v>
      </c>
      <c r="H2718" s="71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0.72399999999999998</v>
      </c>
    </row>
    <row r="2719" spans="1:8" x14ac:dyDescent="0.2">
      <c r="A2719" s="66" t="s">
        <v>1244</v>
      </c>
      <c r="B2719" s="66">
        <f t="shared" ref="B2719:B2782" si="5574">B2692+1</f>
        <v>13</v>
      </c>
      <c r="C2719" s="66">
        <f t="shared" ref="C2719:C2782" si="5575">C2692</f>
        <v>17</v>
      </c>
      <c r="E2719" s="66">
        <f t="shared" ref="E2719" si="5576">plan_id</f>
        <v>1952</v>
      </c>
      <c r="F2719" s="66">
        <f t="shared" ca="1" si="5536"/>
        <v>2011</v>
      </c>
      <c r="G2719" s="66">
        <f t="shared" ref="G2719" ca="1" si="5577">VLOOKUP(INDIRECT(CHAR(39)&amp;$A2719&amp;CHAR(39)&amp;"!r2c"&amp;$C2719,0),variables,2,0)</f>
        <v>10993</v>
      </c>
      <c r="H2719" s="71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14758000000</v>
      </c>
    </row>
    <row r="2720" spans="1:8" x14ac:dyDescent="0.2">
      <c r="A2720" s="66" t="s">
        <v>1244</v>
      </c>
      <c r="B2720" s="66">
        <f t="shared" si="5574"/>
        <v>13</v>
      </c>
      <c r="C2720" s="66">
        <f t="shared" si="5575"/>
        <v>18</v>
      </c>
      <c r="E2720" s="66">
        <f t="shared" ref="E2720" si="5578">plan_id</f>
        <v>1952</v>
      </c>
      <c r="F2720" s="66">
        <f t="shared" ca="1" si="5536"/>
        <v>2011</v>
      </c>
      <c r="G2720" s="66">
        <f t="shared" ref="G2720" ca="1" si="5579">VLOOKUP(INDIRECT(CHAR(39)&amp;$A2720&amp;CHAR(39)&amp;"!r2c"&amp;$C2720,0),variables,2,0)</f>
        <v>11005</v>
      </c>
      <c r="H2720" s="71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66" t="s">
        <v>1244</v>
      </c>
      <c r="B2721" s="66">
        <f t="shared" si="5574"/>
        <v>13</v>
      </c>
      <c r="C2721" s="66">
        <f t="shared" si="5575"/>
        <v>19</v>
      </c>
      <c r="E2721" s="66">
        <f t="shared" ref="E2721" si="5580">plan_id</f>
        <v>1952</v>
      </c>
      <c r="F2721" s="66">
        <f t="shared" ca="1" si="5536"/>
        <v>2011</v>
      </c>
      <c r="G2721" s="66">
        <f t="shared" ref="G2721" ca="1" si="5581">VLOOKUP(INDIRECT(CHAR(39)&amp;$A2721&amp;CHAR(39)&amp;"!r2c"&amp;$C2721,0),variables,2,0)</f>
        <v>10988</v>
      </c>
      <c r="H2721" s="71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0.1068661742783575</v>
      </c>
    </row>
    <row r="2722" spans="1:8" x14ac:dyDescent="0.2">
      <c r="A2722" s="66" t="s">
        <v>1244</v>
      </c>
      <c r="B2722" s="66">
        <f t="shared" si="5574"/>
        <v>13</v>
      </c>
      <c r="C2722" s="66">
        <f t="shared" si="5575"/>
        <v>20</v>
      </c>
      <c r="E2722" s="66">
        <f t="shared" ref="E2722" si="5582">plan_id</f>
        <v>1952</v>
      </c>
      <c r="F2722" s="66">
        <f t="shared" ca="1" si="5536"/>
        <v>2011</v>
      </c>
      <c r="G2722" s="66">
        <f t="shared" ref="G2722" ca="1" si="5583">VLOOKUP(INDIRECT(CHAR(39)&amp;$A2722&amp;CHAR(39)&amp;"!r2c"&amp;$C2722,0),variables,2,0)</f>
        <v>10996</v>
      </c>
      <c r="H2722" s="71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51280335000</v>
      </c>
    </row>
    <row r="2723" spans="1:8" x14ac:dyDescent="0.2">
      <c r="A2723" s="66" t="s">
        <v>1244</v>
      </c>
      <c r="B2723" s="66">
        <f t="shared" si="5574"/>
        <v>13</v>
      </c>
      <c r="C2723" s="66">
        <f t="shared" si="5575"/>
        <v>21</v>
      </c>
      <c r="E2723" s="66">
        <f t="shared" ref="E2723" si="5584">plan_id</f>
        <v>1952</v>
      </c>
      <c r="F2723" s="66">
        <f t="shared" ca="1" si="5536"/>
        <v>2011</v>
      </c>
      <c r="G2723" s="66">
        <f t="shared" ref="G2723" ca="1" si="5585">VLOOKUP(INDIRECT(CHAR(39)&amp;$A2723&amp;CHAR(39)&amp;"!r2c"&amp;$C2723,0),variables,2,0)</f>
        <v>10997</v>
      </c>
      <c r="H2723" s="71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0.70439053034985788</v>
      </c>
    </row>
    <row r="2724" spans="1:8" x14ac:dyDescent="0.2">
      <c r="A2724" s="66" t="s">
        <v>1244</v>
      </c>
      <c r="B2724" s="66">
        <f t="shared" si="5574"/>
        <v>13</v>
      </c>
      <c r="C2724" s="66">
        <f t="shared" si="5575"/>
        <v>22</v>
      </c>
      <c r="E2724" s="66">
        <f t="shared" ref="E2724" si="5586">plan_id</f>
        <v>1952</v>
      </c>
      <c r="F2724" s="66">
        <f t="shared" ca="1" si="5536"/>
        <v>2011</v>
      </c>
      <c r="G2724" s="66">
        <f t="shared" ref="G2724" ca="1" si="5587">VLOOKUP(INDIRECT(CHAR(39)&amp;$A2724&amp;CHAR(39)&amp;"!r2c"&amp;$C2724,0),variables,2,0)</f>
        <v>10980</v>
      </c>
      <c r="H2724" s="71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66" t="s">
        <v>1244</v>
      </c>
      <c r="B2725" s="66">
        <f t="shared" si="5574"/>
        <v>13</v>
      </c>
      <c r="C2725" s="66">
        <f t="shared" si="5575"/>
        <v>23</v>
      </c>
      <c r="E2725" s="66">
        <f t="shared" ref="E2725" si="5588">plan_id</f>
        <v>1952</v>
      </c>
      <c r="F2725" s="66">
        <f t="shared" ca="1" si="5536"/>
        <v>2011</v>
      </c>
      <c r="G2725" s="66">
        <f t="shared" ref="G2725" ca="1" si="5589">VLOOKUP(INDIRECT(CHAR(39)&amp;$A2725&amp;CHAR(39)&amp;"!r2c"&amp;$C2725,0),variables,2,0)</f>
        <v>10981</v>
      </c>
      <c r="H2725" s="71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66" t="s">
        <v>1244</v>
      </c>
      <c r="B2726" s="66">
        <f t="shared" si="5574"/>
        <v>13</v>
      </c>
      <c r="C2726" s="66">
        <f t="shared" si="5575"/>
        <v>24</v>
      </c>
      <c r="E2726" s="66">
        <f t="shared" ref="E2726" si="5590">plan_id</f>
        <v>1952</v>
      </c>
      <c r="F2726" s="66">
        <f t="shared" ca="1" si="5536"/>
        <v>2011</v>
      </c>
      <c r="G2726" s="66">
        <f t="shared" ref="G2726" ca="1" si="5591">VLOOKUP(INDIRECT(CHAR(39)&amp;$A2726&amp;CHAR(39)&amp;"!r2c"&amp;$C2726,0),variables,2,0)</f>
        <v>10998</v>
      </c>
      <c r="H2726" s="71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2553905000</v>
      </c>
    </row>
    <row r="2727" spans="1:8" x14ac:dyDescent="0.2">
      <c r="A2727" s="66" t="s">
        <v>1244</v>
      </c>
      <c r="B2727" s="66">
        <f t="shared" si="5574"/>
        <v>13</v>
      </c>
      <c r="C2727" s="66">
        <f t="shared" si="5575"/>
        <v>25</v>
      </c>
      <c r="E2727" s="66">
        <f t="shared" ref="E2727" si="5592">plan_id</f>
        <v>1952</v>
      </c>
      <c r="F2727" s="66">
        <f t="shared" ca="1" si="5536"/>
        <v>2011</v>
      </c>
      <c r="G2727" s="66">
        <f t="shared" ref="G2727" ca="1" si="5593">VLOOKUP(INDIRECT(CHAR(39)&amp;$A2727&amp;CHAR(39)&amp;"!r2c"&amp;$C2727,0),variables,2,0)</f>
        <v>10999</v>
      </c>
      <c r="H2727" s="71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3125772000</v>
      </c>
    </row>
    <row r="2728" spans="1:8" x14ac:dyDescent="0.2">
      <c r="A2728" s="66" t="s">
        <v>1244</v>
      </c>
      <c r="B2728" s="66">
        <f t="shared" si="5574"/>
        <v>13</v>
      </c>
      <c r="C2728" s="66">
        <f t="shared" si="5575"/>
        <v>26</v>
      </c>
      <c r="E2728" s="66">
        <f t="shared" ref="E2728" si="5594">plan_id</f>
        <v>1952</v>
      </c>
      <c r="F2728" s="66">
        <f t="shared" ca="1" si="5536"/>
        <v>2011</v>
      </c>
      <c r="G2728" s="66">
        <f t="shared" ref="G2728" ca="1" si="5595">VLOOKUP(INDIRECT(CHAR(39)&amp;$A2728&amp;CHAR(39)&amp;"!r2c"&amp;$C2728,0),variables,2,0)</f>
        <v>11000</v>
      </c>
      <c r="H2728" s="71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96209000</v>
      </c>
    </row>
    <row r="2729" spans="1:8" x14ac:dyDescent="0.2">
      <c r="A2729" s="66" t="s">
        <v>1244</v>
      </c>
      <c r="B2729" s="66">
        <f t="shared" si="5574"/>
        <v>13</v>
      </c>
      <c r="C2729" s="66">
        <f t="shared" si="5575"/>
        <v>27</v>
      </c>
      <c r="E2729" s="66">
        <f t="shared" ref="E2729" si="5596">plan_id</f>
        <v>1952</v>
      </c>
      <c r="F2729" s="66">
        <f t="shared" ca="1" si="5536"/>
        <v>2011</v>
      </c>
      <c r="G2729" s="66">
        <f t="shared" ref="G2729" ca="1" si="5597">VLOOKUP(INDIRECT(CHAR(39)&amp;$A2729&amp;CHAR(39)&amp;"!r2c"&amp;$C2729,0),variables,2,0)</f>
        <v>11001</v>
      </c>
      <c r="H2729" s="71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25082000</v>
      </c>
    </row>
    <row r="2730" spans="1:8" x14ac:dyDescent="0.2">
      <c r="A2730" s="66" t="s">
        <v>1244</v>
      </c>
      <c r="B2730" s="66">
        <f t="shared" si="5574"/>
        <v>13</v>
      </c>
      <c r="C2730" s="66">
        <f t="shared" si="5575"/>
        <v>28</v>
      </c>
      <c r="E2730" s="66">
        <f t="shared" ref="E2730" si="5598">plan_id</f>
        <v>1952</v>
      </c>
      <c r="F2730" s="66">
        <f t="shared" ca="1" si="5536"/>
        <v>2011</v>
      </c>
      <c r="G2730" s="66">
        <f t="shared" ref="G2730" ca="1" si="5599">VLOOKUP(INDIRECT(CHAR(39)&amp;$A2730&amp;CHAR(39)&amp;"!r2c"&amp;$C2730,0),variables,2,0)</f>
        <v>11002</v>
      </c>
      <c r="H2730" s="71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6464000</v>
      </c>
    </row>
    <row r="2731" spans="1:8" x14ac:dyDescent="0.2">
      <c r="A2731" s="66" t="s">
        <v>1244</v>
      </c>
      <c r="B2731" s="66">
        <f t="shared" si="5574"/>
        <v>13</v>
      </c>
      <c r="C2731" s="66">
        <f t="shared" si="5575"/>
        <v>29</v>
      </c>
      <c r="E2731" s="66">
        <f t="shared" ref="E2731" si="5600">plan_id</f>
        <v>1952</v>
      </c>
      <c r="F2731" s="66">
        <f t="shared" ca="1" si="5536"/>
        <v>2011</v>
      </c>
      <c r="G2731" s="66">
        <f t="shared" ref="G2731" ca="1" si="5601">VLOOKUP(INDIRECT(CHAR(39)&amp;$A2731&amp;CHAR(39)&amp;"!r2c"&amp;$C2731,0),variables,2,0)</f>
        <v>11003</v>
      </c>
      <c r="H2731" s="71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3253527000</v>
      </c>
    </row>
    <row r="2732" spans="1:8" x14ac:dyDescent="0.2">
      <c r="A2732" s="66" t="s">
        <v>1244</v>
      </c>
      <c r="B2732" s="66">
        <f t="shared" si="5574"/>
        <v>14</v>
      </c>
      <c r="C2732" s="66">
        <f t="shared" si="5575"/>
        <v>3</v>
      </c>
      <c r="E2732" s="66">
        <f t="shared" ref="E2732" si="5602">plan_id</f>
        <v>1952</v>
      </c>
      <c r="F2732" s="66">
        <f t="shared" ca="1" si="5536"/>
        <v>2012</v>
      </c>
      <c r="G2732" s="66">
        <f t="shared" ref="G2732" ca="1" si="5603">VLOOKUP(INDIRECT(CHAR(39)&amp;$A2732&amp;CHAR(39)&amp;"!r2c"&amp;$C2732,0),variables,2,0)</f>
        <v>10982</v>
      </c>
      <c r="H2732" s="71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66" t="s">
        <v>1244</v>
      </c>
      <c r="B2733" s="66">
        <f t="shared" si="5574"/>
        <v>14</v>
      </c>
      <c r="C2733" s="66">
        <f t="shared" si="5575"/>
        <v>4</v>
      </c>
      <c r="E2733" s="66">
        <f t="shared" ref="E2733" si="5604">plan_id</f>
        <v>1952</v>
      </c>
      <c r="F2733" s="66">
        <f t="shared" ca="1" si="5536"/>
        <v>2012</v>
      </c>
      <c r="G2733" s="66">
        <f t="shared" ref="G2733" ca="1" si="5605">VLOOKUP(INDIRECT(CHAR(39)&amp;$A2733&amp;CHAR(39)&amp;"!r2c"&amp;$C2733,0),variables,2,0)</f>
        <v>10984</v>
      </c>
      <c r="H2733" s="71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1614464000</v>
      </c>
    </row>
    <row r="2734" spans="1:8" x14ac:dyDescent="0.2">
      <c r="A2734" s="66" t="s">
        <v>1244</v>
      </c>
      <c r="B2734" s="66">
        <f t="shared" si="5574"/>
        <v>14</v>
      </c>
      <c r="C2734" s="66">
        <f t="shared" si="5575"/>
        <v>5</v>
      </c>
      <c r="E2734" s="66">
        <f t="shared" ref="E2734" si="5606">plan_id</f>
        <v>1952</v>
      </c>
      <c r="F2734" s="66">
        <f t="shared" ca="1" si="5536"/>
        <v>2012</v>
      </c>
      <c r="G2734" s="66">
        <f t="shared" ref="G2734" ca="1" si="5607">VLOOKUP(INDIRECT(CHAR(39)&amp;$A2734&amp;CHAR(39)&amp;"!r2c"&amp;$C2734,0),variables,2,0)</f>
        <v>10985</v>
      </c>
      <c r="H2734" s="71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961574758.39999998</v>
      </c>
    </row>
    <row r="2735" spans="1:8" x14ac:dyDescent="0.2">
      <c r="A2735" s="66" t="s">
        <v>1244</v>
      </c>
      <c r="B2735" s="66">
        <f t="shared" si="5574"/>
        <v>14</v>
      </c>
      <c r="C2735" s="66">
        <f t="shared" si="5575"/>
        <v>6</v>
      </c>
      <c r="E2735" s="66">
        <f t="shared" ref="E2735" si="5608">plan_id</f>
        <v>1952</v>
      </c>
      <c r="F2735" s="66">
        <f t="shared" ca="1" si="5536"/>
        <v>2012</v>
      </c>
      <c r="G2735" s="66">
        <f t="shared" ref="G2735" ca="1" si="5609">VLOOKUP(INDIRECT(CHAR(39)&amp;$A2735&amp;CHAR(39)&amp;"!r2c"&amp;$C2735,0),variables,2,0)</f>
        <v>10986</v>
      </c>
      <c r="H2735" s="71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652889241.60000002</v>
      </c>
    </row>
    <row r="2736" spans="1:8" x14ac:dyDescent="0.2">
      <c r="A2736" s="66" t="s">
        <v>1244</v>
      </c>
      <c r="B2736" s="66">
        <f t="shared" si="5574"/>
        <v>14</v>
      </c>
      <c r="C2736" s="66">
        <f t="shared" si="5575"/>
        <v>7</v>
      </c>
      <c r="E2736" s="66">
        <f t="shared" ref="E2736" si="5610">plan_id</f>
        <v>1952</v>
      </c>
      <c r="F2736" s="66">
        <f t="shared" ca="1" si="5536"/>
        <v>2012</v>
      </c>
      <c r="G2736" s="66">
        <f t="shared" ref="G2736" ca="1" si="5611">VLOOKUP(INDIRECT(CHAR(39)&amp;$A2736&amp;CHAR(39)&amp;"!r2c"&amp;$C2736,0),variables,2,0)</f>
        <v>10974</v>
      </c>
      <c r="H2736" s="71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2">
      <c r="A2737" s="66" t="s">
        <v>1244</v>
      </c>
      <c r="B2737" s="66">
        <f t="shared" si="5574"/>
        <v>14</v>
      </c>
      <c r="C2737" s="66">
        <f t="shared" si="5575"/>
        <v>8</v>
      </c>
      <c r="E2737" s="66">
        <f t="shared" ref="E2737" si="5612">plan_id</f>
        <v>1952</v>
      </c>
      <c r="F2737" s="66">
        <f t="shared" ca="1" si="5536"/>
        <v>2012</v>
      </c>
      <c r="G2737" s="66">
        <f t="shared" ref="G2737" ca="1" si="5613">VLOOKUP(INDIRECT(CHAR(39)&amp;$A2737&amp;CHAR(39)&amp;"!r2c"&amp;$C2737,0),variables,2,0)</f>
        <v>10987</v>
      </c>
      <c r="H2737" s="71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0.59560000000000002</v>
      </c>
    </row>
    <row r="2738" spans="1:8" x14ac:dyDescent="0.2">
      <c r="A2738" s="66" t="s">
        <v>1244</v>
      </c>
      <c r="B2738" s="66">
        <f t="shared" si="5574"/>
        <v>14</v>
      </c>
      <c r="C2738" s="66">
        <f t="shared" si="5575"/>
        <v>9</v>
      </c>
      <c r="E2738" s="66">
        <f t="shared" ref="E2738" si="5614">plan_id</f>
        <v>1952</v>
      </c>
      <c r="F2738" s="66">
        <f t="shared" ca="1" si="5536"/>
        <v>2012</v>
      </c>
      <c r="G2738" s="66">
        <f t="shared" ref="G2738" ca="1" si="5615">VLOOKUP(INDIRECT(CHAR(39)&amp;$A2738&amp;CHAR(39)&amp;"!r2c"&amp;$C2738,0),variables,2,0)</f>
        <v>10885</v>
      </c>
      <c r="H2738" s="71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66" t="s">
        <v>1244</v>
      </c>
      <c r="B2739" s="66">
        <f t="shared" si="5574"/>
        <v>14</v>
      </c>
      <c r="C2739" s="66">
        <f t="shared" si="5575"/>
        <v>10</v>
      </c>
      <c r="E2739" s="66">
        <f t="shared" ref="E2739" si="5616">plan_id</f>
        <v>1952</v>
      </c>
      <c r="F2739" s="66">
        <f t="shared" ca="1" si="5536"/>
        <v>2012</v>
      </c>
      <c r="G2739" s="66">
        <f t="shared" ref="G2739" ca="1" si="5617">VLOOKUP(INDIRECT(CHAR(39)&amp;$A2739&amp;CHAR(39)&amp;"!r2c"&amp;$C2739,0),variables,2,0)</f>
        <v>10886</v>
      </c>
      <c r="H2739" s="71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66" t="s">
        <v>1244</v>
      </c>
      <c r="B2740" s="66">
        <f t="shared" si="5574"/>
        <v>14</v>
      </c>
      <c r="C2740" s="66">
        <f t="shared" si="5575"/>
        <v>11</v>
      </c>
      <c r="E2740" s="66">
        <f t="shared" ref="E2740" si="5618">plan_id</f>
        <v>1952</v>
      </c>
      <c r="F2740" s="66">
        <f t="shared" ca="1" si="5536"/>
        <v>2012</v>
      </c>
      <c r="G2740" s="66">
        <f t="shared" ref="G2740" ca="1" si="5619">VLOOKUP(INDIRECT(CHAR(39)&amp;$A2740&amp;CHAR(39)&amp;"!r2c"&amp;$C2740,0),variables,2,0)</f>
        <v>10887</v>
      </c>
      <c r="H2740" s="71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66" t="s">
        <v>1244</v>
      </c>
      <c r="B2741" s="66">
        <f t="shared" si="5574"/>
        <v>14</v>
      </c>
      <c r="C2741" s="66">
        <f t="shared" si="5575"/>
        <v>12</v>
      </c>
      <c r="E2741" s="66">
        <f t="shared" ref="E2741" si="5620">plan_id</f>
        <v>1952</v>
      </c>
      <c r="F2741" s="66">
        <f t="shared" ca="1" si="5536"/>
        <v>2012</v>
      </c>
      <c r="G2741" s="66">
        <f t="shared" ref="G2741" ca="1" si="5621">VLOOKUP(INDIRECT(CHAR(39)&amp;$A2741&amp;CHAR(39)&amp;"!r2c"&amp;$C2741,0),variables,2,0)</f>
        <v>10883</v>
      </c>
      <c r="H2741" s="71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66" t="s">
        <v>1244</v>
      </c>
      <c r="B2742" s="66">
        <f t="shared" si="5574"/>
        <v>14</v>
      </c>
      <c r="C2742" s="66">
        <f t="shared" si="5575"/>
        <v>13</v>
      </c>
      <c r="E2742" s="66">
        <f t="shared" ref="E2742" si="5622">plan_id</f>
        <v>1952</v>
      </c>
      <c r="F2742" s="66">
        <f t="shared" ca="1" si="5536"/>
        <v>2012</v>
      </c>
      <c r="G2742" s="66">
        <f t="shared" ref="G2742" ca="1" si="5623">VLOOKUP(INDIRECT(CHAR(39)&amp;$A2742&amp;CHAR(39)&amp;"!r2c"&amp;$C2742,0),variables,2,0)</f>
        <v>10989</v>
      </c>
      <c r="H2742" s="71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52559000000</v>
      </c>
    </row>
    <row r="2743" spans="1:8" x14ac:dyDescent="0.2">
      <c r="A2743" s="66" t="s">
        <v>1244</v>
      </c>
      <c r="B2743" s="66">
        <f t="shared" si="5574"/>
        <v>14</v>
      </c>
      <c r="C2743" s="66">
        <f t="shared" si="5575"/>
        <v>14</v>
      </c>
      <c r="E2743" s="66">
        <f t="shared" ref="E2743" si="5624">plan_id</f>
        <v>1952</v>
      </c>
      <c r="F2743" s="66">
        <f t="shared" ca="1" si="5536"/>
        <v>2012</v>
      </c>
      <c r="G2743" s="66">
        <f t="shared" ref="G2743" ca="1" si="5625">VLOOKUP(INDIRECT(CHAR(39)&amp;$A2743&amp;CHAR(39)&amp;"!r2c"&amp;$C2743,0),variables,2,0)</f>
        <v>10990</v>
      </c>
      <c r="H2743" s="71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75185000000</v>
      </c>
    </row>
    <row r="2744" spans="1:8" x14ac:dyDescent="0.2">
      <c r="A2744" s="66" t="s">
        <v>1244</v>
      </c>
      <c r="B2744" s="66">
        <f t="shared" si="5574"/>
        <v>14</v>
      </c>
      <c r="C2744" s="66">
        <f t="shared" si="5575"/>
        <v>15</v>
      </c>
      <c r="E2744" s="66">
        <f t="shared" ref="E2744" si="5626">plan_id</f>
        <v>1952</v>
      </c>
      <c r="F2744" s="66">
        <f t="shared" ca="1" si="5536"/>
        <v>2012</v>
      </c>
      <c r="G2744" s="66">
        <f t="shared" ref="G2744" ca="1" si="5627">VLOOKUP(INDIRECT(CHAR(39)&amp;$A2744&amp;CHAR(39)&amp;"!r2c"&amp;$C2744,0),variables,2,0)</f>
        <v>10991</v>
      </c>
      <c r="H2744" s="71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22626000000</v>
      </c>
    </row>
    <row r="2745" spans="1:8" x14ac:dyDescent="0.2">
      <c r="A2745" s="66" t="s">
        <v>1244</v>
      </c>
      <c r="B2745" s="66">
        <f t="shared" si="5574"/>
        <v>14</v>
      </c>
      <c r="C2745" s="66">
        <f t="shared" si="5575"/>
        <v>16</v>
      </c>
      <c r="E2745" s="66">
        <f t="shared" ref="E2745" si="5628">plan_id</f>
        <v>1952</v>
      </c>
      <c r="F2745" s="66">
        <f t="shared" ca="1" si="5536"/>
        <v>2012</v>
      </c>
      <c r="G2745" s="66">
        <f t="shared" ref="G2745" ca="1" si="5629">VLOOKUP(INDIRECT(CHAR(39)&amp;$A2745&amp;CHAR(39)&amp;"!r2c"&amp;$C2745,0),variables,2,0)</f>
        <v>10992</v>
      </c>
      <c r="H2745" s="71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0.69899999999999995</v>
      </c>
    </row>
    <row r="2746" spans="1:8" x14ac:dyDescent="0.2">
      <c r="A2746" s="66" t="s">
        <v>1244</v>
      </c>
      <c r="B2746" s="66">
        <f t="shared" si="5574"/>
        <v>14</v>
      </c>
      <c r="C2746" s="66">
        <f t="shared" si="5575"/>
        <v>17</v>
      </c>
      <c r="E2746" s="66">
        <f t="shared" ref="E2746" si="5630">plan_id</f>
        <v>1952</v>
      </c>
      <c r="F2746" s="66">
        <f t="shared" ca="1" si="5536"/>
        <v>2012</v>
      </c>
      <c r="G2746" s="66">
        <f t="shared" ref="G2746" ca="1" si="5631">VLOOKUP(INDIRECT(CHAR(39)&amp;$A2746&amp;CHAR(39)&amp;"!r2c"&amp;$C2746,0),variables,2,0)</f>
        <v>10993</v>
      </c>
      <c r="H2746" s="71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14709000000</v>
      </c>
    </row>
    <row r="2747" spans="1:8" x14ac:dyDescent="0.2">
      <c r="A2747" s="66" t="s">
        <v>1244</v>
      </c>
      <c r="B2747" s="66">
        <f t="shared" si="5574"/>
        <v>14</v>
      </c>
      <c r="C2747" s="66">
        <f t="shared" si="5575"/>
        <v>18</v>
      </c>
      <c r="E2747" s="66">
        <f t="shared" ref="E2747" si="5632">plan_id</f>
        <v>1952</v>
      </c>
      <c r="F2747" s="66">
        <f t="shared" ca="1" si="5536"/>
        <v>2012</v>
      </c>
      <c r="G2747" s="66">
        <f t="shared" ref="G2747" ca="1" si="5633">VLOOKUP(INDIRECT(CHAR(39)&amp;$A2747&amp;CHAR(39)&amp;"!r2c"&amp;$C2747,0),variables,2,0)</f>
        <v>11005</v>
      </c>
      <c r="H2747" s="71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66" t="s">
        <v>1244</v>
      </c>
      <c r="B2748" s="66">
        <f t="shared" si="5574"/>
        <v>14</v>
      </c>
      <c r="C2748" s="66">
        <f t="shared" si="5575"/>
        <v>19</v>
      </c>
      <c r="E2748" s="66">
        <f t="shared" ref="E2748" si="5634">plan_id</f>
        <v>1952</v>
      </c>
      <c r="F2748" s="66">
        <f t="shared" ca="1" si="5536"/>
        <v>2012</v>
      </c>
      <c r="G2748" s="66">
        <f t="shared" ref="G2748" ca="1" si="5635">VLOOKUP(INDIRECT(CHAR(39)&amp;$A2748&amp;CHAR(39)&amp;"!r2c"&amp;$C2748,0),variables,2,0)</f>
        <v>10988</v>
      </c>
      <c r="H2748" s="71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0.10976028282004215</v>
      </c>
    </row>
    <row r="2749" spans="1:8" x14ac:dyDescent="0.2">
      <c r="A2749" s="66" t="s">
        <v>1244</v>
      </c>
      <c r="B2749" s="66">
        <f t="shared" si="5574"/>
        <v>14</v>
      </c>
      <c r="C2749" s="66">
        <f t="shared" si="5575"/>
        <v>20</v>
      </c>
      <c r="E2749" s="66">
        <f t="shared" ref="E2749" si="5636">plan_id</f>
        <v>1952</v>
      </c>
      <c r="F2749" s="66">
        <f t="shared" ca="1" si="5536"/>
        <v>2012</v>
      </c>
      <c r="G2749" s="66">
        <f t="shared" ref="G2749" ca="1" si="5637">VLOOKUP(INDIRECT(CHAR(39)&amp;$A2749&amp;CHAR(39)&amp;"!r2c"&amp;$C2749,0),variables,2,0)</f>
        <v>10996</v>
      </c>
      <c r="H2749" s="71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50266721000</v>
      </c>
    </row>
    <row r="2750" spans="1:8" x14ac:dyDescent="0.2">
      <c r="A2750" s="66" t="s">
        <v>1244</v>
      </c>
      <c r="B2750" s="66">
        <f t="shared" si="5574"/>
        <v>14</v>
      </c>
      <c r="C2750" s="66">
        <f t="shared" si="5575"/>
        <v>21</v>
      </c>
      <c r="E2750" s="66">
        <f t="shared" ref="E2750" si="5638">plan_id</f>
        <v>1952</v>
      </c>
      <c r="F2750" s="66">
        <f t="shared" ca="1" si="5536"/>
        <v>2012</v>
      </c>
      <c r="G2750" s="66">
        <f t="shared" ref="G2750" ca="1" si="5639">VLOOKUP(INDIRECT(CHAR(39)&amp;$A2750&amp;CHAR(39)&amp;"!r2c"&amp;$C2750,0),variables,2,0)</f>
        <v>10997</v>
      </c>
      <c r="H2750" s="71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0.66857379796501959</v>
      </c>
    </row>
    <row r="2751" spans="1:8" x14ac:dyDescent="0.2">
      <c r="A2751" s="66" t="s">
        <v>1244</v>
      </c>
      <c r="B2751" s="66">
        <f t="shared" si="5574"/>
        <v>14</v>
      </c>
      <c r="C2751" s="66">
        <f t="shared" si="5575"/>
        <v>22</v>
      </c>
      <c r="E2751" s="66">
        <f t="shared" ref="E2751" si="5640">plan_id</f>
        <v>1952</v>
      </c>
      <c r="F2751" s="66">
        <f t="shared" ca="1" si="5536"/>
        <v>2012</v>
      </c>
      <c r="G2751" s="66">
        <f t="shared" ref="G2751" ca="1" si="5641">VLOOKUP(INDIRECT(CHAR(39)&amp;$A2751&amp;CHAR(39)&amp;"!r2c"&amp;$C2751,0),variables,2,0)</f>
        <v>10980</v>
      </c>
      <c r="H2751" s="71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66" t="s">
        <v>1244</v>
      </c>
      <c r="B2752" s="66">
        <f t="shared" si="5574"/>
        <v>14</v>
      </c>
      <c r="C2752" s="66">
        <f t="shared" si="5575"/>
        <v>23</v>
      </c>
      <c r="E2752" s="66">
        <f t="shared" ref="E2752" si="5642">plan_id</f>
        <v>1952</v>
      </c>
      <c r="F2752" s="66">
        <f t="shared" ca="1" si="5536"/>
        <v>2012</v>
      </c>
      <c r="G2752" s="66">
        <f t="shared" ref="G2752" ca="1" si="5643">VLOOKUP(INDIRECT(CHAR(39)&amp;$A2752&amp;CHAR(39)&amp;"!r2c"&amp;$C2752,0),variables,2,0)</f>
        <v>10981</v>
      </c>
      <c r="H2752" s="71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66" t="s">
        <v>1244</v>
      </c>
      <c r="B2753" s="66">
        <f t="shared" si="5574"/>
        <v>14</v>
      </c>
      <c r="C2753" s="66">
        <f t="shared" si="5575"/>
        <v>24</v>
      </c>
      <c r="E2753" s="66">
        <f t="shared" ref="E2753" si="5644">plan_id</f>
        <v>1952</v>
      </c>
      <c r="F2753" s="66">
        <f t="shared" ca="1" si="5536"/>
        <v>2012</v>
      </c>
      <c r="G2753" s="66">
        <f t="shared" ref="G2753" ca="1" si="5645">VLOOKUP(INDIRECT(CHAR(39)&amp;$A2753&amp;CHAR(39)&amp;"!r2c"&amp;$C2753,0),variables,2,0)</f>
        <v>10998</v>
      </c>
      <c r="H2753" s="71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4021178000</v>
      </c>
    </row>
    <row r="2754" spans="1:8" x14ac:dyDescent="0.2">
      <c r="A2754" s="66" t="s">
        <v>1244</v>
      </c>
      <c r="B2754" s="66">
        <f t="shared" si="5574"/>
        <v>14</v>
      </c>
      <c r="C2754" s="66">
        <f t="shared" si="5575"/>
        <v>25</v>
      </c>
      <c r="E2754" s="66">
        <f t="shared" ref="E2754" si="5646">plan_id</f>
        <v>1952</v>
      </c>
      <c r="F2754" s="66">
        <f t="shared" ca="1" si="5536"/>
        <v>2012</v>
      </c>
      <c r="G2754" s="66">
        <f t="shared" ref="G2754" ca="1" si="5647">VLOOKUP(INDIRECT(CHAR(39)&amp;$A2754&amp;CHAR(39)&amp;"!r2c"&amp;$C2754,0),variables,2,0)</f>
        <v>10999</v>
      </c>
      <c r="H2754" s="71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3257359000</v>
      </c>
    </row>
    <row r="2755" spans="1:8" x14ac:dyDescent="0.2">
      <c r="A2755" s="66" t="s">
        <v>1244</v>
      </c>
      <c r="B2755" s="66">
        <f t="shared" si="5574"/>
        <v>14</v>
      </c>
      <c r="C2755" s="66">
        <f t="shared" si="5575"/>
        <v>26</v>
      </c>
      <c r="E2755" s="66">
        <f t="shared" ref="E2755" si="5648">plan_id</f>
        <v>1952</v>
      </c>
      <c r="F2755" s="66">
        <f t="shared" ca="1" si="5536"/>
        <v>2012</v>
      </c>
      <c r="G2755" s="66">
        <f t="shared" ref="G2755" ca="1" si="5649">VLOOKUP(INDIRECT(CHAR(39)&amp;$A2755&amp;CHAR(39)&amp;"!r2c"&amp;$C2755,0),variables,2,0)</f>
        <v>11000</v>
      </c>
      <c r="H2755" s="71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84577000</v>
      </c>
    </row>
    <row r="2756" spans="1:8" x14ac:dyDescent="0.2">
      <c r="A2756" s="66" t="s">
        <v>1244</v>
      </c>
      <c r="B2756" s="66">
        <f t="shared" si="5574"/>
        <v>14</v>
      </c>
      <c r="C2756" s="66">
        <f t="shared" si="5575"/>
        <v>27</v>
      </c>
      <c r="E2756" s="66">
        <f t="shared" ref="E2756" si="5650">plan_id</f>
        <v>1952</v>
      </c>
      <c r="F2756" s="66">
        <f t="shared" ca="1" si="5536"/>
        <v>2012</v>
      </c>
      <c r="G2756" s="66">
        <f t="shared" ref="G2756" ca="1" si="5651">VLOOKUP(INDIRECT(CHAR(39)&amp;$A2756&amp;CHAR(39)&amp;"!r2c"&amp;$C2756,0),variables,2,0)</f>
        <v>11001</v>
      </c>
      <c r="H2756" s="71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25475000</v>
      </c>
    </row>
    <row r="2757" spans="1:8" x14ac:dyDescent="0.2">
      <c r="A2757" s="66" t="s">
        <v>1244</v>
      </c>
      <c r="B2757" s="66">
        <f t="shared" si="5574"/>
        <v>14</v>
      </c>
      <c r="C2757" s="66">
        <f t="shared" si="5575"/>
        <v>28</v>
      </c>
      <c r="E2757" s="66">
        <f t="shared" ref="E2757" si="5652">plan_id</f>
        <v>1952</v>
      </c>
      <c r="F2757" s="66">
        <f t="shared" ca="1" si="5536"/>
        <v>2012</v>
      </c>
      <c r="G2757" s="66">
        <f t="shared" ref="G2757" ca="1" si="5653">VLOOKUP(INDIRECT(CHAR(39)&amp;$A2757&amp;CHAR(39)&amp;"!r2c"&amp;$C2757,0),variables,2,0)</f>
        <v>11002</v>
      </c>
      <c r="H2757" s="71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694000</v>
      </c>
    </row>
    <row r="2758" spans="1:8" x14ac:dyDescent="0.2">
      <c r="A2758" s="66" t="s">
        <v>1244</v>
      </c>
      <c r="B2758" s="66">
        <f t="shared" si="5574"/>
        <v>14</v>
      </c>
      <c r="C2758" s="66">
        <f t="shared" si="5575"/>
        <v>29</v>
      </c>
      <c r="E2758" s="66">
        <f t="shared" ref="E2758" si="5654">plan_id</f>
        <v>1952</v>
      </c>
      <c r="F2758" s="66">
        <f t="shared" ca="1" si="5536"/>
        <v>2012</v>
      </c>
      <c r="G2758" s="66">
        <f t="shared" ref="G2758" ca="1" si="5655">VLOOKUP(INDIRECT(CHAR(39)&amp;$A2758&amp;CHAR(39)&amp;"!r2c"&amp;$C2758,0),variables,2,0)</f>
        <v>11003</v>
      </c>
      <c r="H2758" s="71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3368105000</v>
      </c>
    </row>
    <row r="2759" spans="1:8" x14ac:dyDescent="0.2">
      <c r="A2759" s="66" t="s">
        <v>1244</v>
      </c>
      <c r="B2759" s="66">
        <f t="shared" si="5574"/>
        <v>15</v>
      </c>
      <c r="C2759" s="66">
        <f t="shared" si="5575"/>
        <v>3</v>
      </c>
      <c r="E2759" s="66">
        <f t="shared" ref="E2759" si="5656">plan_id</f>
        <v>1952</v>
      </c>
      <c r="F2759" s="66">
        <f t="shared" ca="1" si="5536"/>
        <v>2013</v>
      </c>
      <c r="G2759" s="66">
        <f t="shared" ref="G2759" ca="1" si="5657">VLOOKUP(INDIRECT(CHAR(39)&amp;$A2759&amp;CHAR(39)&amp;"!r2c"&amp;$C2759,0),variables,2,0)</f>
        <v>10982</v>
      </c>
      <c r="H2759" s="71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66" t="s">
        <v>1244</v>
      </c>
      <c r="B2760" s="66">
        <f t="shared" si="5574"/>
        <v>15</v>
      </c>
      <c r="C2760" s="66">
        <f t="shared" si="5575"/>
        <v>4</v>
      </c>
      <c r="E2760" s="66">
        <f t="shared" ref="E2760" si="5658">plan_id</f>
        <v>1952</v>
      </c>
      <c r="F2760" s="66">
        <f t="shared" ca="1" si="5536"/>
        <v>2013</v>
      </c>
      <c r="G2760" s="66">
        <f t="shared" ref="G2760" ca="1" si="5659">VLOOKUP(INDIRECT(CHAR(39)&amp;$A2760&amp;CHAR(39)&amp;"!r2c"&amp;$C2760,0),variables,2,0)</f>
        <v>10984</v>
      </c>
      <c r="H2760" s="71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2227090000</v>
      </c>
    </row>
    <row r="2761" spans="1:8" x14ac:dyDescent="0.2">
      <c r="A2761" s="66" t="s">
        <v>1244</v>
      </c>
      <c r="B2761" s="66">
        <f t="shared" si="5574"/>
        <v>15</v>
      </c>
      <c r="C2761" s="66">
        <f t="shared" si="5575"/>
        <v>5</v>
      </c>
      <c r="E2761" s="66">
        <f t="shared" ref="E2761" si="5660">plan_id</f>
        <v>1952</v>
      </c>
      <c r="F2761" s="66">
        <f t="shared" ca="1" si="5536"/>
        <v>2013</v>
      </c>
      <c r="G2761" s="66">
        <f t="shared" ref="G2761" ca="1" si="5661">VLOOKUP(INDIRECT(CHAR(39)&amp;$A2761&amp;CHAR(39)&amp;"!r2c"&amp;$C2761,0),variables,2,0)</f>
        <v>10985</v>
      </c>
      <c r="H2761" s="71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1687911511</v>
      </c>
    </row>
    <row r="2762" spans="1:8" x14ac:dyDescent="0.2">
      <c r="A2762" s="66" t="s">
        <v>1244</v>
      </c>
      <c r="B2762" s="66">
        <f t="shared" si="5574"/>
        <v>15</v>
      </c>
      <c r="C2762" s="66">
        <f t="shared" si="5575"/>
        <v>6</v>
      </c>
      <c r="E2762" s="66">
        <f t="shared" ref="E2762" si="5662">plan_id</f>
        <v>1952</v>
      </c>
      <c r="F2762" s="66">
        <f t="shared" ca="1" si="5536"/>
        <v>2013</v>
      </c>
      <c r="G2762" s="66">
        <f t="shared" ref="G2762" ca="1" si="5663">VLOOKUP(INDIRECT(CHAR(39)&amp;$A2762&amp;CHAR(39)&amp;"!r2c"&amp;$C2762,0),variables,2,0)</f>
        <v>10986</v>
      </c>
      <c r="H2762" s="71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539178489</v>
      </c>
    </row>
    <row r="2763" spans="1:8" x14ac:dyDescent="0.2">
      <c r="A2763" s="66" t="s">
        <v>1244</v>
      </c>
      <c r="B2763" s="66">
        <f t="shared" si="5574"/>
        <v>15</v>
      </c>
      <c r="C2763" s="66">
        <f t="shared" si="5575"/>
        <v>7</v>
      </c>
      <c r="E2763" s="66">
        <f t="shared" ref="E2763" si="5664">plan_id</f>
        <v>1952</v>
      </c>
      <c r="F2763" s="66">
        <f t="shared" ca="1" si="5536"/>
        <v>2013</v>
      </c>
      <c r="G2763" s="66">
        <f t="shared" ref="G2763" ca="1" si="5665">VLOOKUP(INDIRECT(CHAR(39)&amp;$A2763&amp;CHAR(39)&amp;"!r2c"&amp;$C2763,0),variables,2,0)</f>
        <v>10974</v>
      </c>
      <c r="H2763" s="71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2">
      <c r="A2764" s="66" t="s">
        <v>1244</v>
      </c>
      <c r="B2764" s="66">
        <f t="shared" si="5574"/>
        <v>15</v>
      </c>
      <c r="C2764" s="66">
        <f t="shared" si="5575"/>
        <v>8</v>
      </c>
      <c r="E2764" s="66">
        <f t="shared" ref="E2764" si="5666">plan_id</f>
        <v>1952</v>
      </c>
      <c r="F2764" s="66">
        <f t="shared" ref="F2764:F2827" ca="1" si="5667">INDIRECT(CHAR(39)&amp;$A2764&amp;CHAR(39)&amp;"!r"&amp;$B2764&amp;"c2",0)</f>
        <v>2013</v>
      </c>
      <c r="G2764" s="66">
        <f t="shared" ref="G2764" ca="1" si="5668">VLOOKUP(INDIRECT(CHAR(39)&amp;$A2764&amp;CHAR(39)&amp;"!r2c"&amp;$C2764,0),variables,2,0)</f>
        <v>10987</v>
      </c>
      <c r="H2764" s="71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0.75790000000000002</v>
      </c>
    </row>
    <row r="2765" spans="1:8" x14ac:dyDescent="0.2">
      <c r="A2765" s="66" t="s">
        <v>1244</v>
      </c>
      <c r="B2765" s="66">
        <f t="shared" si="5574"/>
        <v>15</v>
      </c>
      <c r="C2765" s="66">
        <f t="shared" si="5575"/>
        <v>9</v>
      </c>
      <c r="E2765" s="66">
        <f t="shared" ref="E2765" si="5669">plan_id</f>
        <v>1952</v>
      </c>
      <c r="F2765" s="66">
        <f t="shared" ca="1" si="5667"/>
        <v>2013</v>
      </c>
      <c r="G2765" s="66">
        <f t="shared" ref="G2765" ca="1" si="5670">VLOOKUP(INDIRECT(CHAR(39)&amp;$A2765&amp;CHAR(39)&amp;"!r2c"&amp;$C2765,0),variables,2,0)</f>
        <v>10885</v>
      </c>
      <c r="H2765" s="71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66" t="s">
        <v>1244</v>
      </c>
      <c r="B2766" s="66">
        <f t="shared" si="5574"/>
        <v>15</v>
      </c>
      <c r="C2766" s="66">
        <f t="shared" si="5575"/>
        <v>10</v>
      </c>
      <c r="E2766" s="66">
        <f t="shared" ref="E2766" si="5671">plan_id</f>
        <v>1952</v>
      </c>
      <c r="F2766" s="66">
        <f t="shared" ca="1" si="5667"/>
        <v>2013</v>
      </c>
      <c r="G2766" s="66">
        <f t="shared" ref="G2766" ca="1" si="5672">VLOOKUP(INDIRECT(CHAR(39)&amp;$A2766&amp;CHAR(39)&amp;"!r2c"&amp;$C2766,0),variables,2,0)</f>
        <v>10886</v>
      </c>
      <c r="H2766" s="71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66" t="s">
        <v>1244</v>
      </c>
      <c r="B2767" s="66">
        <f t="shared" si="5574"/>
        <v>15</v>
      </c>
      <c r="C2767" s="66">
        <f t="shared" si="5575"/>
        <v>11</v>
      </c>
      <c r="E2767" s="66">
        <f t="shared" ref="E2767" si="5673">plan_id</f>
        <v>1952</v>
      </c>
      <c r="F2767" s="66">
        <f t="shared" ca="1" si="5667"/>
        <v>2013</v>
      </c>
      <c r="G2767" s="66">
        <f t="shared" ref="G2767" ca="1" si="5674">VLOOKUP(INDIRECT(CHAR(39)&amp;$A2767&amp;CHAR(39)&amp;"!r2c"&amp;$C2767,0),variables,2,0)</f>
        <v>10887</v>
      </c>
      <c r="H2767" s="71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66" t="s">
        <v>1244</v>
      </c>
      <c r="B2768" s="66">
        <f t="shared" si="5574"/>
        <v>15</v>
      </c>
      <c r="C2768" s="66">
        <f t="shared" si="5575"/>
        <v>12</v>
      </c>
      <c r="E2768" s="66">
        <f t="shared" ref="E2768" si="5675">plan_id</f>
        <v>1952</v>
      </c>
      <c r="F2768" s="66">
        <f t="shared" ca="1" si="5667"/>
        <v>2013</v>
      </c>
      <c r="G2768" s="66">
        <f t="shared" ref="G2768" ca="1" si="5676">VLOOKUP(INDIRECT(CHAR(39)&amp;$A2768&amp;CHAR(39)&amp;"!r2c"&amp;$C2768,0),variables,2,0)</f>
        <v>10883</v>
      </c>
      <c r="H2768" s="71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66" t="s">
        <v>1244</v>
      </c>
      <c r="B2769" s="66">
        <f t="shared" si="5574"/>
        <v>15</v>
      </c>
      <c r="C2769" s="66">
        <f t="shared" si="5575"/>
        <v>13</v>
      </c>
      <c r="E2769" s="66">
        <f t="shared" ref="E2769" si="5677">plan_id</f>
        <v>1952</v>
      </c>
      <c r="F2769" s="66">
        <f t="shared" ca="1" si="5667"/>
        <v>2013</v>
      </c>
      <c r="G2769" s="66">
        <f t="shared" ref="G2769" ca="1" si="5678">VLOOKUP(INDIRECT(CHAR(39)&amp;$A2769&amp;CHAR(39)&amp;"!r2c"&amp;$C2769,0),variables,2,0)</f>
        <v>10989</v>
      </c>
      <c r="H2769" s="71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51212000000</v>
      </c>
    </row>
    <row r="2770" spans="1:8" x14ac:dyDescent="0.2">
      <c r="A2770" s="66" t="s">
        <v>1244</v>
      </c>
      <c r="B2770" s="66">
        <f t="shared" si="5574"/>
        <v>15</v>
      </c>
      <c r="C2770" s="66">
        <f t="shared" si="5575"/>
        <v>14</v>
      </c>
      <c r="E2770" s="66">
        <f t="shared" ref="E2770" si="5679">plan_id</f>
        <v>1952</v>
      </c>
      <c r="F2770" s="66">
        <f t="shared" ca="1" si="5667"/>
        <v>2013</v>
      </c>
      <c r="G2770" s="66">
        <f t="shared" ref="G2770" ca="1" si="5680">VLOOKUP(INDIRECT(CHAR(39)&amp;$A2770&amp;CHAR(39)&amp;"!r2c"&amp;$C2770,0),variables,2,0)</f>
        <v>10990</v>
      </c>
      <c r="H2770" s="71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77859000000</v>
      </c>
    </row>
    <row r="2771" spans="1:8" x14ac:dyDescent="0.2">
      <c r="A2771" s="66" t="s">
        <v>1244</v>
      </c>
      <c r="B2771" s="66">
        <f t="shared" si="5574"/>
        <v>15</v>
      </c>
      <c r="C2771" s="66">
        <f t="shared" si="5575"/>
        <v>15</v>
      </c>
      <c r="E2771" s="66">
        <f t="shared" ref="E2771" si="5681">plan_id</f>
        <v>1952</v>
      </c>
      <c r="F2771" s="66">
        <f t="shared" ca="1" si="5667"/>
        <v>2013</v>
      </c>
      <c r="G2771" s="66">
        <f t="shared" ref="G2771" ca="1" si="5682">VLOOKUP(INDIRECT(CHAR(39)&amp;$A2771&amp;CHAR(39)&amp;"!r2c"&amp;$C2771,0),variables,2,0)</f>
        <v>10991</v>
      </c>
      <c r="H2771" s="71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26647000000</v>
      </c>
    </row>
    <row r="2772" spans="1:8" x14ac:dyDescent="0.2">
      <c r="A2772" s="66" t="s">
        <v>1244</v>
      </c>
      <c r="B2772" s="66">
        <f t="shared" si="5574"/>
        <v>15</v>
      </c>
      <c r="C2772" s="66">
        <f t="shared" si="5575"/>
        <v>16</v>
      </c>
      <c r="E2772" s="66">
        <f t="shared" ref="E2772" si="5683">plan_id</f>
        <v>1952</v>
      </c>
      <c r="F2772" s="66">
        <f t="shared" ca="1" si="5667"/>
        <v>2013</v>
      </c>
      <c r="G2772" s="66">
        <f t="shared" ref="G2772" ca="1" si="5684">VLOOKUP(INDIRECT(CHAR(39)&amp;$A2772&amp;CHAR(39)&amp;"!r2c"&amp;$C2772,0),variables,2,0)</f>
        <v>10992</v>
      </c>
      <c r="H2772" s="71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0.65800000000000003</v>
      </c>
    </row>
    <row r="2773" spans="1:8" x14ac:dyDescent="0.2">
      <c r="A2773" s="66" t="s">
        <v>1244</v>
      </c>
      <c r="B2773" s="66">
        <f t="shared" si="5574"/>
        <v>15</v>
      </c>
      <c r="C2773" s="66">
        <f t="shared" si="5575"/>
        <v>17</v>
      </c>
      <c r="E2773" s="66">
        <f t="shared" ref="E2773" si="5685">plan_id</f>
        <v>1952</v>
      </c>
      <c r="F2773" s="66">
        <f t="shared" ca="1" si="5667"/>
        <v>2013</v>
      </c>
      <c r="G2773" s="66">
        <f t="shared" ref="G2773" ca="1" si="5686">VLOOKUP(INDIRECT(CHAR(39)&amp;$A2773&amp;CHAR(39)&amp;"!r2c"&amp;$C2773,0),variables,2,0)</f>
        <v>10993</v>
      </c>
      <c r="H2773" s="71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14880000000</v>
      </c>
    </row>
    <row r="2774" spans="1:8" x14ac:dyDescent="0.2">
      <c r="A2774" s="66" t="s">
        <v>1244</v>
      </c>
      <c r="B2774" s="66">
        <f t="shared" si="5574"/>
        <v>15</v>
      </c>
      <c r="C2774" s="66">
        <f t="shared" si="5575"/>
        <v>18</v>
      </c>
      <c r="E2774" s="66">
        <f t="shared" ref="E2774" si="5687">plan_id</f>
        <v>1952</v>
      </c>
      <c r="F2774" s="66">
        <f t="shared" ca="1" si="5667"/>
        <v>2013</v>
      </c>
      <c r="G2774" s="66">
        <f t="shared" ref="G2774" ca="1" si="5688">VLOOKUP(INDIRECT(CHAR(39)&amp;$A2774&amp;CHAR(39)&amp;"!r2c"&amp;$C2774,0),variables,2,0)</f>
        <v>11005</v>
      </c>
      <c r="H2774" s="71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66" t="s">
        <v>1244</v>
      </c>
      <c r="B2775" s="66">
        <f t="shared" si="5574"/>
        <v>15</v>
      </c>
      <c r="C2775" s="66">
        <f t="shared" si="5575"/>
        <v>19</v>
      </c>
      <c r="E2775" s="66">
        <f t="shared" ref="E2775" si="5689">plan_id</f>
        <v>1952</v>
      </c>
      <c r="F2775" s="66">
        <f t="shared" ca="1" si="5667"/>
        <v>2013</v>
      </c>
      <c r="G2775" s="66">
        <f t="shared" ref="G2775" ca="1" si="5690">VLOOKUP(INDIRECT(CHAR(39)&amp;$A2775&amp;CHAR(39)&amp;"!r2c"&amp;$C2775,0),variables,2,0)</f>
        <v>10988</v>
      </c>
      <c r="H2775" s="71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0.14967002688172043</v>
      </c>
    </row>
    <row r="2776" spans="1:8" x14ac:dyDescent="0.2">
      <c r="A2776" s="66" t="s">
        <v>1244</v>
      </c>
      <c r="B2776" s="66">
        <f t="shared" si="5574"/>
        <v>15</v>
      </c>
      <c r="C2776" s="66">
        <f t="shared" si="5575"/>
        <v>20</v>
      </c>
      <c r="E2776" s="66">
        <f t="shared" ref="E2776" si="5691">plan_id</f>
        <v>1952</v>
      </c>
      <c r="F2776" s="66">
        <f t="shared" ca="1" si="5667"/>
        <v>2013</v>
      </c>
      <c r="G2776" s="66">
        <f t="shared" ref="G2776" ca="1" si="5692">VLOOKUP(INDIRECT(CHAR(39)&amp;$A2776&amp;CHAR(39)&amp;"!r2c"&amp;$C2776,0),variables,2,0)</f>
        <v>10996</v>
      </c>
      <c r="H2776" s="71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54972736000</v>
      </c>
    </row>
    <row r="2777" spans="1:8" x14ac:dyDescent="0.2">
      <c r="A2777" s="66" t="s">
        <v>1244</v>
      </c>
      <c r="B2777" s="66">
        <f t="shared" si="5574"/>
        <v>15</v>
      </c>
      <c r="C2777" s="66">
        <f t="shared" si="5575"/>
        <v>21</v>
      </c>
      <c r="E2777" s="66">
        <f t="shared" ref="E2777" si="5693">plan_id</f>
        <v>1952</v>
      </c>
      <c r="F2777" s="66">
        <f t="shared" ca="1" si="5667"/>
        <v>2013</v>
      </c>
      <c r="G2777" s="66">
        <f t="shared" ref="G2777" ca="1" si="5694">VLOOKUP(INDIRECT(CHAR(39)&amp;$A2777&amp;CHAR(39)&amp;"!r2c"&amp;$C2777,0),variables,2,0)</f>
        <v>10997</v>
      </c>
      <c r="H2777" s="71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0.7060549968532861</v>
      </c>
    </row>
    <row r="2778" spans="1:8" x14ac:dyDescent="0.2">
      <c r="A2778" s="66" t="s">
        <v>1244</v>
      </c>
      <c r="B2778" s="66">
        <f t="shared" si="5574"/>
        <v>15</v>
      </c>
      <c r="C2778" s="66">
        <f t="shared" si="5575"/>
        <v>22</v>
      </c>
      <c r="E2778" s="66">
        <f t="shared" ref="E2778" si="5695">plan_id</f>
        <v>1952</v>
      </c>
      <c r="F2778" s="66">
        <f t="shared" ca="1" si="5667"/>
        <v>2013</v>
      </c>
      <c r="G2778" s="66">
        <f t="shared" ref="G2778" ca="1" si="5696">VLOOKUP(INDIRECT(CHAR(39)&amp;$A2778&amp;CHAR(39)&amp;"!r2c"&amp;$C2778,0),variables,2,0)</f>
        <v>10980</v>
      </c>
      <c r="H2778" s="71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66" t="s">
        <v>1244</v>
      </c>
      <c r="B2779" s="66">
        <f t="shared" si="5574"/>
        <v>15</v>
      </c>
      <c r="C2779" s="66">
        <f t="shared" si="5575"/>
        <v>23</v>
      </c>
      <c r="E2779" s="66">
        <f t="shared" ref="E2779" si="5697">plan_id</f>
        <v>1952</v>
      </c>
      <c r="F2779" s="66">
        <f t="shared" ca="1" si="5667"/>
        <v>2013</v>
      </c>
      <c r="G2779" s="66">
        <f t="shared" ref="G2779" ca="1" si="5698">VLOOKUP(INDIRECT(CHAR(39)&amp;$A2779&amp;CHAR(39)&amp;"!r2c"&amp;$C2779,0),variables,2,0)</f>
        <v>10981</v>
      </c>
      <c r="H2779" s="71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66" t="s">
        <v>1244</v>
      </c>
      <c r="B2780" s="66">
        <f t="shared" si="5574"/>
        <v>15</v>
      </c>
      <c r="C2780" s="66">
        <f t="shared" si="5575"/>
        <v>24</v>
      </c>
      <c r="E2780" s="66">
        <f t="shared" ref="E2780" si="5699">plan_id</f>
        <v>1952</v>
      </c>
      <c r="F2780" s="66">
        <f t="shared" ca="1" si="5667"/>
        <v>2013</v>
      </c>
      <c r="G2780" s="66">
        <f t="shared" ref="G2780" ca="1" si="5700">VLOOKUP(INDIRECT(CHAR(39)&amp;$A2780&amp;CHAR(39)&amp;"!r2c"&amp;$C2780,0),variables,2,0)</f>
        <v>10998</v>
      </c>
      <c r="H2780" s="71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306069000</v>
      </c>
    </row>
    <row r="2781" spans="1:8" x14ac:dyDescent="0.2">
      <c r="A2781" s="66" t="s">
        <v>1244</v>
      </c>
      <c r="B2781" s="66">
        <f t="shared" si="5574"/>
        <v>15</v>
      </c>
      <c r="C2781" s="66">
        <f t="shared" si="5575"/>
        <v>25</v>
      </c>
      <c r="E2781" s="66">
        <f t="shared" ref="E2781" si="5701">plan_id</f>
        <v>1952</v>
      </c>
      <c r="F2781" s="66">
        <f t="shared" ca="1" si="5667"/>
        <v>2013</v>
      </c>
      <c r="G2781" s="66">
        <f t="shared" ref="G2781" ca="1" si="5702">VLOOKUP(INDIRECT(CHAR(39)&amp;$A2781&amp;CHAR(39)&amp;"!r2c"&amp;$C2781,0),variables,2,0)</f>
        <v>10999</v>
      </c>
      <c r="H2781" s="71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3516219000</v>
      </c>
    </row>
    <row r="2782" spans="1:8" x14ac:dyDescent="0.2">
      <c r="A2782" s="66" t="s">
        <v>1244</v>
      </c>
      <c r="B2782" s="66">
        <f t="shared" si="5574"/>
        <v>15</v>
      </c>
      <c r="C2782" s="66">
        <f t="shared" si="5575"/>
        <v>26</v>
      </c>
      <c r="E2782" s="66">
        <f t="shared" ref="E2782" si="5703">plan_id</f>
        <v>1952</v>
      </c>
      <c r="F2782" s="66">
        <f t="shared" ca="1" si="5667"/>
        <v>2013</v>
      </c>
      <c r="G2782" s="66">
        <f t="shared" ref="G2782" ca="1" si="5704">VLOOKUP(INDIRECT(CHAR(39)&amp;$A2782&amp;CHAR(39)&amp;"!r2c"&amp;$C2782,0),variables,2,0)</f>
        <v>11000</v>
      </c>
      <c r="H2782" s="71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77588000</v>
      </c>
    </row>
    <row r="2783" spans="1:8" x14ac:dyDescent="0.2">
      <c r="A2783" s="66" t="s">
        <v>1244</v>
      </c>
      <c r="B2783" s="66">
        <f t="shared" ref="B2783:B2846" si="5705">B2756+1</f>
        <v>15</v>
      </c>
      <c r="C2783" s="66">
        <f t="shared" ref="C2783:C2846" si="5706">C2756</f>
        <v>27</v>
      </c>
      <c r="E2783" s="66">
        <f t="shared" ref="E2783" si="5707">plan_id</f>
        <v>1952</v>
      </c>
      <c r="F2783" s="66">
        <f t="shared" ca="1" si="5667"/>
        <v>2013</v>
      </c>
      <c r="G2783" s="66">
        <f t="shared" ref="G2783" ca="1" si="5708">VLOOKUP(INDIRECT(CHAR(39)&amp;$A2783&amp;CHAR(39)&amp;"!r2c"&amp;$C2783,0),variables,2,0)</f>
        <v>11001</v>
      </c>
      <c r="H2783" s="71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31154000</v>
      </c>
    </row>
    <row r="2784" spans="1:8" x14ac:dyDescent="0.2">
      <c r="A2784" s="66" t="s">
        <v>1244</v>
      </c>
      <c r="B2784" s="66">
        <f t="shared" si="5705"/>
        <v>15</v>
      </c>
      <c r="C2784" s="66">
        <f t="shared" si="5706"/>
        <v>28</v>
      </c>
      <c r="E2784" s="66">
        <f t="shared" ref="E2784" si="5709">plan_id</f>
        <v>1952</v>
      </c>
      <c r="F2784" s="66">
        <f t="shared" ca="1" si="5667"/>
        <v>2013</v>
      </c>
      <c r="G2784" s="66">
        <f t="shared" ref="G2784" ca="1" si="5710">VLOOKUP(INDIRECT(CHAR(39)&amp;$A2784&amp;CHAR(39)&amp;"!r2c"&amp;$C2784,0),variables,2,0)</f>
        <v>11002</v>
      </c>
      <c r="H2784" s="71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4579000</v>
      </c>
    </row>
    <row r="2785" spans="1:8" x14ac:dyDescent="0.2">
      <c r="A2785" s="66" t="s">
        <v>1244</v>
      </c>
      <c r="B2785" s="66">
        <f t="shared" si="5705"/>
        <v>15</v>
      </c>
      <c r="C2785" s="66">
        <f t="shared" si="5706"/>
        <v>29</v>
      </c>
      <c r="E2785" s="66">
        <f t="shared" ref="E2785" si="5711">plan_id</f>
        <v>1952</v>
      </c>
      <c r="F2785" s="66">
        <f t="shared" ca="1" si="5667"/>
        <v>2013</v>
      </c>
      <c r="G2785" s="66">
        <f t="shared" ref="G2785" ca="1" si="5712">VLOOKUP(INDIRECT(CHAR(39)&amp;$A2785&amp;CHAR(39)&amp;"!r2c"&amp;$C2785,0),variables,2,0)</f>
        <v>11003</v>
      </c>
      <c r="H2785" s="71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3629540000</v>
      </c>
    </row>
    <row r="2786" spans="1:8" x14ac:dyDescent="0.2">
      <c r="A2786" s="66" t="s">
        <v>1244</v>
      </c>
      <c r="B2786" s="66">
        <f t="shared" si="5705"/>
        <v>16</v>
      </c>
      <c r="C2786" s="66">
        <f t="shared" si="5706"/>
        <v>3</v>
      </c>
      <c r="E2786" s="66">
        <f t="shared" ref="E2786" si="5713">plan_id</f>
        <v>1952</v>
      </c>
      <c r="F2786" s="66">
        <f t="shared" ca="1" si="5667"/>
        <v>2014</v>
      </c>
      <c r="G2786" s="66">
        <f t="shared" ref="G2786" ca="1" si="5714">VLOOKUP(INDIRECT(CHAR(39)&amp;$A2786&amp;CHAR(39)&amp;"!r2c"&amp;$C2786,0),variables,2,0)</f>
        <v>10982</v>
      </c>
      <c r="H2786" s="71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66" t="s">
        <v>1244</v>
      </c>
      <c r="B2787" s="66">
        <f t="shared" si="5705"/>
        <v>16</v>
      </c>
      <c r="C2787" s="66">
        <f t="shared" si="5706"/>
        <v>4</v>
      </c>
      <c r="E2787" s="66">
        <f t="shared" ref="E2787" si="5715">plan_id</f>
        <v>1952</v>
      </c>
      <c r="F2787" s="66">
        <f t="shared" ca="1" si="5667"/>
        <v>2014</v>
      </c>
      <c r="G2787" s="66">
        <f t="shared" ref="G2787" ca="1" si="5716">VLOOKUP(INDIRECT(CHAR(39)&amp;$A2787&amp;CHAR(39)&amp;"!r2c"&amp;$C2787,0),variables,2,0)</f>
        <v>10984</v>
      </c>
      <c r="H2787" s="71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66" t="s">
        <v>1244</v>
      </c>
      <c r="B2788" s="66">
        <f t="shared" si="5705"/>
        <v>16</v>
      </c>
      <c r="C2788" s="66">
        <f t="shared" si="5706"/>
        <v>5</v>
      </c>
      <c r="E2788" s="66">
        <f t="shared" ref="E2788" si="5717">plan_id</f>
        <v>1952</v>
      </c>
      <c r="F2788" s="66">
        <f t="shared" ca="1" si="5667"/>
        <v>2014</v>
      </c>
      <c r="G2788" s="66">
        <f t="shared" ref="G2788" ca="1" si="5718">VLOOKUP(INDIRECT(CHAR(39)&amp;$A2788&amp;CHAR(39)&amp;"!r2c"&amp;$C2788,0),variables,2,0)</f>
        <v>10985</v>
      </c>
      <c r="H2788" s="71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66" t="s">
        <v>1244</v>
      </c>
      <c r="B2789" s="66">
        <f t="shared" si="5705"/>
        <v>16</v>
      </c>
      <c r="C2789" s="66">
        <f t="shared" si="5706"/>
        <v>6</v>
      </c>
      <c r="E2789" s="66">
        <f t="shared" ref="E2789" si="5719">plan_id</f>
        <v>1952</v>
      </c>
      <c r="F2789" s="66">
        <f t="shared" ca="1" si="5667"/>
        <v>2014</v>
      </c>
      <c r="G2789" s="66">
        <f t="shared" ref="G2789" ca="1" si="5720">VLOOKUP(INDIRECT(CHAR(39)&amp;$A2789&amp;CHAR(39)&amp;"!r2c"&amp;$C2789,0),variables,2,0)</f>
        <v>10986</v>
      </c>
      <c r="H2789" s="71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66" t="s">
        <v>1244</v>
      </c>
      <c r="B2790" s="66">
        <f t="shared" si="5705"/>
        <v>16</v>
      </c>
      <c r="C2790" s="66">
        <f t="shared" si="5706"/>
        <v>7</v>
      </c>
      <c r="E2790" s="66">
        <f t="shared" ref="E2790" si="5721">plan_id</f>
        <v>1952</v>
      </c>
      <c r="F2790" s="66">
        <f t="shared" ca="1" si="5667"/>
        <v>2014</v>
      </c>
      <c r="G2790" s="66">
        <f t="shared" ref="G2790" ca="1" si="5722">VLOOKUP(INDIRECT(CHAR(39)&amp;$A2790&amp;CHAR(39)&amp;"!r2c"&amp;$C2790,0),variables,2,0)</f>
        <v>10974</v>
      </c>
      <c r="H2790" s="71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2">
      <c r="A2791" s="66" t="s">
        <v>1244</v>
      </c>
      <c r="B2791" s="66">
        <f t="shared" si="5705"/>
        <v>16</v>
      </c>
      <c r="C2791" s="66">
        <f t="shared" si="5706"/>
        <v>8</v>
      </c>
      <c r="E2791" s="66">
        <f t="shared" ref="E2791" si="5723">plan_id</f>
        <v>1952</v>
      </c>
      <c r="F2791" s="66">
        <f t="shared" ca="1" si="5667"/>
        <v>2014</v>
      </c>
      <c r="G2791" s="66">
        <f t="shared" ref="G2791" ca="1" si="5724">VLOOKUP(INDIRECT(CHAR(39)&amp;$A2791&amp;CHAR(39)&amp;"!r2c"&amp;$C2791,0),variables,2,0)</f>
        <v>10987</v>
      </c>
      <c r="H2791" s="71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66" t="s">
        <v>1244</v>
      </c>
      <c r="B2792" s="66">
        <f t="shared" si="5705"/>
        <v>16</v>
      </c>
      <c r="C2792" s="66">
        <f t="shared" si="5706"/>
        <v>9</v>
      </c>
      <c r="E2792" s="66">
        <f t="shared" ref="E2792" si="5725">plan_id</f>
        <v>1952</v>
      </c>
      <c r="F2792" s="66">
        <f t="shared" ca="1" si="5667"/>
        <v>2014</v>
      </c>
      <c r="G2792" s="66">
        <f t="shared" ref="G2792" ca="1" si="5726">VLOOKUP(INDIRECT(CHAR(39)&amp;$A2792&amp;CHAR(39)&amp;"!r2c"&amp;$C2792,0),variables,2,0)</f>
        <v>10885</v>
      </c>
      <c r="H2792" s="71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2282942000</v>
      </c>
    </row>
    <row r="2793" spans="1:8" x14ac:dyDescent="0.2">
      <c r="A2793" s="66" t="s">
        <v>1244</v>
      </c>
      <c r="B2793" s="66">
        <f t="shared" si="5705"/>
        <v>16</v>
      </c>
      <c r="C2793" s="66">
        <f t="shared" si="5706"/>
        <v>10</v>
      </c>
      <c r="E2793" s="66">
        <f t="shared" ref="E2793" si="5727">plan_id</f>
        <v>1952</v>
      </c>
      <c r="F2793" s="66">
        <f t="shared" ca="1" si="5667"/>
        <v>2014</v>
      </c>
      <c r="G2793" s="66">
        <f t="shared" ref="G2793" ca="1" si="5728">VLOOKUP(INDIRECT(CHAR(39)&amp;$A2793&amp;CHAR(39)&amp;"!r2c"&amp;$C2793,0),variables,2,0)</f>
        <v>10886</v>
      </c>
      <c r="H2793" s="71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1730116000</v>
      </c>
    </row>
    <row r="2794" spans="1:8" x14ac:dyDescent="0.2">
      <c r="A2794" s="66" t="s">
        <v>1244</v>
      </c>
      <c r="B2794" s="66">
        <f t="shared" si="5705"/>
        <v>16</v>
      </c>
      <c r="C2794" s="66">
        <f t="shared" si="5706"/>
        <v>11</v>
      </c>
      <c r="E2794" s="66">
        <f t="shared" ref="E2794" si="5729">plan_id</f>
        <v>1952</v>
      </c>
      <c r="F2794" s="66">
        <f t="shared" ca="1" si="5667"/>
        <v>2014</v>
      </c>
      <c r="G2794" s="66">
        <f t="shared" ref="G2794" ca="1" si="5730">VLOOKUP(INDIRECT(CHAR(39)&amp;$A2794&amp;CHAR(39)&amp;"!r2c"&amp;$C2794,0),variables,2,0)</f>
        <v>10887</v>
      </c>
      <c r="H2794" s="71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552826000</v>
      </c>
    </row>
    <row r="2795" spans="1:8" x14ac:dyDescent="0.2">
      <c r="A2795" s="66" t="s">
        <v>1244</v>
      </c>
      <c r="B2795" s="66">
        <f t="shared" si="5705"/>
        <v>16</v>
      </c>
      <c r="C2795" s="66">
        <f t="shared" si="5706"/>
        <v>12</v>
      </c>
      <c r="E2795" s="66">
        <f t="shared" ref="E2795" si="5731">plan_id</f>
        <v>1952</v>
      </c>
      <c r="F2795" s="66">
        <f t="shared" ca="1" si="5667"/>
        <v>2014</v>
      </c>
      <c r="G2795" s="66">
        <f t="shared" ref="G2795" ca="1" si="5732">VLOOKUP(INDIRECT(CHAR(39)&amp;$A2795&amp;CHAR(39)&amp;"!r2c"&amp;$C2795,0),variables,2,0)</f>
        <v>10883</v>
      </c>
      <c r="H2795" s="71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0.75784492115875046</v>
      </c>
    </row>
    <row r="2796" spans="1:8" x14ac:dyDescent="0.2">
      <c r="A2796" s="66" t="s">
        <v>1244</v>
      </c>
      <c r="B2796" s="66">
        <f t="shared" si="5705"/>
        <v>16</v>
      </c>
      <c r="C2796" s="66">
        <f t="shared" si="5706"/>
        <v>13</v>
      </c>
      <c r="E2796" s="66">
        <f t="shared" ref="E2796" si="5733">plan_id</f>
        <v>1952</v>
      </c>
      <c r="F2796" s="66">
        <f t="shared" ca="1" si="5667"/>
        <v>2014</v>
      </c>
      <c r="G2796" s="66">
        <f t="shared" ref="G2796" ca="1" si="5734">VLOOKUP(INDIRECT(CHAR(39)&amp;$A2796&amp;CHAR(39)&amp;"!r2c"&amp;$C2796,0),variables,2,0)</f>
        <v>10989</v>
      </c>
      <c r="H2796" s="71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52124581000</v>
      </c>
    </row>
    <row r="2797" spans="1:8" x14ac:dyDescent="0.2">
      <c r="A2797" s="66" t="s">
        <v>1244</v>
      </c>
      <c r="B2797" s="66">
        <f t="shared" si="5705"/>
        <v>16</v>
      </c>
      <c r="C2797" s="66">
        <f t="shared" si="5706"/>
        <v>14</v>
      </c>
      <c r="E2797" s="66">
        <f t="shared" ref="E2797" si="5735">plan_id</f>
        <v>1952</v>
      </c>
      <c r="F2797" s="66">
        <f t="shared" ca="1" si="5667"/>
        <v>2014</v>
      </c>
      <c r="G2797" s="66">
        <f t="shared" ref="G2797" ca="1" si="5736">VLOOKUP(INDIRECT(CHAR(39)&amp;$A2797&amp;CHAR(39)&amp;"!r2c"&amp;$C2797,0),variables,2,0)</f>
        <v>10990</v>
      </c>
      <c r="H2797" s="71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79077591000</v>
      </c>
    </row>
    <row r="2798" spans="1:8" x14ac:dyDescent="0.2">
      <c r="A2798" s="66" t="s">
        <v>1244</v>
      </c>
      <c r="B2798" s="66">
        <f t="shared" si="5705"/>
        <v>16</v>
      </c>
      <c r="C2798" s="66">
        <f t="shared" si="5706"/>
        <v>15</v>
      </c>
      <c r="E2798" s="66">
        <f t="shared" ref="E2798" si="5737">plan_id</f>
        <v>1952</v>
      </c>
      <c r="F2798" s="66">
        <f t="shared" ca="1" si="5667"/>
        <v>2014</v>
      </c>
      <c r="G2798" s="66">
        <f t="shared" ref="G2798" ca="1" si="5738">VLOOKUP(INDIRECT(CHAR(39)&amp;$A2798&amp;CHAR(39)&amp;"!r2c"&amp;$C2798,0),variables,2,0)</f>
        <v>10991</v>
      </c>
      <c r="H2798" s="71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26953010000</v>
      </c>
    </row>
    <row r="2799" spans="1:8" x14ac:dyDescent="0.2">
      <c r="A2799" s="66" t="s">
        <v>1244</v>
      </c>
      <c r="B2799" s="66">
        <f t="shared" si="5705"/>
        <v>16</v>
      </c>
      <c r="C2799" s="66">
        <f t="shared" si="5706"/>
        <v>16</v>
      </c>
      <c r="E2799" s="66">
        <f t="shared" ref="E2799" si="5739">plan_id</f>
        <v>1952</v>
      </c>
      <c r="F2799" s="66">
        <f t="shared" ca="1" si="5667"/>
        <v>2014</v>
      </c>
      <c r="G2799" s="66">
        <f t="shared" ref="G2799" ca="1" si="5740">VLOOKUP(INDIRECT(CHAR(39)&amp;$A2799&amp;CHAR(39)&amp;"!r2c"&amp;$C2799,0),variables,2,0)</f>
        <v>10992</v>
      </c>
      <c r="H2799" s="71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0.65900000000000003</v>
      </c>
    </row>
    <row r="2800" spans="1:8" x14ac:dyDescent="0.2">
      <c r="A2800" s="66" t="s">
        <v>1244</v>
      </c>
      <c r="B2800" s="66">
        <f t="shared" si="5705"/>
        <v>16</v>
      </c>
      <c r="C2800" s="66">
        <f t="shared" si="5706"/>
        <v>17</v>
      </c>
      <c r="E2800" s="66">
        <f t="shared" ref="E2800" si="5741">plan_id</f>
        <v>1952</v>
      </c>
      <c r="F2800" s="66">
        <f t="shared" ca="1" si="5667"/>
        <v>2014</v>
      </c>
      <c r="G2800" s="66">
        <f t="shared" ref="G2800" ca="1" si="5742">VLOOKUP(INDIRECT(CHAR(39)&amp;$A2800&amp;CHAR(39)&amp;"!r2c"&amp;$C2800,0),variables,2,0)</f>
        <v>10993</v>
      </c>
      <c r="H2800" s="71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15269079000</v>
      </c>
    </row>
    <row r="2801" spans="1:8" x14ac:dyDescent="0.2">
      <c r="A2801" s="66" t="s">
        <v>1244</v>
      </c>
      <c r="B2801" s="66">
        <f t="shared" si="5705"/>
        <v>16</v>
      </c>
      <c r="C2801" s="66">
        <f t="shared" si="5706"/>
        <v>18</v>
      </c>
      <c r="E2801" s="66">
        <f t="shared" ref="E2801" si="5743">plan_id</f>
        <v>1952</v>
      </c>
      <c r="F2801" s="66">
        <f t="shared" ca="1" si="5667"/>
        <v>2014</v>
      </c>
      <c r="G2801" s="66">
        <f t="shared" ref="G2801" ca="1" si="5744">VLOOKUP(INDIRECT(CHAR(39)&amp;$A2801&amp;CHAR(39)&amp;"!r2c"&amp;$C2801,0),variables,2,0)</f>
        <v>11005</v>
      </c>
      <c r="H2801" s="71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0.14951406040927551</v>
      </c>
    </row>
    <row r="2802" spans="1:8" x14ac:dyDescent="0.2">
      <c r="A2802" s="66" t="s">
        <v>1244</v>
      </c>
      <c r="B2802" s="66">
        <f t="shared" si="5705"/>
        <v>16</v>
      </c>
      <c r="C2802" s="66">
        <f t="shared" si="5706"/>
        <v>19</v>
      </c>
      <c r="E2802" s="66">
        <f t="shared" ref="E2802" si="5745">plan_id</f>
        <v>1952</v>
      </c>
      <c r="F2802" s="66">
        <f t="shared" ca="1" si="5667"/>
        <v>2014</v>
      </c>
      <c r="G2802" s="66">
        <f t="shared" ref="G2802" ca="1" si="5746">VLOOKUP(INDIRECT(CHAR(39)&amp;$A2802&amp;CHAR(39)&amp;"!r2c"&amp;$C2802,0),variables,2,0)</f>
        <v>10988</v>
      </c>
      <c r="H2802" s="71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66" t="s">
        <v>1244</v>
      </c>
      <c r="B2803" s="66">
        <f t="shared" si="5705"/>
        <v>16</v>
      </c>
      <c r="C2803" s="66">
        <f t="shared" si="5706"/>
        <v>20</v>
      </c>
      <c r="E2803" s="66">
        <f t="shared" ref="E2803" si="5747">plan_id</f>
        <v>1952</v>
      </c>
      <c r="F2803" s="66">
        <f t="shared" ca="1" si="5667"/>
        <v>2014</v>
      </c>
      <c r="G2803" s="66">
        <f t="shared" ref="G2803" ca="1" si="5748">VLOOKUP(INDIRECT(CHAR(39)&amp;$A2803&amp;CHAR(39)&amp;"!r2c"&amp;$C2803,0),variables,2,0)</f>
        <v>10996</v>
      </c>
      <c r="H2803" s="71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62208638000</v>
      </c>
    </row>
    <row r="2804" spans="1:8" x14ac:dyDescent="0.2">
      <c r="A2804" s="66" t="s">
        <v>1244</v>
      </c>
      <c r="B2804" s="66">
        <f t="shared" si="5705"/>
        <v>16</v>
      </c>
      <c r="C2804" s="66">
        <f t="shared" si="5706"/>
        <v>21</v>
      </c>
      <c r="E2804" s="66">
        <f t="shared" ref="E2804" si="5749">plan_id</f>
        <v>1952</v>
      </c>
      <c r="F2804" s="66">
        <f t="shared" ca="1" si="5667"/>
        <v>2014</v>
      </c>
      <c r="G2804" s="66">
        <f t="shared" ref="G2804" ca="1" si="5750">VLOOKUP(INDIRECT(CHAR(39)&amp;$A2804&amp;CHAR(39)&amp;"!r2c"&amp;$C2804,0),variables,2,0)</f>
        <v>10997</v>
      </c>
      <c r="H2804" s="71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0.78667846621680726</v>
      </c>
    </row>
    <row r="2805" spans="1:8" x14ac:dyDescent="0.2">
      <c r="A2805" s="66" t="s">
        <v>1244</v>
      </c>
      <c r="B2805" s="66">
        <f t="shared" si="5705"/>
        <v>16</v>
      </c>
      <c r="C2805" s="66">
        <f t="shared" si="5706"/>
        <v>22</v>
      </c>
      <c r="E2805" s="66">
        <f t="shared" ref="E2805" si="5751">plan_id</f>
        <v>1952</v>
      </c>
      <c r="F2805" s="66">
        <f t="shared" ca="1" si="5667"/>
        <v>2014</v>
      </c>
      <c r="G2805" s="66">
        <f t="shared" ref="G2805" ca="1" si="5752">VLOOKUP(INDIRECT(CHAR(39)&amp;$A2805&amp;CHAR(39)&amp;"!r2c"&amp;$C2805,0),variables,2,0)</f>
        <v>10980</v>
      </c>
      <c r="H2805" s="71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66" t="s">
        <v>1244</v>
      </c>
      <c r="B2806" s="66">
        <f t="shared" si="5705"/>
        <v>16</v>
      </c>
      <c r="C2806" s="66">
        <f t="shared" si="5706"/>
        <v>23</v>
      </c>
      <c r="E2806" s="66">
        <f t="shared" ref="E2806" si="5753">plan_id</f>
        <v>1952</v>
      </c>
      <c r="F2806" s="66">
        <f t="shared" ca="1" si="5667"/>
        <v>2014</v>
      </c>
      <c r="G2806" s="66">
        <f t="shared" ref="G2806" ca="1" si="5754">VLOOKUP(INDIRECT(CHAR(39)&amp;$A2806&amp;CHAR(39)&amp;"!r2c"&amp;$C2806,0),variables,2,0)</f>
        <v>10981</v>
      </c>
      <c r="H2806" s="71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66" t="s">
        <v>1244</v>
      </c>
      <c r="B2807" s="66">
        <f t="shared" si="5705"/>
        <v>16</v>
      </c>
      <c r="C2807" s="66">
        <f t="shared" si="5706"/>
        <v>24</v>
      </c>
      <c r="E2807" s="66">
        <f t="shared" ref="E2807" si="5755">plan_id</f>
        <v>1952</v>
      </c>
      <c r="F2807" s="66">
        <f t="shared" ca="1" si="5667"/>
        <v>2014</v>
      </c>
      <c r="G2807" s="66">
        <f t="shared" ref="G2807" ca="1" si="5756">VLOOKUP(INDIRECT(CHAR(39)&amp;$A2807&amp;CHAR(39)&amp;"!r2c"&amp;$C2807,0),variables,2,0)</f>
        <v>10998</v>
      </c>
      <c r="H2807" s="71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-2016114000</v>
      </c>
    </row>
    <row r="2808" spans="1:8" x14ac:dyDescent="0.2">
      <c r="A2808" s="66" t="s">
        <v>1244</v>
      </c>
      <c r="B2808" s="66">
        <f t="shared" si="5705"/>
        <v>16</v>
      </c>
      <c r="C2808" s="66">
        <f t="shared" si="5706"/>
        <v>25</v>
      </c>
      <c r="E2808" s="66">
        <f t="shared" ref="E2808" si="5757">plan_id</f>
        <v>1952</v>
      </c>
      <c r="F2808" s="66">
        <f t="shared" ca="1" si="5667"/>
        <v>2014</v>
      </c>
      <c r="G2808" s="66">
        <f t="shared" ref="G2808" ca="1" si="5758">VLOOKUP(INDIRECT(CHAR(39)&amp;$A2808&amp;CHAR(39)&amp;"!r2c"&amp;$C2808,0),variables,2,0)</f>
        <v>10999</v>
      </c>
      <c r="H2808" s="71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3711208000</v>
      </c>
    </row>
    <row r="2809" spans="1:8" x14ac:dyDescent="0.2">
      <c r="A2809" s="66" t="s">
        <v>1244</v>
      </c>
      <c r="B2809" s="66">
        <f t="shared" si="5705"/>
        <v>16</v>
      </c>
      <c r="C2809" s="66">
        <f t="shared" si="5706"/>
        <v>26</v>
      </c>
      <c r="E2809" s="66">
        <f t="shared" ref="E2809" si="5759">plan_id</f>
        <v>1952</v>
      </c>
      <c r="F2809" s="66">
        <f t="shared" ca="1" si="5667"/>
        <v>2014</v>
      </c>
      <c r="G2809" s="66">
        <f t="shared" ref="G2809" ca="1" si="5760">VLOOKUP(INDIRECT(CHAR(39)&amp;$A2809&amp;CHAR(39)&amp;"!r2c"&amp;$C2809,0),variables,2,0)</f>
        <v>11000</v>
      </c>
      <c r="H2809" s="71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98049000</v>
      </c>
    </row>
    <row r="2810" spans="1:8" x14ac:dyDescent="0.2">
      <c r="A2810" s="66" t="s">
        <v>1244</v>
      </c>
      <c r="B2810" s="66">
        <f t="shared" si="5705"/>
        <v>16</v>
      </c>
      <c r="C2810" s="66">
        <f t="shared" si="5706"/>
        <v>27</v>
      </c>
      <c r="E2810" s="66">
        <f t="shared" ref="E2810" si="5761">plan_id</f>
        <v>1952</v>
      </c>
      <c r="F2810" s="66">
        <f t="shared" ca="1" si="5667"/>
        <v>2014</v>
      </c>
      <c r="G2810" s="66">
        <f t="shared" ref="G2810" ca="1" si="5762">VLOOKUP(INDIRECT(CHAR(39)&amp;$A2810&amp;CHAR(39)&amp;"!r2c"&amp;$C2810,0),variables,2,0)</f>
        <v>11001</v>
      </c>
      <c r="H2810" s="71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39785000</v>
      </c>
    </row>
    <row r="2811" spans="1:8" x14ac:dyDescent="0.2">
      <c r="A2811" s="66" t="s">
        <v>1244</v>
      </c>
      <c r="B2811" s="66">
        <f t="shared" si="5705"/>
        <v>16</v>
      </c>
      <c r="C2811" s="66">
        <f t="shared" si="5706"/>
        <v>28</v>
      </c>
      <c r="E2811" s="66">
        <f t="shared" ref="E2811" si="5763">plan_id</f>
        <v>1952</v>
      </c>
      <c r="F2811" s="66">
        <f t="shared" ca="1" si="5667"/>
        <v>2014</v>
      </c>
      <c r="G2811" s="66">
        <f t="shared" ref="G2811" ca="1" si="5764">VLOOKUP(INDIRECT(CHAR(39)&amp;$A2811&amp;CHAR(39)&amp;"!r2c"&amp;$C2811,0),variables,2,0)</f>
        <v>11002</v>
      </c>
      <c r="H2811" s="71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6745000</v>
      </c>
    </row>
    <row r="2812" spans="1:8" x14ac:dyDescent="0.2">
      <c r="A2812" s="66" t="s">
        <v>1244</v>
      </c>
      <c r="B2812" s="66">
        <f t="shared" si="5705"/>
        <v>16</v>
      </c>
      <c r="C2812" s="66">
        <f t="shared" si="5706"/>
        <v>29</v>
      </c>
      <c r="E2812" s="66">
        <f t="shared" ref="E2812" si="5765">plan_id</f>
        <v>1952</v>
      </c>
      <c r="F2812" s="66">
        <f t="shared" ca="1" si="5667"/>
        <v>2014</v>
      </c>
      <c r="G2812" s="66">
        <f t="shared" ref="G2812" ca="1" si="5766">VLOOKUP(INDIRECT(CHAR(39)&amp;$A2812&amp;CHAR(39)&amp;"!r2c"&amp;$C2812,0),variables,2,0)</f>
        <v>11003</v>
      </c>
      <c r="H2812" s="71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3855787000</v>
      </c>
    </row>
    <row r="2813" spans="1:8" x14ac:dyDescent="0.2">
      <c r="A2813" s="66" t="s">
        <v>1244</v>
      </c>
      <c r="B2813" s="66">
        <f t="shared" si="5705"/>
        <v>17</v>
      </c>
      <c r="C2813" s="66">
        <f t="shared" si="5706"/>
        <v>3</v>
      </c>
      <c r="E2813" s="66">
        <f t="shared" ref="E2813" si="5767">plan_id</f>
        <v>1952</v>
      </c>
      <c r="F2813" s="66">
        <f t="shared" ca="1" si="5667"/>
        <v>2015</v>
      </c>
      <c r="G2813" s="66">
        <f t="shared" ref="G2813" ca="1" si="5768">VLOOKUP(INDIRECT(CHAR(39)&amp;$A2813&amp;CHAR(39)&amp;"!r2c"&amp;$C2813,0),variables,2,0)</f>
        <v>10982</v>
      </c>
      <c r="H2813" s="71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66" t="s">
        <v>1244</v>
      </c>
      <c r="B2814" s="66">
        <f t="shared" si="5705"/>
        <v>17</v>
      </c>
      <c r="C2814" s="66">
        <f t="shared" si="5706"/>
        <v>4</v>
      </c>
      <c r="E2814" s="66">
        <f t="shared" ref="E2814" si="5769">plan_id</f>
        <v>1952</v>
      </c>
      <c r="F2814" s="66">
        <f t="shared" ca="1" si="5667"/>
        <v>2015</v>
      </c>
      <c r="G2814" s="66">
        <f t="shared" ref="G2814" ca="1" si="5770">VLOOKUP(INDIRECT(CHAR(39)&amp;$A2814&amp;CHAR(39)&amp;"!r2c"&amp;$C2814,0),variables,2,0)</f>
        <v>10984</v>
      </c>
      <c r="H2814" s="71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66" t="s">
        <v>1244</v>
      </c>
      <c r="B2815" s="66">
        <f t="shared" si="5705"/>
        <v>17</v>
      </c>
      <c r="C2815" s="66">
        <f t="shared" si="5706"/>
        <v>5</v>
      </c>
      <c r="E2815" s="66">
        <f t="shared" ref="E2815" si="5771">plan_id</f>
        <v>1952</v>
      </c>
      <c r="F2815" s="66">
        <f t="shared" ca="1" si="5667"/>
        <v>2015</v>
      </c>
      <c r="G2815" s="66">
        <f t="shared" ref="G2815" ca="1" si="5772">VLOOKUP(INDIRECT(CHAR(39)&amp;$A2815&amp;CHAR(39)&amp;"!r2c"&amp;$C2815,0),variables,2,0)</f>
        <v>10985</v>
      </c>
      <c r="H2815" s="71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66" t="s">
        <v>1244</v>
      </c>
      <c r="B2816" s="66">
        <f t="shared" si="5705"/>
        <v>17</v>
      </c>
      <c r="C2816" s="66">
        <f t="shared" si="5706"/>
        <v>6</v>
      </c>
      <c r="E2816" s="66">
        <f t="shared" ref="E2816" si="5773">plan_id</f>
        <v>1952</v>
      </c>
      <c r="F2816" s="66">
        <f t="shared" ca="1" si="5667"/>
        <v>2015</v>
      </c>
      <c r="G2816" s="66">
        <f t="shared" ref="G2816" ca="1" si="5774">VLOOKUP(INDIRECT(CHAR(39)&amp;$A2816&amp;CHAR(39)&amp;"!r2c"&amp;$C2816,0),variables,2,0)</f>
        <v>10986</v>
      </c>
      <c r="H2816" s="71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66" t="s">
        <v>1244</v>
      </c>
      <c r="B2817" s="66">
        <f t="shared" si="5705"/>
        <v>17</v>
      </c>
      <c r="C2817" s="66">
        <f t="shared" si="5706"/>
        <v>7</v>
      </c>
      <c r="E2817" s="66">
        <f t="shared" ref="E2817" si="5775">plan_id</f>
        <v>1952</v>
      </c>
      <c r="F2817" s="66">
        <f t="shared" ca="1" si="5667"/>
        <v>2015</v>
      </c>
      <c r="G2817" s="66">
        <f t="shared" ref="G2817" ca="1" si="5776">VLOOKUP(INDIRECT(CHAR(39)&amp;$A2817&amp;CHAR(39)&amp;"!r2c"&amp;$C2817,0),variables,2,0)</f>
        <v>10974</v>
      </c>
      <c r="H2817" s="71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2">
      <c r="A2818" s="66" t="s">
        <v>1244</v>
      </c>
      <c r="B2818" s="66">
        <f t="shared" si="5705"/>
        <v>17</v>
      </c>
      <c r="C2818" s="66">
        <f t="shared" si="5706"/>
        <v>8</v>
      </c>
      <c r="E2818" s="66">
        <f t="shared" ref="E2818" si="5777">plan_id</f>
        <v>1952</v>
      </c>
      <c r="F2818" s="66">
        <f t="shared" ca="1" si="5667"/>
        <v>2015</v>
      </c>
      <c r="G2818" s="66">
        <f t="shared" ref="G2818" ca="1" si="5778">VLOOKUP(INDIRECT(CHAR(39)&amp;$A2818&amp;CHAR(39)&amp;"!r2c"&amp;$C2818,0),variables,2,0)</f>
        <v>10987</v>
      </c>
      <c r="H2818" s="71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66" t="s">
        <v>1244</v>
      </c>
      <c r="B2819" s="66">
        <f t="shared" si="5705"/>
        <v>17</v>
      </c>
      <c r="C2819" s="66">
        <f t="shared" si="5706"/>
        <v>9</v>
      </c>
      <c r="E2819" s="66">
        <f t="shared" ref="E2819" si="5779">plan_id</f>
        <v>1952</v>
      </c>
      <c r="F2819" s="66">
        <f t="shared" ca="1" si="5667"/>
        <v>2015</v>
      </c>
      <c r="G2819" s="66">
        <f t="shared" ref="G2819" ca="1" si="5780">VLOOKUP(INDIRECT(CHAR(39)&amp;$A2819&amp;CHAR(39)&amp;"!r2c"&amp;$C2819,0),variables,2,0)</f>
        <v>10885</v>
      </c>
      <c r="H2819" s="71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2506841000</v>
      </c>
    </row>
    <row r="2820" spans="1:8" x14ac:dyDescent="0.2">
      <c r="A2820" s="66" t="s">
        <v>1244</v>
      </c>
      <c r="B2820" s="66">
        <f t="shared" si="5705"/>
        <v>17</v>
      </c>
      <c r="C2820" s="66">
        <f t="shared" si="5706"/>
        <v>10</v>
      </c>
      <c r="E2820" s="66">
        <f t="shared" ref="E2820" si="5781">plan_id</f>
        <v>1952</v>
      </c>
      <c r="F2820" s="66">
        <f t="shared" ca="1" si="5667"/>
        <v>2015</v>
      </c>
      <c r="G2820" s="66">
        <f t="shared" ref="G2820" ca="1" si="5782">VLOOKUP(INDIRECT(CHAR(39)&amp;$A2820&amp;CHAR(39)&amp;"!r2c"&amp;$C2820,0),variables,2,0)</f>
        <v>10886</v>
      </c>
      <c r="H2820" s="71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2092219000</v>
      </c>
    </row>
    <row r="2821" spans="1:8" x14ac:dyDescent="0.2">
      <c r="A2821" s="66" t="s">
        <v>1244</v>
      </c>
      <c r="B2821" s="66">
        <f t="shared" si="5705"/>
        <v>17</v>
      </c>
      <c r="C2821" s="66">
        <f t="shared" si="5706"/>
        <v>11</v>
      </c>
      <c r="E2821" s="66">
        <f t="shared" ref="E2821" si="5783">plan_id</f>
        <v>1952</v>
      </c>
      <c r="F2821" s="66">
        <f t="shared" ca="1" si="5667"/>
        <v>2015</v>
      </c>
      <c r="G2821" s="66">
        <f t="shared" ref="G2821" ca="1" si="5784">VLOOKUP(INDIRECT(CHAR(39)&amp;$A2821&amp;CHAR(39)&amp;"!r2c"&amp;$C2821,0),variables,2,0)</f>
        <v>10887</v>
      </c>
      <c r="H2821" s="71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414622000</v>
      </c>
    </row>
    <row r="2822" spans="1:8" x14ac:dyDescent="0.2">
      <c r="A2822" s="66" t="s">
        <v>1244</v>
      </c>
      <c r="B2822" s="66">
        <f t="shared" si="5705"/>
        <v>17</v>
      </c>
      <c r="C2822" s="66">
        <f t="shared" si="5706"/>
        <v>12</v>
      </c>
      <c r="E2822" s="66">
        <f t="shared" ref="E2822" si="5785">plan_id</f>
        <v>1952</v>
      </c>
      <c r="F2822" s="66">
        <f t="shared" ca="1" si="5667"/>
        <v>2015</v>
      </c>
      <c r="G2822" s="66">
        <f t="shared" ref="G2822" ca="1" si="5786">VLOOKUP(INDIRECT(CHAR(39)&amp;$A2822&amp;CHAR(39)&amp;"!r2c"&amp;$C2822,0),variables,2,0)</f>
        <v>10883</v>
      </c>
      <c r="H2822" s="71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0.83460379018852815</v>
      </c>
    </row>
    <row r="2823" spans="1:8" x14ac:dyDescent="0.2">
      <c r="A2823" s="66" t="s">
        <v>1244</v>
      </c>
      <c r="B2823" s="66">
        <f t="shared" si="5705"/>
        <v>17</v>
      </c>
      <c r="C2823" s="66">
        <f t="shared" si="5706"/>
        <v>13</v>
      </c>
      <c r="E2823" s="66">
        <f t="shared" ref="E2823" si="5787">plan_id</f>
        <v>1952</v>
      </c>
      <c r="F2823" s="66">
        <f t="shared" ca="1" si="5667"/>
        <v>2015</v>
      </c>
      <c r="G2823" s="66">
        <f t="shared" ref="G2823" ca="1" si="5788">VLOOKUP(INDIRECT(CHAR(39)&amp;$A2823&amp;CHAR(39)&amp;"!r2c"&amp;$C2823,0),variables,2,0)</f>
        <v>10989</v>
      </c>
      <c r="H2823" s="71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57144567000</v>
      </c>
    </row>
    <row r="2824" spans="1:8" x14ac:dyDescent="0.2">
      <c r="A2824" s="66" t="s">
        <v>1244</v>
      </c>
      <c r="B2824" s="66">
        <f t="shared" si="5705"/>
        <v>17</v>
      </c>
      <c r="C2824" s="66">
        <f t="shared" si="5706"/>
        <v>14</v>
      </c>
      <c r="E2824" s="66">
        <f t="shared" ref="E2824" si="5789">plan_id</f>
        <v>1952</v>
      </c>
      <c r="F2824" s="66">
        <f t="shared" ca="1" si="5667"/>
        <v>2015</v>
      </c>
      <c r="G2824" s="66">
        <f t="shared" ref="G2824" ca="1" si="5790">VLOOKUP(INDIRECT(CHAR(39)&amp;$A2824&amp;CHAR(39)&amp;"!r2c"&amp;$C2824,0),variables,2,0)</f>
        <v>10990</v>
      </c>
      <c r="H2824" s="71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82083384000</v>
      </c>
    </row>
    <row r="2825" spans="1:8" x14ac:dyDescent="0.2">
      <c r="A2825" s="66" t="s">
        <v>1244</v>
      </c>
      <c r="B2825" s="66">
        <f t="shared" si="5705"/>
        <v>17</v>
      </c>
      <c r="C2825" s="66">
        <f t="shared" si="5706"/>
        <v>15</v>
      </c>
      <c r="E2825" s="66">
        <f t="shared" ref="E2825" si="5791">plan_id</f>
        <v>1952</v>
      </c>
      <c r="F2825" s="66">
        <f t="shared" ca="1" si="5667"/>
        <v>2015</v>
      </c>
      <c r="G2825" s="66">
        <f t="shared" ref="G2825" ca="1" si="5792">VLOOKUP(INDIRECT(CHAR(39)&amp;$A2825&amp;CHAR(39)&amp;"!r2c"&amp;$C2825,0),variables,2,0)</f>
        <v>10991</v>
      </c>
      <c r="H2825" s="71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24938817000</v>
      </c>
    </row>
    <row r="2826" spans="1:8" x14ac:dyDescent="0.2">
      <c r="A2826" s="66" t="s">
        <v>1244</v>
      </c>
      <c r="B2826" s="66">
        <f t="shared" si="5705"/>
        <v>17</v>
      </c>
      <c r="C2826" s="66">
        <f t="shared" si="5706"/>
        <v>16</v>
      </c>
      <c r="E2826" s="66">
        <f t="shared" ref="E2826" si="5793">plan_id</f>
        <v>1952</v>
      </c>
      <c r="F2826" s="66">
        <f t="shared" ca="1" si="5667"/>
        <v>2015</v>
      </c>
      <c r="G2826" s="66">
        <f t="shared" ref="G2826" ca="1" si="5794">VLOOKUP(INDIRECT(CHAR(39)&amp;$A2826&amp;CHAR(39)&amp;"!r2c"&amp;$C2826,0),variables,2,0)</f>
        <v>10992</v>
      </c>
      <c r="H2826" s="71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0.69599999999999995</v>
      </c>
    </row>
    <row r="2827" spans="1:8" x14ac:dyDescent="0.2">
      <c r="A2827" s="66" t="s">
        <v>1244</v>
      </c>
      <c r="B2827" s="66">
        <f t="shared" si="5705"/>
        <v>17</v>
      </c>
      <c r="C2827" s="66">
        <f t="shared" si="5706"/>
        <v>17</v>
      </c>
      <c r="E2827" s="66">
        <f t="shared" ref="E2827" si="5795">plan_id</f>
        <v>1952</v>
      </c>
      <c r="F2827" s="66">
        <f t="shared" ca="1" si="5667"/>
        <v>2015</v>
      </c>
      <c r="G2827" s="66">
        <f t="shared" ref="G2827" ca="1" si="5796">VLOOKUP(INDIRECT(CHAR(39)&amp;$A2827&amp;CHAR(39)&amp;"!r2c"&amp;$C2827,0),variables,2,0)</f>
        <v>10993</v>
      </c>
      <c r="H2827" s="71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15671359000</v>
      </c>
    </row>
    <row r="2828" spans="1:8" x14ac:dyDescent="0.2">
      <c r="A2828" s="66" t="s">
        <v>1244</v>
      </c>
      <c r="B2828" s="66">
        <f t="shared" si="5705"/>
        <v>17</v>
      </c>
      <c r="C2828" s="66">
        <f t="shared" si="5706"/>
        <v>18</v>
      </c>
      <c r="E2828" s="66">
        <f t="shared" ref="E2828" si="5797">plan_id</f>
        <v>1952</v>
      </c>
      <c r="F2828" s="66">
        <f t="shared" ref="F2828:F2891" ca="1" si="5798">INDIRECT(CHAR(39)&amp;$A2828&amp;CHAR(39)&amp;"!r"&amp;$B2828&amp;"c2",0)</f>
        <v>2015</v>
      </c>
      <c r="G2828" s="66">
        <f t="shared" ref="G2828" ca="1" si="5799">VLOOKUP(INDIRECT(CHAR(39)&amp;$A2828&amp;CHAR(39)&amp;"!r2c"&amp;$C2828,0),variables,2,0)</f>
        <v>11005</v>
      </c>
      <c r="H2828" s="71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0.15996321697435431</v>
      </c>
    </row>
    <row r="2829" spans="1:8" x14ac:dyDescent="0.2">
      <c r="A2829" s="66" t="s">
        <v>1244</v>
      </c>
      <c r="B2829" s="66">
        <f t="shared" si="5705"/>
        <v>17</v>
      </c>
      <c r="C2829" s="66">
        <f t="shared" si="5706"/>
        <v>19</v>
      </c>
      <c r="E2829" s="66">
        <f t="shared" ref="E2829" si="5800">plan_id</f>
        <v>1952</v>
      </c>
      <c r="F2829" s="66">
        <f t="shared" ca="1" si="5798"/>
        <v>2015</v>
      </c>
      <c r="G2829" s="66">
        <f t="shared" ref="G2829" ca="1" si="5801">VLOOKUP(INDIRECT(CHAR(39)&amp;$A2829&amp;CHAR(39)&amp;"!r2c"&amp;$C2829,0),variables,2,0)</f>
        <v>10988</v>
      </c>
      <c r="H2829" s="71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66" t="s">
        <v>1244</v>
      </c>
      <c r="B2830" s="66">
        <f t="shared" si="5705"/>
        <v>17</v>
      </c>
      <c r="C2830" s="66">
        <f t="shared" si="5706"/>
        <v>20</v>
      </c>
      <c r="E2830" s="66">
        <f t="shared" ref="E2830" si="5802">plan_id</f>
        <v>1952</v>
      </c>
      <c r="F2830" s="66">
        <f t="shared" ca="1" si="5798"/>
        <v>2015</v>
      </c>
      <c r="G2830" s="66">
        <f t="shared" ref="G2830" ca="1" si="5803">VLOOKUP(INDIRECT(CHAR(39)&amp;$A2830&amp;CHAR(39)&amp;"!r2c"&amp;$C2830,0),variables,2,0)</f>
        <v>10996</v>
      </c>
      <c r="H2830" s="71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64049880000</v>
      </c>
    </row>
    <row r="2831" spans="1:8" x14ac:dyDescent="0.2">
      <c r="A2831" s="66" t="s">
        <v>1244</v>
      </c>
      <c r="B2831" s="66">
        <f t="shared" si="5705"/>
        <v>17</v>
      </c>
      <c r="C2831" s="66">
        <f t="shared" si="5706"/>
        <v>21</v>
      </c>
      <c r="E2831" s="66">
        <f t="shared" ref="E2831" si="5804">plan_id</f>
        <v>1952</v>
      </c>
      <c r="F2831" s="66">
        <f t="shared" ca="1" si="5798"/>
        <v>2015</v>
      </c>
      <c r="G2831" s="66">
        <f t="shared" ref="G2831" ca="1" si="5805">VLOOKUP(INDIRECT(CHAR(39)&amp;$A2831&amp;CHAR(39)&amp;"!r2c"&amp;$C2831,0),variables,2,0)</f>
        <v>10997</v>
      </c>
      <c r="H2831" s="71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0.78030262495025793</v>
      </c>
    </row>
    <row r="2832" spans="1:8" x14ac:dyDescent="0.2">
      <c r="A2832" s="66" t="s">
        <v>1244</v>
      </c>
      <c r="B2832" s="66">
        <f t="shared" si="5705"/>
        <v>17</v>
      </c>
      <c r="C2832" s="66">
        <f t="shared" si="5706"/>
        <v>22</v>
      </c>
      <c r="E2832" s="66">
        <f t="shared" ref="E2832" si="5806">plan_id</f>
        <v>1952</v>
      </c>
      <c r="F2832" s="66">
        <f t="shared" ca="1" si="5798"/>
        <v>2015</v>
      </c>
      <c r="G2832" s="66">
        <f t="shared" ref="G2832" ca="1" si="5807">VLOOKUP(INDIRECT(CHAR(39)&amp;$A2832&amp;CHAR(39)&amp;"!r2c"&amp;$C2832,0),variables,2,0)</f>
        <v>10980</v>
      </c>
      <c r="H2832" s="71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66" t="s">
        <v>1244</v>
      </c>
      <c r="B2833" s="66">
        <f t="shared" si="5705"/>
        <v>17</v>
      </c>
      <c r="C2833" s="66">
        <f t="shared" si="5706"/>
        <v>23</v>
      </c>
      <c r="E2833" s="66">
        <f t="shared" ref="E2833" si="5808">plan_id</f>
        <v>1952</v>
      </c>
      <c r="F2833" s="66">
        <f t="shared" ca="1" si="5798"/>
        <v>2015</v>
      </c>
      <c r="G2833" s="66">
        <f t="shared" ref="G2833" ca="1" si="5809">VLOOKUP(INDIRECT(CHAR(39)&amp;$A2833&amp;CHAR(39)&amp;"!r2c"&amp;$C2833,0),variables,2,0)</f>
        <v>10981</v>
      </c>
      <c r="H2833" s="71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66" t="s">
        <v>1244</v>
      </c>
      <c r="B2834" s="66">
        <f t="shared" si="5705"/>
        <v>17</v>
      </c>
      <c r="C2834" s="66">
        <f t="shared" si="5706"/>
        <v>24</v>
      </c>
      <c r="E2834" s="66">
        <f t="shared" ref="E2834" si="5810">plan_id</f>
        <v>1952</v>
      </c>
      <c r="F2834" s="66">
        <f t="shared" ca="1" si="5798"/>
        <v>2015</v>
      </c>
      <c r="G2834" s="66">
        <f t="shared" ref="G2834" ca="1" si="5811">VLOOKUP(INDIRECT(CHAR(39)&amp;$A2834&amp;CHAR(39)&amp;"!r2c"&amp;$C2834,0),variables,2,0)</f>
        <v>10998</v>
      </c>
      <c r="H2834" s="71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-2311276000</v>
      </c>
    </row>
    <row r="2835" spans="1:8" x14ac:dyDescent="0.2">
      <c r="A2835" s="66" t="s">
        <v>1244</v>
      </c>
      <c r="B2835" s="66">
        <f t="shared" si="5705"/>
        <v>17</v>
      </c>
      <c r="C2835" s="66">
        <f t="shared" si="5706"/>
        <v>25</v>
      </c>
      <c r="E2835" s="66">
        <f t="shared" ref="E2835" si="5812">plan_id</f>
        <v>1952</v>
      </c>
      <c r="F2835" s="66">
        <f t="shared" ca="1" si="5798"/>
        <v>2015</v>
      </c>
      <c r="G2835" s="66">
        <f t="shared" ref="G2835" ca="1" si="5813">VLOOKUP(INDIRECT(CHAR(39)&amp;$A2835&amp;CHAR(39)&amp;"!r2c"&amp;$C2835,0),variables,2,0)</f>
        <v>10999</v>
      </c>
      <c r="H2835" s="71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3935656000</v>
      </c>
    </row>
    <row r="2836" spans="1:8" x14ac:dyDescent="0.2">
      <c r="A2836" s="66" t="s">
        <v>1244</v>
      </c>
      <c r="B2836" s="66">
        <f t="shared" si="5705"/>
        <v>17</v>
      </c>
      <c r="C2836" s="66">
        <f t="shared" si="5706"/>
        <v>26</v>
      </c>
      <c r="E2836" s="66">
        <f t="shared" ref="E2836" si="5814">plan_id</f>
        <v>1952</v>
      </c>
      <c r="F2836" s="66">
        <f t="shared" ca="1" si="5798"/>
        <v>2015</v>
      </c>
      <c r="G2836" s="66">
        <f t="shared" ref="G2836" ca="1" si="5815">VLOOKUP(INDIRECT(CHAR(39)&amp;$A2836&amp;CHAR(39)&amp;"!r2c"&amp;$C2836,0),variables,2,0)</f>
        <v>11000</v>
      </c>
      <c r="H2836" s="71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100993000</v>
      </c>
    </row>
    <row r="2837" spans="1:8" x14ac:dyDescent="0.2">
      <c r="A2837" s="66" t="s">
        <v>1244</v>
      </c>
      <c r="B2837" s="66">
        <f t="shared" si="5705"/>
        <v>17</v>
      </c>
      <c r="C2837" s="66">
        <f t="shared" si="5706"/>
        <v>27</v>
      </c>
      <c r="E2837" s="66">
        <f t="shared" ref="E2837" si="5816">plan_id</f>
        <v>1952</v>
      </c>
      <c r="F2837" s="66">
        <f t="shared" ca="1" si="5798"/>
        <v>2015</v>
      </c>
      <c r="G2837" s="66">
        <f t="shared" ref="G2837" ca="1" si="5817">VLOOKUP(INDIRECT(CHAR(39)&amp;$A2837&amp;CHAR(39)&amp;"!r2c"&amp;$C2837,0),variables,2,0)</f>
        <v>11001</v>
      </c>
      <c r="H2837" s="71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38898000</v>
      </c>
    </row>
    <row r="2838" spans="1:8" x14ac:dyDescent="0.2">
      <c r="A2838" s="66" t="s">
        <v>1244</v>
      </c>
      <c r="B2838" s="66">
        <f t="shared" si="5705"/>
        <v>17</v>
      </c>
      <c r="C2838" s="66">
        <f t="shared" si="5706"/>
        <v>28</v>
      </c>
      <c r="E2838" s="66">
        <f t="shared" ref="E2838" si="5818">plan_id</f>
        <v>1952</v>
      </c>
      <c r="F2838" s="66">
        <f t="shared" ca="1" si="5798"/>
        <v>2015</v>
      </c>
      <c r="G2838" s="66">
        <f t="shared" ref="G2838" ca="1" si="5819">VLOOKUP(INDIRECT(CHAR(39)&amp;$A2838&amp;CHAR(39)&amp;"!r2c"&amp;$C2838,0),variables,2,0)</f>
        <v>11002</v>
      </c>
      <c r="H2838" s="71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2323000</v>
      </c>
    </row>
    <row r="2839" spans="1:8" x14ac:dyDescent="0.2">
      <c r="A2839" s="66" t="s">
        <v>1244</v>
      </c>
      <c r="B2839" s="66">
        <f t="shared" si="5705"/>
        <v>17</v>
      </c>
      <c r="C2839" s="66">
        <f t="shared" si="5706"/>
        <v>29</v>
      </c>
      <c r="E2839" s="66">
        <f t="shared" ref="E2839" si="5820">plan_id</f>
        <v>1952</v>
      </c>
      <c r="F2839" s="66">
        <f t="shared" ca="1" si="5798"/>
        <v>2015</v>
      </c>
      <c r="G2839" s="66">
        <f t="shared" ref="G2839" ca="1" si="5821">VLOOKUP(INDIRECT(CHAR(39)&amp;$A2839&amp;CHAR(39)&amp;"!r2c"&amp;$C2839,0),variables,2,0)</f>
        <v>11003</v>
      </c>
      <c r="H2839" s="71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4077870000</v>
      </c>
    </row>
    <row r="2840" spans="1:8" x14ac:dyDescent="0.2">
      <c r="A2840" s="66" t="s">
        <v>1244</v>
      </c>
      <c r="B2840" s="66">
        <f t="shared" si="5705"/>
        <v>18</v>
      </c>
      <c r="C2840" s="66">
        <f t="shared" si="5706"/>
        <v>3</v>
      </c>
      <c r="E2840" s="66">
        <f t="shared" ref="E2840" si="5822">plan_id</f>
        <v>1952</v>
      </c>
      <c r="F2840" s="66">
        <f t="shared" ca="1" si="5798"/>
        <v>2016</v>
      </c>
      <c r="G2840" s="66">
        <f t="shared" ref="G2840" ca="1" si="5823">VLOOKUP(INDIRECT(CHAR(39)&amp;$A2840&amp;CHAR(39)&amp;"!r2c"&amp;$C2840,0),variables,2,0)</f>
        <v>10982</v>
      </c>
      <c r="H2840" s="71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66" t="s">
        <v>1244</v>
      </c>
      <c r="B2841" s="66">
        <f t="shared" si="5705"/>
        <v>18</v>
      </c>
      <c r="C2841" s="66">
        <f t="shared" si="5706"/>
        <v>4</v>
      </c>
      <c r="E2841" s="66">
        <f t="shared" ref="E2841" si="5824">plan_id</f>
        <v>1952</v>
      </c>
      <c r="F2841" s="66">
        <f t="shared" ca="1" si="5798"/>
        <v>2016</v>
      </c>
      <c r="G2841" s="66">
        <f t="shared" ref="G2841" ca="1" si="5825">VLOOKUP(INDIRECT(CHAR(39)&amp;$A2841&amp;CHAR(39)&amp;"!r2c"&amp;$C2841,0),variables,2,0)</f>
        <v>10984</v>
      </c>
      <c r="H2841" s="71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66" t="s">
        <v>1244</v>
      </c>
      <c r="B2842" s="66">
        <f t="shared" si="5705"/>
        <v>18</v>
      </c>
      <c r="C2842" s="66">
        <f t="shared" si="5706"/>
        <v>5</v>
      </c>
      <c r="E2842" s="66">
        <f t="shared" ref="E2842" si="5826">plan_id</f>
        <v>1952</v>
      </c>
      <c r="F2842" s="66">
        <f t="shared" ca="1" si="5798"/>
        <v>2016</v>
      </c>
      <c r="G2842" s="66">
        <f t="shared" ref="G2842" ca="1" si="5827">VLOOKUP(INDIRECT(CHAR(39)&amp;$A2842&amp;CHAR(39)&amp;"!r2c"&amp;$C2842,0),variables,2,0)</f>
        <v>10985</v>
      </c>
      <c r="H2842" s="71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66" t="s">
        <v>1244</v>
      </c>
      <c r="B2843" s="66">
        <f t="shared" si="5705"/>
        <v>18</v>
      </c>
      <c r="C2843" s="66">
        <f t="shared" si="5706"/>
        <v>6</v>
      </c>
      <c r="E2843" s="66">
        <f t="shared" ref="E2843" si="5828">plan_id</f>
        <v>1952</v>
      </c>
      <c r="F2843" s="66">
        <f t="shared" ca="1" si="5798"/>
        <v>2016</v>
      </c>
      <c r="G2843" s="66">
        <f t="shared" ref="G2843" ca="1" si="5829">VLOOKUP(INDIRECT(CHAR(39)&amp;$A2843&amp;CHAR(39)&amp;"!r2c"&amp;$C2843,0),variables,2,0)</f>
        <v>10986</v>
      </c>
      <c r="H2843" s="71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66" t="s">
        <v>1244</v>
      </c>
      <c r="B2844" s="66">
        <f t="shared" si="5705"/>
        <v>18</v>
      </c>
      <c r="C2844" s="66">
        <f t="shared" si="5706"/>
        <v>7</v>
      </c>
      <c r="E2844" s="66">
        <f t="shared" ref="E2844" si="5830">plan_id</f>
        <v>1952</v>
      </c>
      <c r="F2844" s="66">
        <f t="shared" ca="1" si="5798"/>
        <v>2016</v>
      </c>
      <c r="G2844" s="66">
        <f t="shared" ref="G2844" ca="1" si="5831">VLOOKUP(INDIRECT(CHAR(39)&amp;$A2844&amp;CHAR(39)&amp;"!r2c"&amp;$C2844,0),variables,2,0)</f>
        <v>10974</v>
      </c>
      <c r="H2844" s="71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2">
      <c r="A2845" s="66" t="s">
        <v>1244</v>
      </c>
      <c r="B2845" s="66">
        <f t="shared" si="5705"/>
        <v>18</v>
      </c>
      <c r="C2845" s="66">
        <f t="shared" si="5706"/>
        <v>8</v>
      </c>
      <c r="E2845" s="66">
        <f t="shared" ref="E2845" si="5832">plan_id</f>
        <v>1952</v>
      </c>
      <c r="F2845" s="66">
        <f t="shared" ca="1" si="5798"/>
        <v>2016</v>
      </c>
      <c r="G2845" s="66">
        <f t="shared" ref="G2845" ca="1" si="5833">VLOOKUP(INDIRECT(CHAR(39)&amp;$A2845&amp;CHAR(39)&amp;"!r2c"&amp;$C2845,0),variables,2,0)</f>
        <v>10987</v>
      </c>
      <c r="H2845" s="71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66" t="s">
        <v>1244</v>
      </c>
      <c r="B2846" s="66">
        <f t="shared" si="5705"/>
        <v>18</v>
      </c>
      <c r="C2846" s="66">
        <f t="shared" si="5706"/>
        <v>9</v>
      </c>
      <c r="E2846" s="66">
        <f t="shared" ref="E2846" si="5834">plan_id</f>
        <v>1952</v>
      </c>
      <c r="F2846" s="66">
        <f t="shared" ca="1" si="5798"/>
        <v>2016</v>
      </c>
      <c r="G2846" s="66">
        <f t="shared" ref="G2846" ca="1" si="5835">VLOOKUP(INDIRECT(CHAR(39)&amp;$A2846&amp;CHAR(39)&amp;"!r2c"&amp;$C2846,0),variables,2,0)</f>
        <v>10885</v>
      </c>
      <c r="H2846" s="71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2527802000</v>
      </c>
    </row>
    <row r="2847" spans="1:8" x14ac:dyDescent="0.2">
      <c r="A2847" s="66" t="s">
        <v>1244</v>
      </c>
      <c r="B2847" s="66">
        <f t="shared" ref="B2847:B2910" si="5836">B2820+1</f>
        <v>18</v>
      </c>
      <c r="C2847" s="66">
        <f t="shared" ref="C2847:C2910" si="5837">C2820</f>
        <v>10</v>
      </c>
      <c r="E2847" s="66">
        <f t="shared" ref="E2847" si="5838">plan_id</f>
        <v>1952</v>
      </c>
      <c r="F2847" s="66">
        <f t="shared" ca="1" si="5798"/>
        <v>2016</v>
      </c>
      <c r="G2847" s="66">
        <f t="shared" ref="G2847" ca="1" si="5839">VLOOKUP(INDIRECT(CHAR(39)&amp;$A2847&amp;CHAR(39)&amp;"!r2c"&amp;$C2847,0),variables,2,0)</f>
        <v>10886</v>
      </c>
      <c r="H2847" s="71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2178588000</v>
      </c>
    </row>
    <row r="2848" spans="1:8" x14ac:dyDescent="0.2">
      <c r="A2848" s="66" t="s">
        <v>1244</v>
      </c>
      <c r="B2848" s="66">
        <f t="shared" si="5836"/>
        <v>18</v>
      </c>
      <c r="C2848" s="66">
        <f t="shared" si="5837"/>
        <v>11</v>
      </c>
      <c r="E2848" s="66">
        <f t="shared" ref="E2848" si="5840">plan_id</f>
        <v>1952</v>
      </c>
      <c r="F2848" s="66">
        <f t="shared" ca="1" si="5798"/>
        <v>2016</v>
      </c>
      <c r="G2848" s="66">
        <f t="shared" ref="G2848" ca="1" si="5841">VLOOKUP(INDIRECT(CHAR(39)&amp;$A2848&amp;CHAR(39)&amp;"!r2c"&amp;$C2848,0),variables,2,0)</f>
        <v>10887</v>
      </c>
      <c r="H2848" s="71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349214000</v>
      </c>
    </row>
    <row r="2849" spans="1:8" x14ac:dyDescent="0.2">
      <c r="A2849" s="66" t="s">
        <v>1244</v>
      </c>
      <c r="B2849" s="66">
        <f t="shared" si="5836"/>
        <v>18</v>
      </c>
      <c r="C2849" s="66">
        <f t="shared" si="5837"/>
        <v>12</v>
      </c>
      <c r="E2849" s="66">
        <f t="shared" ref="E2849" si="5842">plan_id</f>
        <v>1952</v>
      </c>
      <c r="F2849" s="66">
        <f t="shared" ca="1" si="5798"/>
        <v>2016</v>
      </c>
      <c r="G2849" s="66">
        <f t="shared" ref="G2849" ca="1" si="5843">VLOOKUP(INDIRECT(CHAR(39)&amp;$A2849&amp;CHAR(39)&amp;"!r2c"&amp;$C2849,0),variables,2,0)</f>
        <v>10883</v>
      </c>
      <c r="H2849" s="71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0.86185073039739668</v>
      </c>
    </row>
    <row r="2850" spans="1:8" x14ac:dyDescent="0.2">
      <c r="A2850" s="66" t="s">
        <v>1244</v>
      </c>
      <c r="B2850" s="66">
        <f t="shared" si="5836"/>
        <v>18</v>
      </c>
      <c r="C2850" s="66">
        <f t="shared" si="5837"/>
        <v>13</v>
      </c>
      <c r="E2850" s="66">
        <f t="shared" ref="E2850" si="5844">plan_id</f>
        <v>1952</v>
      </c>
      <c r="F2850" s="66">
        <f t="shared" ca="1" si="5798"/>
        <v>2016</v>
      </c>
      <c r="G2850" s="66">
        <f t="shared" ref="G2850" ca="1" si="5845">VLOOKUP(INDIRECT(CHAR(39)&amp;$A2850&amp;CHAR(39)&amp;"!r2c"&amp;$C2850,0),variables,2,0)</f>
        <v>10989</v>
      </c>
      <c r="H2850" s="71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62083601000</v>
      </c>
    </row>
    <row r="2851" spans="1:8" x14ac:dyDescent="0.2">
      <c r="A2851" s="66" t="s">
        <v>1244</v>
      </c>
      <c r="B2851" s="66">
        <f t="shared" si="5836"/>
        <v>18</v>
      </c>
      <c r="C2851" s="66">
        <f t="shared" si="5837"/>
        <v>14</v>
      </c>
      <c r="E2851" s="66">
        <f t="shared" ref="E2851" si="5846">plan_id</f>
        <v>1952</v>
      </c>
      <c r="F2851" s="66">
        <f t="shared" ca="1" si="5798"/>
        <v>2016</v>
      </c>
      <c r="G2851" s="66">
        <f t="shared" ref="G2851" ca="1" si="5847">VLOOKUP(INDIRECT(CHAR(39)&amp;$A2851&amp;CHAR(39)&amp;"!r2c"&amp;$C2851,0),variables,2,0)</f>
        <v>10990</v>
      </c>
      <c r="H2851" s="71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84711142000</v>
      </c>
    </row>
    <row r="2852" spans="1:8" x14ac:dyDescent="0.2">
      <c r="A2852" s="66" t="s">
        <v>1244</v>
      </c>
      <c r="B2852" s="66">
        <f t="shared" si="5836"/>
        <v>18</v>
      </c>
      <c r="C2852" s="66">
        <f t="shared" si="5837"/>
        <v>15</v>
      </c>
      <c r="E2852" s="66">
        <f t="shared" ref="E2852" si="5848">plan_id</f>
        <v>1952</v>
      </c>
      <c r="F2852" s="66">
        <f t="shared" ca="1" si="5798"/>
        <v>2016</v>
      </c>
      <c r="G2852" s="66">
        <f t="shared" ref="G2852" ca="1" si="5849">VLOOKUP(INDIRECT(CHAR(39)&amp;$A2852&amp;CHAR(39)&amp;"!r2c"&amp;$C2852,0),variables,2,0)</f>
        <v>10991</v>
      </c>
      <c r="H2852" s="71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22627541000</v>
      </c>
    </row>
    <row r="2853" spans="1:8" x14ac:dyDescent="0.2">
      <c r="A2853" s="66" t="s">
        <v>1244</v>
      </c>
      <c r="B2853" s="66">
        <f t="shared" si="5836"/>
        <v>18</v>
      </c>
      <c r="C2853" s="66">
        <f t="shared" si="5837"/>
        <v>16</v>
      </c>
      <c r="E2853" s="66">
        <f t="shared" ref="E2853" si="5850">plan_id</f>
        <v>1952</v>
      </c>
      <c r="F2853" s="66">
        <f t="shared" ca="1" si="5798"/>
        <v>2016</v>
      </c>
      <c r="G2853" s="66">
        <f t="shared" ref="G2853" ca="1" si="5851">VLOOKUP(INDIRECT(CHAR(39)&amp;$A2853&amp;CHAR(39)&amp;"!r2c"&amp;$C2853,0),variables,2,0)</f>
        <v>10992</v>
      </c>
      <c r="H2853" s="71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0.73299999999999998</v>
      </c>
    </row>
    <row r="2854" spans="1:8" x14ac:dyDescent="0.2">
      <c r="A2854" s="66" t="s">
        <v>1244</v>
      </c>
      <c r="B2854" s="66">
        <f t="shared" si="5836"/>
        <v>18</v>
      </c>
      <c r="C2854" s="66">
        <f t="shared" si="5837"/>
        <v>17</v>
      </c>
      <c r="E2854" s="66">
        <f t="shared" ref="E2854" si="5852">plan_id</f>
        <v>1952</v>
      </c>
      <c r="F2854" s="66">
        <f t="shared" ca="1" si="5798"/>
        <v>2016</v>
      </c>
      <c r="G2854" s="66">
        <f t="shared" ref="G2854" ca="1" si="5853">VLOOKUP(INDIRECT(CHAR(39)&amp;$A2854&amp;CHAR(39)&amp;"!r2c"&amp;$C2854,0),variables,2,0)</f>
        <v>10993</v>
      </c>
      <c r="H2854" s="71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15901380000</v>
      </c>
    </row>
    <row r="2855" spans="1:8" x14ac:dyDescent="0.2">
      <c r="A2855" s="66" t="s">
        <v>1244</v>
      </c>
      <c r="B2855" s="66">
        <f t="shared" si="5836"/>
        <v>18</v>
      </c>
      <c r="C2855" s="66">
        <f t="shared" si="5837"/>
        <v>18</v>
      </c>
      <c r="E2855" s="66">
        <f t="shared" ref="E2855" si="5854">plan_id</f>
        <v>1952</v>
      </c>
      <c r="F2855" s="66">
        <f t="shared" ca="1" si="5798"/>
        <v>2016</v>
      </c>
      <c r="G2855" s="66">
        <f t="shared" ref="G2855" ca="1" si="5855">VLOOKUP(INDIRECT(CHAR(39)&amp;$A2855&amp;CHAR(39)&amp;"!r2c"&amp;$C2855,0),variables,2,0)</f>
        <v>11005</v>
      </c>
      <c r="H2855" s="71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0.15896746068580211</v>
      </c>
    </row>
    <row r="2856" spans="1:8" x14ac:dyDescent="0.2">
      <c r="A2856" s="66" t="s">
        <v>1244</v>
      </c>
      <c r="B2856" s="66">
        <f t="shared" si="5836"/>
        <v>18</v>
      </c>
      <c r="C2856" s="66">
        <f t="shared" si="5837"/>
        <v>19</v>
      </c>
      <c r="E2856" s="66">
        <f t="shared" ref="E2856" si="5856">plan_id</f>
        <v>1952</v>
      </c>
      <c r="F2856" s="66">
        <f t="shared" ca="1" si="5798"/>
        <v>2016</v>
      </c>
      <c r="G2856" s="66">
        <f t="shared" ref="G2856" ca="1" si="5857">VLOOKUP(INDIRECT(CHAR(39)&amp;$A2856&amp;CHAR(39)&amp;"!r2c"&amp;$C2856,0),variables,2,0)</f>
        <v>10988</v>
      </c>
      <c r="H2856" s="71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66" t="s">
        <v>1244</v>
      </c>
      <c r="B2857" s="66">
        <f t="shared" si="5836"/>
        <v>18</v>
      </c>
      <c r="C2857" s="66">
        <f t="shared" si="5837"/>
        <v>20</v>
      </c>
      <c r="E2857" s="66">
        <f t="shared" ref="E2857" si="5858">plan_id</f>
        <v>1952</v>
      </c>
      <c r="F2857" s="66">
        <f t="shared" ca="1" si="5798"/>
        <v>2016</v>
      </c>
      <c r="G2857" s="66">
        <f t="shared" ref="G2857" ca="1" si="5859">VLOOKUP(INDIRECT(CHAR(39)&amp;$A2857&amp;CHAR(39)&amp;"!r2c"&amp;$C2857,0),variables,2,0)</f>
        <v>10996</v>
      </c>
      <c r="H2857" s="71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64028909000</v>
      </c>
    </row>
    <row r="2858" spans="1:8" x14ac:dyDescent="0.2">
      <c r="A2858" s="66" t="s">
        <v>1244</v>
      </c>
      <c r="B2858" s="66">
        <f t="shared" si="5836"/>
        <v>18</v>
      </c>
      <c r="C2858" s="66">
        <f t="shared" si="5837"/>
        <v>21</v>
      </c>
      <c r="E2858" s="66">
        <f t="shared" ref="E2858" si="5860">plan_id</f>
        <v>1952</v>
      </c>
      <c r="F2858" s="66">
        <f t="shared" ca="1" si="5798"/>
        <v>2016</v>
      </c>
      <c r="G2858" s="66">
        <f t="shared" ref="G2858" ca="1" si="5861">VLOOKUP(INDIRECT(CHAR(39)&amp;$A2858&amp;CHAR(39)&amp;"!r2c"&amp;$C2858,0),variables,2,0)</f>
        <v>10997</v>
      </c>
      <c r="H2858" s="71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0.7558499093306994</v>
      </c>
    </row>
    <row r="2859" spans="1:8" x14ac:dyDescent="0.2">
      <c r="A2859" s="66" t="s">
        <v>1244</v>
      </c>
      <c r="B2859" s="66">
        <f t="shared" si="5836"/>
        <v>18</v>
      </c>
      <c r="C2859" s="66">
        <f t="shared" si="5837"/>
        <v>22</v>
      </c>
      <c r="E2859" s="66">
        <f t="shared" ref="E2859" si="5862">plan_id</f>
        <v>1952</v>
      </c>
      <c r="F2859" s="66">
        <f t="shared" ca="1" si="5798"/>
        <v>2016</v>
      </c>
      <c r="G2859" s="66">
        <f t="shared" ref="G2859" ca="1" si="5863">VLOOKUP(INDIRECT(CHAR(39)&amp;$A2859&amp;CHAR(39)&amp;"!r2c"&amp;$C2859,0),variables,2,0)</f>
        <v>10980</v>
      </c>
      <c r="H2859" s="71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66" t="s">
        <v>1244</v>
      </c>
      <c r="B2860" s="66">
        <f t="shared" si="5836"/>
        <v>18</v>
      </c>
      <c r="C2860" s="66">
        <f t="shared" si="5837"/>
        <v>23</v>
      </c>
      <c r="E2860" s="66">
        <f t="shared" ref="E2860" si="5864">plan_id</f>
        <v>1952</v>
      </c>
      <c r="F2860" s="66">
        <f t="shared" ca="1" si="5798"/>
        <v>2016</v>
      </c>
      <c r="G2860" s="66">
        <f t="shared" ref="G2860" ca="1" si="5865">VLOOKUP(INDIRECT(CHAR(39)&amp;$A2860&amp;CHAR(39)&amp;"!r2c"&amp;$C2860,0),variables,2,0)</f>
        <v>10981</v>
      </c>
      <c r="H2860" s="71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66" t="s">
        <v>1244</v>
      </c>
      <c r="B2861" s="66">
        <f t="shared" si="5836"/>
        <v>18</v>
      </c>
      <c r="C2861" s="66">
        <f t="shared" si="5837"/>
        <v>24</v>
      </c>
      <c r="E2861" s="66">
        <f t="shared" ref="E2861" si="5866">plan_id</f>
        <v>1952</v>
      </c>
      <c r="F2861" s="66">
        <f t="shared" ca="1" si="5798"/>
        <v>2016</v>
      </c>
      <c r="G2861" s="66">
        <f t="shared" ref="G2861" ca="1" si="5867">VLOOKUP(INDIRECT(CHAR(39)&amp;$A2861&amp;CHAR(39)&amp;"!r2c"&amp;$C2861,0),variables,2,0)</f>
        <v>10998</v>
      </c>
      <c r="H2861" s="71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-712285000</v>
      </c>
    </row>
    <row r="2862" spans="1:8" x14ac:dyDescent="0.2">
      <c r="A2862" s="66" t="s">
        <v>1244</v>
      </c>
      <c r="B2862" s="66">
        <f t="shared" si="5836"/>
        <v>18</v>
      </c>
      <c r="C2862" s="66">
        <f t="shared" si="5837"/>
        <v>25</v>
      </c>
      <c r="E2862" s="66">
        <f t="shared" ref="E2862" si="5868">plan_id</f>
        <v>1952</v>
      </c>
      <c r="F2862" s="66">
        <f t="shared" ca="1" si="5798"/>
        <v>2016</v>
      </c>
      <c r="G2862" s="66">
        <f t="shared" ref="G2862" ca="1" si="5869">VLOOKUP(INDIRECT(CHAR(39)&amp;$A2862&amp;CHAR(39)&amp;"!r2c"&amp;$C2862,0),variables,2,0)</f>
        <v>10999</v>
      </c>
      <c r="H2862" s="71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4169852000</v>
      </c>
    </row>
    <row r="2863" spans="1:8" x14ac:dyDescent="0.2">
      <c r="A2863" s="66" t="s">
        <v>1244</v>
      </c>
      <c r="B2863" s="66">
        <f t="shared" si="5836"/>
        <v>18</v>
      </c>
      <c r="C2863" s="66">
        <f t="shared" si="5837"/>
        <v>26</v>
      </c>
      <c r="E2863" s="66">
        <f t="shared" ref="E2863" si="5870">plan_id</f>
        <v>1952</v>
      </c>
      <c r="F2863" s="66">
        <f t="shared" ca="1" si="5798"/>
        <v>2016</v>
      </c>
      <c r="G2863" s="66">
        <f t="shared" ref="G2863" ca="1" si="5871">VLOOKUP(INDIRECT(CHAR(39)&amp;$A2863&amp;CHAR(39)&amp;"!r2c"&amp;$C2863,0),variables,2,0)</f>
        <v>11000</v>
      </c>
      <c r="H2863" s="71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99444000</v>
      </c>
    </row>
    <row r="2864" spans="1:8" x14ac:dyDescent="0.2">
      <c r="A2864" s="66" t="s">
        <v>1244</v>
      </c>
      <c r="B2864" s="66">
        <f t="shared" si="5836"/>
        <v>18</v>
      </c>
      <c r="C2864" s="66">
        <f t="shared" si="5837"/>
        <v>27</v>
      </c>
      <c r="E2864" s="66">
        <f t="shared" ref="E2864" si="5872">plan_id</f>
        <v>1952</v>
      </c>
      <c r="F2864" s="66">
        <f t="shared" ca="1" si="5798"/>
        <v>2016</v>
      </c>
      <c r="G2864" s="66">
        <f t="shared" ref="G2864" ca="1" si="5873">VLOOKUP(INDIRECT(CHAR(39)&amp;$A2864&amp;CHAR(39)&amp;"!r2c"&amp;$C2864,0),variables,2,0)</f>
        <v>11001</v>
      </c>
      <c r="H2864" s="71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39695000</v>
      </c>
    </row>
    <row r="2865" spans="1:8" x14ac:dyDescent="0.2">
      <c r="A2865" s="66" t="s">
        <v>1244</v>
      </c>
      <c r="B2865" s="66">
        <f t="shared" si="5836"/>
        <v>18</v>
      </c>
      <c r="C2865" s="66">
        <f t="shared" si="5837"/>
        <v>28</v>
      </c>
      <c r="E2865" s="66">
        <f t="shared" ref="E2865" si="5874">plan_id</f>
        <v>1952</v>
      </c>
      <c r="F2865" s="66">
        <f t="shared" ca="1" si="5798"/>
        <v>2016</v>
      </c>
      <c r="G2865" s="66">
        <f t="shared" ref="G2865" ca="1" si="5875">VLOOKUP(INDIRECT(CHAR(39)&amp;$A2865&amp;CHAR(39)&amp;"!r2c"&amp;$C2865,0),variables,2,0)</f>
        <v>11002</v>
      </c>
      <c r="H2865" s="71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2263000</v>
      </c>
    </row>
    <row r="2866" spans="1:8" x14ac:dyDescent="0.2">
      <c r="A2866" s="66" t="s">
        <v>1244</v>
      </c>
      <c r="B2866" s="66">
        <f t="shared" si="5836"/>
        <v>18</v>
      </c>
      <c r="C2866" s="66">
        <f t="shared" si="5837"/>
        <v>29</v>
      </c>
      <c r="E2866" s="66">
        <f t="shared" ref="E2866" si="5876">plan_id</f>
        <v>1952</v>
      </c>
      <c r="F2866" s="66">
        <f t="shared" ca="1" si="5798"/>
        <v>2016</v>
      </c>
      <c r="G2866" s="66">
        <f t="shared" ref="G2866" ca="1" si="5877">VLOOKUP(INDIRECT(CHAR(39)&amp;$A2866&amp;CHAR(39)&amp;"!r2c"&amp;$C2866,0),variables,2,0)</f>
        <v>11003</v>
      </c>
      <c r="H2866" s="71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4311254000</v>
      </c>
    </row>
    <row r="2867" spans="1:8" x14ac:dyDescent="0.2">
      <c r="A2867" s="66" t="s">
        <v>1244</v>
      </c>
      <c r="B2867" s="66">
        <f t="shared" si="5836"/>
        <v>19</v>
      </c>
      <c r="C2867" s="66">
        <f t="shared" si="5837"/>
        <v>3</v>
      </c>
      <c r="E2867" s="66">
        <f t="shared" ref="E2867" si="5878">plan_id</f>
        <v>1952</v>
      </c>
      <c r="F2867" s="66">
        <f t="shared" ca="1" si="5798"/>
        <v>2017</v>
      </c>
      <c r="G2867" s="66">
        <f t="shared" ref="G2867" ca="1" si="5879">VLOOKUP(INDIRECT(CHAR(39)&amp;$A2867&amp;CHAR(39)&amp;"!r2c"&amp;$C2867,0),variables,2,0)</f>
        <v>10982</v>
      </c>
      <c r="H2867" s="71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66" t="s">
        <v>1244</v>
      </c>
      <c r="B2868" s="66">
        <f t="shared" si="5836"/>
        <v>19</v>
      </c>
      <c r="C2868" s="66">
        <f t="shared" si="5837"/>
        <v>4</v>
      </c>
      <c r="E2868" s="66">
        <f t="shared" ref="E2868" si="5880">plan_id</f>
        <v>1952</v>
      </c>
      <c r="F2868" s="66">
        <f t="shared" ca="1" si="5798"/>
        <v>2017</v>
      </c>
      <c r="G2868" s="66">
        <f t="shared" ref="G2868" ca="1" si="5881">VLOOKUP(INDIRECT(CHAR(39)&amp;$A2868&amp;CHAR(39)&amp;"!r2c"&amp;$C2868,0),variables,2,0)</f>
        <v>10984</v>
      </c>
      <c r="H2868" s="71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66" t="s">
        <v>1244</v>
      </c>
      <c r="B2869" s="66">
        <f t="shared" si="5836"/>
        <v>19</v>
      </c>
      <c r="C2869" s="66">
        <f t="shared" si="5837"/>
        <v>5</v>
      </c>
      <c r="E2869" s="66">
        <f t="shared" ref="E2869" si="5882">plan_id</f>
        <v>1952</v>
      </c>
      <c r="F2869" s="66">
        <f t="shared" ca="1" si="5798"/>
        <v>2017</v>
      </c>
      <c r="G2869" s="66">
        <f t="shared" ref="G2869" ca="1" si="5883">VLOOKUP(INDIRECT(CHAR(39)&amp;$A2869&amp;CHAR(39)&amp;"!r2c"&amp;$C2869,0),variables,2,0)</f>
        <v>10985</v>
      </c>
      <c r="H2869" s="71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66" t="s">
        <v>1244</v>
      </c>
      <c r="B2870" s="66">
        <f t="shared" si="5836"/>
        <v>19</v>
      </c>
      <c r="C2870" s="66">
        <f t="shared" si="5837"/>
        <v>6</v>
      </c>
      <c r="E2870" s="66">
        <f t="shared" ref="E2870" si="5884">plan_id</f>
        <v>1952</v>
      </c>
      <c r="F2870" s="66">
        <f t="shared" ca="1" si="5798"/>
        <v>2017</v>
      </c>
      <c r="G2870" s="66">
        <f t="shared" ref="G2870" ca="1" si="5885">VLOOKUP(INDIRECT(CHAR(39)&amp;$A2870&amp;CHAR(39)&amp;"!r2c"&amp;$C2870,0),variables,2,0)</f>
        <v>10986</v>
      </c>
      <c r="H2870" s="71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66" t="s">
        <v>1244</v>
      </c>
      <c r="B2871" s="66">
        <f t="shared" si="5836"/>
        <v>19</v>
      </c>
      <c r="C2871" s="66">
        <f t="shared" si="5837"/>
        <v>7</v>
      </c>
      <c r="E2871" s="66">
        <f t="shared" ref="E2871" si="5886">plan_id</f>
        <v>1952</v>
      </c>
      <c r="F2871" s="66">
        <f t="shared" ca="1" si="5798"/>
        <v>2017</v>
      </c>
      <c r="G2871" s="66">
        <f t="shared" ref="G2871" ca="1" si="5887">VLOOKUP(INDIRECT(CHAR(39)&amp;$A2871&amp;CHAR(39)&amp;"!r2c"&amp;$C2871,0),variables,2,0)</f>
        <v>10974</v>
      </c>
      <c r="H2871" s="71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2">
      <c r="A2872" s="66" t="s">
        <v>1244</v>
      </c>
      <c r="B2872" s="66">
        <f t="shared" si="5836"/>
        <v>19</v>
      </c>
      <c r="C2872" s="66">
        <f t="shared" si="5837"/>
        <v>8</v>
      </c>
      <c r="E2872" s="66">
        <f t="shared" ref="E2872" si="5888">plan_id</f>
        <v>1952</v>
      </c>
      <c r="F2872" s="66">
        <f t="shared" ca="1" si="5798"/>
        <v>2017</v>
      </c>
      <c r="G2872" s="66">
        <f t="shared" ref="G2872" ca="1" si="5889">VLOOKUP(INDIRECT(CHAR(39)&amp;$A2872&amp;CHAR(39)&amp;"!r2c"&amp;$C2872,0),variables,2,0)</f>
        <v>10987</v>
      </c>
      <c r="H2872" s="71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66" t="s">
        <v>1244</v>
      </c>
      <c r="B2873" s="66">
        <f t="shared" si="5836"/>
        <v>19</v>
      </c>
      <c r="C2873" s="66">
        <f t="shared" si="5837"/>
        <v>9</v>
      </c>
      <c r="E2873" s="66">
        <f t="shared" ref="E2873" si="5890">plan_id</f>
        <v>1952</v>
      </c>
      <c r="F2873" s="66">
        <f t="shared" ca="1" si="5798"/>
        <v>2017</v>
      </c>
      <c r="G2873" s="66">
        <f t="shared" ref="G2873" ca="1" si="5891">VLOOKUP(INDIRECT(CHAR(39)&amp;$A2873&amp;CHAR(39)&amp;"!r2c"&amp;$C2873,0),variables,2,0)</f>
        <v>10885</v>
      </c>
      <c r="H2873" s="71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2317424000</v>
      </c>
    </row>
    <row r="2874" spans="1:8" x14ac:dyDescent="0.2">
      <c r="A2874" s="66" t="s">
        <v>1244</v>
      </c>
      <c r="B2874" s="66">
        <f t="shared" si="5836"/>
        <v>19</v>
      </c>
      <c r="C2874" s="66">
        <f t="shared" si="5837"/>
        <v>10</v>
      </c>
      <c r="E2874" s="66">
        <f t="shared" ref="E2874" si="5892">plan_id</f>
        <v>1952</v>
      </c>
      <c r="F2874" s="66">
        <f t="shared" ca="1" si="5798"/>
        <v>2017</v>
      </c>
      <c r="G2874" s="66">
        <f t="shared" ref="G2874" ca="1" si="5893">VLOOKUP(INDIRECT(CHAR(39)&amp;$A2874&amp;CHAR(39)&amp;"!r2c"&amp;$C2874,0),variables,2,0)</f>
        <v>10886</v>
      </c>
      <c r="H2874" s="71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2187055000</v>
      </c>
    </row>
    <row r="2875" spans="1:8" x14ac:dyDescent="0.2">
      <c r="A2875" s="66" t="s">
        <v>1244</v>
      </c>
      <c r="B2875" s="66">
        <f t="shared" si="5836"/>
        <v>19</v>
      </c>
      <c r="C2875" s="66">
        <f t="shared" si="5837"/>
        <v>11</v>
      </c>
      <c r="E2875" s="66">
        <f t="shared" ref="E2875" si="5894">plan_id</f>
        <v>1952</v>
      </c>
      <c r="F2875" s="66">
        <f t="shared" ca="1" si="5798"/>
        <v>2017</v>
      </c>
      <c r="G2875" s="66">
        <f t="shared" ref="G2875" ca="1" si="5895">VLOOKUP(INDIRECT(CHAR(39)&amp;$A2875&amp;CHAR(39)&amp;"!r2c"&amp;$C2875,0),variables,2,0)</f>
        <v>10887</v>
      </c>
      <c r="H2875" s="71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130369000</v>
      </c>
    </row>
    <row r="2876" spans="1:8" x14ac:dyDescent="0.2">
      <c r="A2876" s="66" t="s">
        <v>1244</v>
      </c>
      <c r="B2876" s="66">
        <f t="shared" si="5836"/>
        <v>19</v>
      </c>
      <c r="C2876" s="66">
        <f t="shared" si="5837"/>
        <v>12</v>
      </c>
      <c r="E2876" s="66">
        <f t="shared" ref="E2876" si="5896">plan_id</f>
        <v>1952</v>
      </c>
      <c r="F2876" s="66">
        <f t="shared" ca="1" si="5798"/>
        <v>2017</v>
      </c>
      <c r="G2876" s="66">
        <f t="shared" ref="G2876" ca="1" si="5897">VLOOKUP(INDIRECT(CHAR(39)&amp;$A2876&amp;CHAR(39)&amp;"!r2c"&amp;$C2876,0),variables,2,0)</f>
        <v>10883</v>
      </c>
      <c r="H2876" s="71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0.94374400196079788</v>
      </c>
    </row>
    <row r="2877" spans="1:8" x14ac:dyDescent="0.2">
      <c r="A2877" s="66" t="s">
        <v>1244</v>
      </c>
      <c r="B2877" s="66">
        <f t="shared" si="5836"/>
        <v>19</v>
      </c>
      <c r="C2877" s="66">
        <f t="shared" si="5837"/>
        <v>13</v>
      </c>
      <c r="E2877" s="66">
        <f t="shared" ref="E2877" si="5898">plan_id</f>
        <v>1952</v>
      </c>
      <c r="F2877" s="66">
        <f t="shared" ca="1" si="5798"/>
        <v>2017</v>
      </c>
      <c r="G2877" s="66">
        <f t="shared" ref="G2877" ca="1" si="5899">VLOOKUP(INDIRECT(CHAR(39)&amp;$A2877&amp;CHAR(39)&amp;"!r2c"&amp;$C2877,0),variables,2,0)</f>
        <v>10989</v>
      </c>
      <c r="H2877" s="71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65203736000</v>
      </c>
    </row>
    <row r="2878" spans="1:8" x14ac:dyDescent="0.2">
      <c r="A2878" s="66" t="s">
        <v>1244</v>
      </c>
      <c r="B2878" s="66">
        <f t="shared" si="5836"/>
        <v>19</v>
      </c>
      <c r="C2878" s="66">
        <f t="shared" si="5837"/>
        <v>14</v>
      </c>
      <c r="E2878" s="66">
        <f t="shared" ref="E2878" si="5900">plan_id</f>
        <v>1952</v>
      </c>
      <c r="F2878" s="66">
        <f t="shared" ca="1" si="5798"/>
        <v>2017</v>
      </c>
      <c r="G2878" s="66">
        <f t="shared" ref="G2878" ca="1" si="5901">VLOOKUP(INDIRECT(CHAR(39)&amp;$A2878&amp;CHAR(39)&amp;"!r2c"&amp;$C2878,0),variables,2,0)</f>
        <v>10990</v>
      </c>
      <c r="H2878" s="71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87118992000</v>
      </c>
    </row>
    <row r="2879" spans="1:8" x14ac:dyDescent="0.2">
      <c r="A2879" s="66" t="s">
        <v>1244</v>
      </c>
      <c r="B2879" s="66">
        <f t="shared" si="5836"/>
        <v>19</v>
      </c>
      <c r="C2879" s="66">
        <f t="shared" si="5837"/>
        <v>15</v>
      </c>
      <c r="E2879" s="66">
        <f t="shared" ref="E2879" si="5902">plan_id</f>
        <v>1952</v>
      </c>
      <c r="F2879" s="66">
        <f t="shared" ca="1" si="5798"/>
        <v>2017</v>
      </c>
      <c r="G2879" s="66">
        <f t="shared" ref="G2879" ca="1" si="5903">VLOOKUP(INDIRECT(CHAR(39)&amp;$A2879&amp;CHAR(39)&amp;"!r2c"&amp;$C2879,0),variables,2,0)</f>
        <v>10991</v>
      </c>
      <c r="H2879" s="71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21915256000</v>
      </c>
    </row>
    <row r="2880" spans="1:8" x14ac:dyDescent="0.2">
      <c r="A2880" s="66" t="s">
        <v>1244</v>
      </c>
      <c r="B2880" s="66">
        <f t="shared" si="5836"/>
        <v>19</v>
      </c>
      <c r="C2880" s="66">
        <f t="shared" si="5837"/>
        <v>16</v>
      </c>
      <c r="E2880" s="66">
        <f t="shared" ref="E2880" si="5904">plan_id</f>
        <v>1952</v>
      </c>
      <c r="F2880" s="66">
        <f t="shared" ca="1" si="5798"/>
        <v>2017</v>
      </c>
      <c r="G2880" s="66">
        <f t="shared" ref="G2880" ca="1" si="5905">VLOOKUP(INDIRECT(CHAR(39)&amp;$A2880&amp;CHAR(39)&amp;"!r2c"&amp;$C2880,0),variables,2,0)</f>
        <v>10992</v>
      </c>
      <c r="H2880" s="71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0.748</v>
      </c>
    </row>
    <row r="2881" spans="1:8" x14ac:dyDescent="0.2">
      <c r="A2881" s="66" t="s">
        <v>1244</v>
      </c>
      <c r="B2881" s="66">
        <f t="shared" si="5836"/>
        <v>19</v>
      </c>
      <c r="C2881" s="66">
        <f t="shared" si="5837"/>
        <v>17</v>
      </c>
      <c r="E2881" s="66">
        <f t="shared" ref="E2881" si="5906">plan_id</f>
        <v>1952</v>
      </c>
      <c r="F2881" s="66">
        <f t="shared" ca="1" si="5798"/>
        <v>2017</v>
      </c>
      <c r="G2881" s="66">
        <f t="shared" ref="G2881" ca="1" si="5907">VLOOKUP(INDIRECT(CHAR(39)&amp;$A2881&amp;CHAR(39)&amp;"!r2c"&amp;$C2881,0),variables,2,0)</f>
        <v>10993</v>
      </c>
      <c r="H2881" s="71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16325998000</v>
      </c>
    </row>
    <row r="2882" spans="1:8" x14ac:dyDescent="0.2">
      <c r="A2882" s="66" t="s">
        <v>1244</v>
      </c>
      <c r="B2882" s="66">
        <f t="shared" si="5836"/>
        <v>19</v>
      </c>
      <c r="C2882" s="66">
        <f t="shared" si="5837"/>
        <v>18</v>
      </c>
      <c r="E2882" s="66">
        <f t="shared" ref="E2882" si="5908">plan_id</f>
        <v>1952</v>
      </c>
      <c r="F2882" s="66">
        <f t="shared" ca="1" si="5798"/>
        <v>2017</v>
      </c>
      <c r="G2882" s="66">
        <f t="shared" ref="G2882" ca="1" si="5909">VLOOKUP(INDIRECT(CHAR(39)&amp;$A2882&amp;CHAR(39)&amp;"!r2c"&amp;$C2882,0),variables,2,0)</f>
        <v>11005</v>
      </c>
      <c r="H2882" s="71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0.14194685066113569</v>
      </c>
    </row>
    <row r="2883" spans="1:8" x14ac:dyDescent="0.2">
      <c r="A2883" s="66" t="s">
        <v>1244</v>
      </c>
      <c r="B2883" s="66">
        <f t="shared" si="5836"/>
        <v>19</v>
      </c>
      <c r="C2883" s="66">
        <f t="shared" si="5837"/>
        <v>19</v>
      </c>
      <c r="E2883" s="66">
        <f t="shared" ref="E2883" si="5910">plan_id</f>
        <v>1952</v>
      </c>
      <c r="F2883" s="66">
        <f t="shared" ca="1" si="5798"/>
        <v>2017</v>
      </c>
      <c r="G2883" s="66">
        <f t="shared" ref="G2883" ca="1" si="5911">VLOOKUP(INDIRECT(CHAR(39)&amp;$A2883&amp;CHAR(39)&amp;"!r2c"&amp;$C2883,0),variables,2,0)</f>
        <v>10988</v>
      </c>
      <c r="H2883" s="71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66" t="s">
        <v>1244</v>
      </c>
      <c r="B2884" s="66">
        <f t="shared" si="5836"/>
        <v>19</v>
      </c>
      <c r="C2884" s="66">
        <f t="shared" si="5837"/>
        <v>20</v>
      </c>
      <c r="E2884" s="66">
        <f t="shared" ref="E2884" si="5912">plan_id</f>
        <v>1952</v>
      </c>
      <c r="F2884" s="66">
        <f t="shared" ca="1" si="5798"/>
        <v>2017</v>
      </c>
      <c r="G2884" s="66">
        <f t="shared" ref="G2884" ca="1" si="5913">VLOOKUP(INDIRECT(CHAR(39)&amp;$A2884&amp;CHAR(39)&amp;"!r2c"&amp;$C2884,0),variables,2,0)</f>
        <v>10996</v>
      </c>
      <c r="H2884" s="71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70342933000</v>
      </c>
    </row>
    <row r="2885" spans="1:8" x14ac:dyDescent="0.2">
      <c r="A2885" s="66" t="s">
        <v>1244</v>
      </c>
      <c r="B2885" s="66">
        <f t="shared" si="5836"/>
        <v>19</v>
      </c>
      <c r="C2885" s="66">
        <f t="shared" si="5837"/>
        <v>21</v>
      </c>
      <c r="E2885" s="66">
        <f t="shared" ref="E2885" si="5914">plan_id</f>
        <v>1952</v>
      </c>
      <c r="F2885" s="66">
        <f t="shared" ca="1" si="5798"/>
        <v>2017</v>
      </c>
      <c r="G2885" s="66">
        <f t="shared" ref="G2885" ca="1" si="5915">VLOOKUP(INDIRECT(CHAR(39)&amp;$A2885&amp;CHAR(39)&amp;"!r2c"&amp;$C2885,0),variables,2,0)</f>
        <v>10997</v>
      </c>
      <c r="H2885" s="71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0.80743511127860612</v>
      </c>
    </row>
    <row r="2886" spans="1:8" x14ac:dyDescent="0.2">
      <c r="A2886" s="66" t="s">
        <v>1244</v>
      </c>
      <c r="B2886" s="66">
        <f t="shared" si="5836"/>
        <v>19</v>
      </c>
      <c r="C2886" s="66">
        <f t="shared" si="5837"/>
        <v>22</v>
      </c>
      <c r="E2886" s="66">
        <f t="shared" ref="E2886" si="5916">plan_id</f>
        <v>1952</v>
      </c>
      <c r="F2886" s="66">
        <f t="shared" ca="1" si="5798"/>
        <v>2017</v>
      </c>
      <c r="G2886" s="66">
        <f t="shared" ref="G2886" ca="1" si="5917">VLOOKUP(INDIRECT(CHAR(39)&amp;$A2886&amp;CHAR(39)&amp;"!r2c"&amp;$C2886,0),variables,2,0)</f>
        <v>10980</v>
      </c>
      <c r="H2886" s="71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66" t="s">
        <v>1244</v>
      </c>
      <c r="B2887" s="66">
        <f t="shared" si="5836"/>
        <v>19</v>
      </c>
      <c r="C2887" s="66">
        <f t="shared" si="5837"/>
        <v>23</v>
      </c>
      <c r="E2887" s="66">
        <f t="shared" ref="E2887" si="5918">plan_id</f>
        <v>1952</v>
      </c>
      <c r="F2887" s="66">
        <f t="shared" ca="1" si="5798"/>
        <v>2017</v>
      </c>
      <c r="G2887" s="66">
        <f t="shared" ref="G2887" ca="1" si="5919">VLOOKUP(INDIRECT(CHAR(39)&amp;$A2887&amp;CHAR(39)&amp;"!r2c"&amp;$C2887,0),variables,2,0)</f>
        <v>10981</v>
      </c>
      <c r="H2887" s="71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66" t="s">
        <v>1244</v>
      </c>
      <c r="B2888" s="66">
        <f t="shared" si="5836"/>
        <v>19</v>
      </c>
      <c r="C2888" s="66">
        <f t="shared" si="5837"/>
        <v>24</v>
      </c>
      <c r="E2888" s="66">
        <f t="shared" ref="E2888" si="5920">plan_id</f>
        <v>1952</v>
      </c>
      <c r="F2888" s="66">
        <f t="shared" ca="1" si="5798"/>
        <v>2017</v>
      </c>
      <c r="G2888" s="66">
        <f t="shared" ref="G2888" ca="1" si="5921">VLOOKUP(INDIRECT(CHAR(39)&amp;$A2888&amp;CHAR(39)&amp;"!r2c"&amp;$C2888,0),variables,2,0)</f>
        <v>10998</v>
      </c>
      <c r="H2888" s="71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-1278218000</v>
      </c>
    </row>
    <row r="2889" spans="1:8" x14ac:dyDescent="0.2">
      <c r="A2889" s="66" t="s">
        <v>1244</v>
      </c>
      <c r="B2889" s="66">
        <f t="shared" si="5836"/>
        <v>19</v>
      </c>
      <c r="C2889" s="66">
        <f t="shared" si="5837"/>
        <v>25</v>
      </c>
      <c r="E2889" s="66">
        <f t="shared" ref="E2889" si="5922">plan_id</f>
        <v>1952</v>
      </c>
      <c r="F2889" s="66">
        <f t="shared" ca="1" si="5798"/>
        <v>2017</v>
      </c>
      <c r="G2889" s="66">
        <f t="shared" ref="G2889" ca="1" si="5923">VLOOKUP(INDIRECT(CHAR(39)&amp;$A2889&amp;CHAR(39)&amp;"!r2c"&amp;$C2889,0),variables,2,0)</f>
        <v>10999</v>
      </c>
      <c r="H2889" s="71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4324025000</v>
      </c>
    </row>
    <row r="2890" spans="1:8" x14ac:dyDescent="0.2">
      <c r="A2890" s="66" t="s">
        <v>1244</v>
      </c>
      <c r="B2890" s="66">
        <f t="shared" si="5836"/>
        <v>19</v>
      </c>
      <c r="C2890" s="66">
        <f t="shared" si="5837"/>
        <v>26</v>
      </c>
      <c r="E2890" s="66">
        <f t="shared" ref="E2890" si="5924">plan_id</f>
        <v>1952</v>
      </c>
      <c r="F2890" s="66">
        <f t="shared" ca="1" si="5798"/>
        <v>2017</v>
      </c>
      <c r="G2890" s="66">
        <f t="shared" ref="G2890" ca="1" si="5925">VLOOKUP(INDIRECT(CHAR(39)&amp;$A2890&amp;CHAR(39)&amp;"!r2c"&amp;$C2890,0),variables,2,0)</f>
        <v>11000</v>
      </c>
      <c r="H2890" s="71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114137000</v>
      </c>
    </row>
    <row r="2891" spans="1:8" x14ac:dyDescent="0.2">
      <c r="A2891" s="66" t="s">
        <v>1244</v>
      </c>
      <c r="B2891" s="66">
        <f t="shared" si="5836"/>
        <v>19</v>
      </c>
      <c r="C2891" s="66">
        <f t="shared" si="5837"/>
        <v>27</v>
      </c>
      <c r="E2891" s="66">
        <f t="shared" ref="E2891" si="5926">plan_id</f>
        <v>1952</v>
      </c>
      <c r="F2891" s="66">
        <f t="shared" ca="1" si="5798"/>
        <v>2017</v>
      </c>
      <c r="G2891" s="66">
        <f t="shared" ref="G2891" ca="1" si="5927">VLOOKUP(INDIRECT(CHAR(39)&amp;$A2891&amp;CHAR(39)&amp;"!r2c"&amp;$C2891,0),variables,2,0)</f>
        <v>11001</v>
      </c>
      <c r="H2891" s="71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44955000</v>
      </c>
    </row>
    <row r="2892" spans="1:8" x14ac:dyDescent="0.2">
      <c r="A2892" s="66" t="s">
        <v>1244</v>
      </c>
      <c r="B2892" s="66">
        <f t="shared" si="5836"/>
        <v>19</v>
      </c>
      <c r="C2892" s="66">
        <f t="shared" si="5837"/>
        <v>28</v>
      </c>
      <c r="E2892" s="66">
        <f t="shared" ref="E2892" si="5928">plan_id</f>
        <v>1952</v>
      </c>
      <c r="F2892" s="66">
        <f t="shared" ref="F2892:F2955" ca="1" si="5929">INDIRECT(CHAR(39)&amp;$A2892&amp;CHAR(39)&amp;"!r"&amp;$B2892&amp;"c2",0)</f>
        <v>2017</v>
      </c>
      <c r="G2892" s="66">
        <f t="shared" ref="G2892" ca="1" si="5930">VLOOKUP(INDIRECT(CHAR(39)&amp;$A2892&amp;CHAR(39)&amp;"!r2c"&amp;$C2892,0),variables,2,0)</f>
        <v>11002</v>
      </c>
      <c r="H2892" s="71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10927000</v>
      </c>
    </row>
    <row r="2893" spans="1:8" x14ac:dyDescent="0.2">
      <c r="A2893" s="66" t="s">
        <v>1244</v>
      </c>
      <c r="B2893" s="66">
        <f t="shared" si="5836"/>
        <v>19</v>
      </c>
      <c r="C2893" s="66">
        <f t="shared" si="5837"/>
        <v>29</v>
      </c>
      <c r="E2893" s="66">
        <f t="shared" ref="E2893" si="5931">plan_id</f>
        <v>1952</v>
      </c>
      <c r="F2893" s="66">
        <f t="shared" ca="1" si="5929"/>
        <v>2017</v>
      </c>
      <c r="G2893" s="66">
        <f t="shared" ref="G2893" ca="1" si="5932">VLOOKUP(INDIRECT(CHAR(39)&amp;$A2893&amp;CHAR(39)&amp;"!r2c"&amp;$C2893,0),variables,2,0)</f>
        <v>11003</v>
      </c>
      <c r="H2893" s="71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4494044000</v>
      </c>
    </row>
    <row r="2894" spans="1:8" x14ac:dyDescent="0.2">
      <c r="A2894" s="66" t="s">
        <v>1244</v>
      </c>
      <c r="B2894" s="66">
        <f t="shared" si="5836"/>
        <v>20</v>
      </c>
      <c r="C2894" s="66">
        <f t="shared" si="5837"/>
        <v>3</v>
      </c>
      <c r="E2894" s="66">
        <f t="shared" ref="E2894" si="5933">plan_id</f>
        <v>1952</v>
      </c>
      <c r="F2894" s="66">
        <f t="shared" ca="1" si="5929"/>
        <v>2018</v>
      </c>
      <c r="G2894" s="66">
        <f t="shared" ref="G2894" ca="1" si="5934">VLOOKUP(INDIRECT(CHAR(39)&amp;$A2894&amp;CHAR(39)&amp;"!r2c"&amp;$C2894,0),variables,2,0)</f>
        <v>10982</v>
      </c>
      <c r="H2894" s="71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66" t="s">
        <v>1244</v>
      </c>
      <c r="B2895" s="66">
        <f t="shared" si="5836"/>
        <v>20</v>
      </c>
      <c r="C2895" s="66">
        <f t="shared" si="5837"/>
        <v>4</v>
      </c>
      <c r="E2895" s="66">
        <f t="shared" ref="E2895" si="5935">plan_id</f>
        <v>1952</v>
      </c>
      <c r="F2895" s="66">
        <f t="shared" ca="1" si="5929"/>
        <v>2018</v>
      </c>
      <c r="G2895" s="66">
        <f t="shared" ref="G2895" ca="1" si="5936">VLOOKUP(INDIRECT(CHAR(39)&amp;$A2895&amp;CHAR(39)&amp;"!r2c"&amp;$C2895,0),variables,2,0)</f>
        <v>10984</v>
      </c>
      <c r="H2895" s="71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66" t="s">
        <v>1244</v>
      </c>
      <c r="B2896" s="66">
        <f t="shared" si="5836"/>
        <v>20</v>
      </c>
      <c r="C2896" s="66">
        <f t="shared" si="5837"/>
        <v>5</v>
      </c>
      <c r="E2896" s="66">
        <f t="shared" ref="E2896" si="5937">plan_id</f>
        <v>1952</v>
      </c>
      <c r="F2896" s="66">
        <f t="shared" ca="1" si="5929"/>
        <v>2018</v>
      </c>
      <c r="G2896" s="66">
        <f t="shared" ref="G2896" ca="1" si="5938">VLOOKUP(INDIRECT(CHAR(39)&amp;$A2896&amp;CHAR(39)&amp;"!r2c"&amp;$C2896,0),variables,2,0)</f>
        <v>10985</v>
      </c>
      <c r="H2896" s="71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66" t="s">
        <v>1244</v>
      </c>
      <c r="B2897" s="66">
        <f t="shared" si="5836"/>
        <v>20</v>
      </c>
      <c r="C2897" s="66">
        <f t="shared" si="5837"/>
        <v>6</v>
      </c>
      <c r="E2897" s="66">
        <f t="shared" ref="E2897" si="5939">plan_id</f>
        <v>1952</v>
      </c>
      <c r="F2897" s="66">
        <f t="shared" ca="1" si="5929"/>
        <v>2018</v>
      </c>
      <c r="G2897" s="66">
        <f t="shared" ref="G2897" ca="1" si="5940">VLOOKUP(INDIRECT(CHAR(39)&amp;$A2897&amp;CHAR(39)&amp;"!r2c"&amp;$C2897,0),variables,2,0)</f>
        <v>10986</v>
      </c>
      <c r="H2897" s="71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66" t="s">
        <v>1244</v>
      </c>
      <c r="B2898" s="66">
        <f t="shared" si="5836"/>
        <v>20</v>
      </c>
      <c r="C2898" s="66">
        <f t="shared" si="5837"/>
        <v>7</v>
      </c>
      <c r="E2898" s="66">
        <f t="shared" ref="E2898" si="5941">plan_id</f>
        <v>1952</v>
      </c>
      <c r="F2898" s="66">
        <f t="shared" ca="1" si="5929"/>
        <v>2018</v>
      </c>
      <c r="G2898" s="66">
        <f t="shared" ref="G2898" ca="1" si="5942">VLOOKUP(INDIRECT(CHAR(39)&amp;$A2898&amp;CHAR(39)&amp;"!r2c"&amp;$C2898,0),variables,2,0)</f>
        <v>10974</v>
      </c>
      <c r="H2898" s="71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2">
      <c r="A2899" s="66" t="s">
        <v>1244</v>
      </c>
      <c r="B2899" s="66">
        <f t="shared" si="5836"/>
        <v>20</v>
      </c>
      <c r="C2899" s="66">
        <f t="shared" si="5837"/>
        <v>8</v>
      </c>
      <c r="E2899" s="66">
        <f t="shared" ref="E2899" si="5943">plan_id</f>
        <v>1952</v>
      </c>
      <c r="F2899" s="66">
        <f t="shared" ca="1" si="5929"/>
        <v>2018</v>
      </c>
      <c r="G2899" s="66">
        <f t="shared" ref="G2899" ca="1" si="5944">VLOOKUP(INDIRECT(CHAR(39)&amp;$A2899&amp;CHAR(39)&amp;"!r2c"&amp;$C2899,0),variables,2,0)</f>
        <v>10987</v>
      </c>
      <c r="H2899" s="71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66" t="s">
        <v>1244</v>
      </c>
      <c r="B2900" s="66">
        <f t="shared" si="5836"/>
        <v>20</v>
      </c>
      <c r="C2900" s="66">
        <f t="shared" si="5837"/>
        <v>9</v>
      </c>
      <c r="E2900" s="66">
        <f t="shared" ref="E2900" si="5945">plan_id</f>
        <v>1952</v>
      </c>
      <c r="F2900" s="66">
        <f t="shared" ca="1" si="5929"/>
        <v>2018</v>
      </c>
      <c r="G2900" s="66">
        <f t="shared" ref="G2900" ca="1" si="5946">VLOOKUP(INDIRECT(CHAR(39)&amp;$A2900&amp;CHAR(39)&amp;"!r2c"&amp;$C2900,0),variables,2,0)</f>
        <v>10885</v>
      </c>
      <c r="H2900" s="71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2384905000</v>
      </c>
    </row>
    <row r="2901" spans="1:8" x14ac:dyDescent="0.2">
      <c r="A2901" s="66" t="s">
        <v>1244</v>
      </c>
      <c r="B2901" s="66">
        <f t="shared" si="5836"/>
        <v>20</v>
      </c>
      <c r="C2901" s="66">
        <f t="shared" si="5837"/>
        <v>10</v>
      </c>
      <c r="E2901" s="66">
        <f t="shared" ref="E2901" si="5947">plan_id</f>
        <v>1952</v>
      </c>
      <c r="F2901" s="66">
        <f t="shared" ca="1" si="5929"/>
        <v>2018</v>
      </c>
      <c r="G2901" s="66">
        <f t="shared" ref="G2901" ca="1" si="5948">VLOOKUP(INDIRECT(CHAR(39)&amp;$A2901&amp;CHAR(39)&amp;"!r2c"&amp;$C2901,0),variables,2,0)</f>
        <v>10886</v>
      </c>
      <c r="H2901" s="71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2385553000</v>
      </c>
    </row>
    <row r="2902" spans="1:8" x14ac:dyDescent="0.2">
      <c r="A2902" s="66" t="s">
        <v>1244</v>
      </c>
      <c r="B2902" s="66">
        <f t="shared" si="5836"/>
        <v>20</v>
      </c>
      <c r="C2902" s="66">
        <f t="shared" si="5837"/>
        <v>11</v>
      </c>
      <c r="E2902" s="66">
        <f t="shared" ref="E2902" si="5949">plan_id</f>
        <v>1952</v>
      </c>
      <c r="F2902" s="66">
        <f t="shared" ca="1" si="5929"/>
        <v>2018</v>
      </c>
      <c r="G2902" s="66">
        <f t="shared" ref="G2902" ca="1" si="5950">VLOOKUP(INDIRECT(CHAR(39)&amp;$A2902&amp;CHAR(39)&amp;"!r2c"&amp;$C2902,0),variables,2,0)</f>
        <v>10887</v>
      </c>
      <c r="H2902" s="71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-648000</v>
      </c>
    </row>
    <row r="2903" spans="1:8" x14ac:dyDescent="0.2">
      <c r="A2903" s="66" t="s">
        <v>1244</v>
      </c>
      <c r="B2903" s="66">
        <f t="shared" si="5836"/>
        <v>20</v>
      </c>
      <c r="C2903" s="66">
        <f t="shared" si="5837"/>
        <v>12</v>
      </c>
      <c r="E2903" s="66">
        <f t="shared" ref="E2903" si="5951">plan_id</f>
        <v>1952</v>
      </c>
      <c r="F2903" s="66">
        <f t="shared" ca="1" si="5929"/>
        <v>2018</v>
      </c>
      <c r="G2903" s="66">
        <f t="shared" ref="G2903" ca="1" si="5952">VLOOKUP(INDIRECT(CHAR(39)&amp;$A2903&amp;CHAR(39)&amp;"!r2c"&amp;$C2903,0),variables,2,0)</f>
        <v>10883</v>
      </c>
      <c r="H2903" s="71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1.0002717089359954</v>
      </c>
    </row>
    <row r="2904" spans="1:8" x14ac:dyDescent="0.2">
      <c r="A2904" s="66" t="s">
        <v>1244</v>
      </c>
      <c r="B2904" s="66">
        <f t="shared" si="5836"/>
        <v>20</v>
      </c>
      <c r="C2904" s="66">
        <f t="shared" si="5837"/>
        <v>13</v>
      </c>
      <c r="E2904" s="66">
        <f t="shared" ref="E2904" si="5953">plan_id</f>
        <v>1952</v>
      </c>
      <c r="F2904" s="66">
        <f t="shared" ca="1" si="5929"/>
        <v>2018</v>
      </c>
      <c r="G2904" s="66">
        <f t="shared" ref="G2904" ca="1" si="5954">VLOOKUP(INDIRECT(CHAR(39)&amp;$A2904&amp;CHAR(39)&amp;"!r2c"&amp;$C2904,0),variables,2,0)</f>
        <v>10989</v>
      </c>
      <c r="H2904" s="71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69214246000</v>
      </c>
    </row>
    <row r="2905" spans="1:8" x14ac:dyDescent="0.2">
      <c r="A2905" s="66" t="s">
        <v>1244</v>
      </c>
      <c r="B2905" s="66">
        <f t="shared" si="5836"/>
        <v>20</v>
      </c>
      <c r="C2905" s="66">
        <f t="shared" si="5837"/>
        <v>14</v>
      </c>
      <c r="E2905" s="66">
        <f t="shared" ref="E2905" si="5955">plan_id</f>
        <v>1952</v>
      </c>
      <c r="F2905" s="66">
        <f t="shared" ca="1" si="5929"/>
        <v>2018</v>
      </c>
      <c r="G2905" s="66">
        <f t="shared" ref="G2905" ca="1" si="5956">VLOOKUP(INDIRECT(CHAR(39)&amp;$A2905&amp;CHAR(39)&amp;"!r2c"&amp;$C2905,0),variables,2,0)</f>
        <v>10990</v>
      </c>
      <c r="H2905" s="71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89851284000</v>
      </c>
    </row>
    <row r="2906" spans="1:8" x14ac:dyDescent="0.2">
      <c r="A2906" s="66" t="s">
        <v>1244</v>
      </c>
      <c r="B2906" s="66">
        <f t="shared" si="5836"/>
        <v>20</v>
      </c>
      <c r="C2906" s="66">
        <f t="shared" si="5837"/>
        <v>15</v>
      </c>
      <c r="E2906" s="66">
        <f t="shared" ref="E2906" si="5957">plan_id</f>
        <v>1952</v>
      </c>
      <c r="F2906" s="66">
        <f t="shared" ca="1" si="5929"/>
        <v>2018</v>
      </c>
      <c r="G2906" s="66">
        <f t="shared" ref="G2906" ca="1" si="5958">VLOOKUP(INDIRECT(CHAR(39)&amp;$A2906&amp;CHAR(39)&amp;"!r2c"&amp;$C2906,0),variables,2,0)</f>
        <v>10991</v>
      </c>
      <c r="H2906" s="71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20637038000</v>
      </c>
    </row>
    <row r="2907" spans="1:8" x14ac:dyDescent="0.2">
      <c r="A2907" s="66" t="s">
        <v>1244</v>
      </c>
      <c r="B2907" s="66">
        <f t="shared" si="5836"/>
        <v>20</v>
      </c>
      <c r="C2907" s="66">
        <f t="shared" si="5837"/>
        <v>16</v>
      </c>
      <c r="E2907" s="66">
        <f t="shared" ref="E2907" si="5959">plan_id</f>
        <v>1952</v>
      </c>
      <c r="F2907" s="66">
        <f t="shared" ca="1" si="5929"/>
        <v>2018</v>
      </c>
      <c r="G2907" s="66">
        <f t="shared" ref="G2907" ca="1" si="5960">VLOOKUP(INDIRECT(CHAR(39)&amp;$A2907&amp;CHAR(39)&amp;"!r2c"&amp;$C2907,0),variables,2,0)</f>
        <v>10992</v>
      </c>
      <c r="H2907" s="71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0.77</v>
      </c>
    </row>
    <row r="2908" spans="1:8" x14ac:dyDescent="0.2">
      <c r="A2908" s="66" t="s">
        <v>1244</v>
      </c>
      <c r="B2908" s="66">
        <f t="shared" si="5836"/>
        <v>20</v>
      </c>
      <c r="C2908" s="66">
        <f t="shared" si="5837"/>
        <v>17</v>
      </c>
      <c r="E2908" s="66">
        <f t="shared" ref="E2908" si="5961">plan_id</f>
        <v>1952</v>
      </c>
      <c r="F2908" s="66">
        <f t="shared" ca="1" si="5929"/>
        <v>2018</v>
      </c>
      <c r="G2908" s="66">
        <f t="shared" ref="G2908" ca="1" si="5962">VLOOKUP(INDIRECT(CHAR(39)&amp;$A2908&amp;CHAR(39)&amp;"!r2c"&amp;$C2908,0),variables,2,0)</f>
        <v>10993</v>
      </c>
      <c r="H2908" s="71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16764876000</v>
      </c>
    </row>
    <row r="2909" spans="1:8" x14ac:dyDescent="0.2">
      <c r="A2909" s="66" t="s">
        <v>1244</v>
      </c>
      <c r="B2909" s="66">
        <f t="shared" si="5836"/>
        <v>20</v>
      </c>
      <c r="C2909" s="66">
        <f t="shared" si="5837"/>
        <v>18</v>
      </c>
      <c r="E2909" s="66">
        <f t="shared" ref="E2909" si="5963">plan_id</f>
        <v>1952</v>
      </c>
      <c r="F2909" s="66">
        <f t="shared" ca="1" si="5929"/>
        <v>2018</v>
      </c>
      <c r="G2909" s="66">
        <f t="shared" ref="G2909" ca="1" si="5964">VLOOKUP(INDIRECT(CHAR(39)&amp;$A2909&amp;CHAR(39)&amp;"!r2c"&amp;$C2909,0),variables,2,0)</f>
        <v>11005</v>
      </c>
      <c r="H2909" s="71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0.142256047703544</v>
      </c>
    </row>
    <row r="2910" spans="1:8" x14ac:dyDescent="0.2">
      <c r="A2910" s="66" t="s">
        <v>1244</v>
      </c>
      <c r="B2910" s="66">
        <f t="shared" si="5836"/>
        <v>20</v>
      </c>
      <c r="C2910" s="66">
        <f t="shared" si="5837"/>
        <v>19</v>
      </c>
      <c r="E2910" s="66">
        <f t="shared" ref="E2910" si="5965">plan_id</f>
        <v>1952</v>
      </c>
      <c r="F2910" s="66">
        <f t="shared" ca="1" si="5929"/>
        <v>2018</v>
      </c>
      <c r="G2910" s="66">
        <f t="shared" ref="G2910" ca="1" si="5966">VLOOKUP(INDIRECT(CHAR(39)&amp;$A2910&amp;CHAR(39)&amp;"!r2c"&amp;$C2910,0),variables,2,0)</f>
        <v>10988</v>
      </c>
      <c r="H2910" s="71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66" t="s">
        <v>1244</v>
      </c>
      <c r="B2911" s="66">
        <f t="shared" ref="B2911:B2974" si="5967">B2884+1</f>
        <v>20</v>
      </c>
      <c r="C2911" s="66">
        <f t="shared" ref="C2911:C2974" si="5968">C2884</f>
        <v>20</v>
      </c>
      <c r="E2911" s="66">
        <f t="shared" ref="E2911" si="5969">plan_id</f>
        <v>1952</v>
      </c>
      <c r="F2911" s="66">
        <f t="shared" ca="1" si="5929"/>
        <v>2018</v>
      </c>
      <c r="G2911" s="66">
        <f t="shared" ref="G2911" ca="1" si="5970">VLOOKUP(INDIRECT(CHAR(39)&amp;$A2911&amp;CHAR(39)&amp;"!r2c"&amp;$C2911,0),variables,2,0)</f>
        <v>10996</v>
      </c>
      <c r="H2911" s="71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74084142000</v>
      </c>
    </row>
    <row r="2912" spans="1:8" x14ac:dyDescent="0.2">
      <c r="A2912" s="66" t="s">
        <v>1244</v>
      </c>
      <c r="B2912" s="66">
        <f t="shared" si="5967"/>
        <v>20</v>
      </c>
      <c r="C2912" s="66">
        <f t="shared" si="5968"/>
        <v>21</v>
      </c>
      <c r="E2912" s="66">
        <f t="shared" ref="E2912" si="5971">plan_id</f>
        <v>1952</v>
      </c>
      <c r="F2912" s="66">
        <f t="shared" ca="1" si="5929"/>
        <v>2018</v>
      </c>
      <c r="G2912" s="66">
        <f t="shared" ref="G2912" ca="1" si="5972">VLOOKUP(INDIRECT(CHAR(39)&amp;$A2912&amp;CHAR(39)&amp;"!r2c"&amp;$C2912,0),variables,2,0)</f>
        <v>10997</v>
      </c>
      <c r="H2912" s="71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0.82451956946992544</v>
      </c>
    </row>
    <row r="2913" spans="1:8" x14ac:dyDescent="0.2">
      <c r="A2913" s="66" t="s">
        <v>1244</v>
      </c>
      <c r="B2913" s="66">
        <f t="shared" si="5967"/>
        <v>20</v>
      </c>
      <c r="C2913" s="66">
        <f t="shared" si="5968"/>
        <v>22</v>
      </c>
      <c r="E2913" s="66">
        <f t="shared" ref="E2913" si="5973">plan_id</f>
        <v>1952</v>
      </c>
      <c r="F2913" s="66">
        <f t="shared" ca="1" si="5929"/>
        <v>2018</v>
      </c>
      <c r="G2913" s="66">
        <f t="shared" ref="G2913" ca="1" si="5974">VLOOKUP(INDIRECT(CHAR(39)&amp;$A2913&amp;CHAR(39)&amp;"!r2c"&amp;$C2913,0),variables,2,0)</f>
        <v>10980</v>
      </c>
      <c r="H2913" s="71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66" t="s">
        <v>1244</v>
      </c>
      <c r="B2914" s="66">
        <f t="shared" si="5967"/>
        <v>20</v>
      </c>
      <c r="C2914" s="66">
        <f t="shared" si="5968"/>
        <v>23</v>
      </c>
      <c r="E2914" s="66">
        <f t="shared" ref="E2914" si="5975">plan_id</f>
        <v>1952</v>
      </c>
      <c r="F2914" s="66">
        <f t="shared" ca="1" si="5929"/>
        <v>2018</v>
      </c>
      <c r="G2914" s="66">
        <f t="shared" ref="G2914" ca="1" si="5976">VLOOKUP(INDIRECT(CHAR(39)&amp;$A2914&amp;CHAR(39)&amp;"!r2c"&amp;$C2914,0),variables,2,0)</f>
        <v>10981</v>
      </c>
      <c r="H2914" s="71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66" t="s">
        <v>1244</v>
      </c>
      <c r="B2915" s="66">
        <f t="shared" si="5967"/>
        <v>20</v>
      </c>
      <c r="C2915" s="66">
        <f t="shared" si="5968"/>
        <v>24</v>
      </c>
      <c r="E2915" s="66">
        <f t="shared" ref="E2915" si="5977">plan_id</f>
        <v>1952</v>
      </c>
      <c r="F2915" s="66">
        <f t="shared" ca="1" si="5929"/>
        <v>2018</v>
      </c>
      <c r="G2915" s="66">
        <f t="shared" ref="G2915" ca="1" si="5978">VLOOKUP(INDIRECT(CHAR(39)&amp;$A2915&amp;CHAR(39)&amp;"!r2c"&amp;$C2915,0),variables,2,0)</f>
        <v>10998</v>
      </c>
      <c r="H2915" s="71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-667015000</v>
      </c>
    </row>
    <row r="2916" spans="1:8" x14ac:dyDescent="0.2">
      <c r="A2916" s="66" t="s">
        <v>1244</v>
      </c>
      <c r="B2916" s="66">
        <f t="shared" si="5967"/>
        <v>20</v>
      </c>
      <c r="C2916" s="66">
        <f t="shared" si="5968"/>
        <v>25</v>
      </c>
      <c r="E2916" s="66">
        <f t="shared" ref="E2916" si="5979">plan_id</f>
        <v>1952</v>
      </c>
      <c r="F2916" s="66">
        <f t="shared" ca="1" si="5929"/>
        <v>2018</v>
      </c>
      <c r="G2916" s="66">
        <f t="shared" ref="G2916" ca="1" si="5980">VLOOKUP(INDIRECT(CHAR(39)&amp;$A2916&amp;CHAR(39)&amp;"!r2c"&amp;$C2916,0),variables,2,0)</f>
        <v>10999</v>
      </c>
      <c r="H2916" s="71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4548751000</v>
      </c>
    </row>
    <row r="2917" spans="1:8" x14ac:dyDescent="0.2">
      <c r="A2917" s="66" t="s">
        <v>1244</v>
      </c>
      <c r="B2917" s="66">
        <f t="shared" si="5967"/>
        <v>20</v>
      </c>
      <c r="C2917" s="66">
        <f t="shared" si="5968"/>
        <v>26</v>
      </c>
      <c r="E2917" s="66">
        <f t="shared" ref="E2917" si="5981">plan_id</f>
        <v>1952</v>
      </c>
      <c r="F2917" s="66">
        <f t="shared" ca="1" si="5929"/>
        <v>2018</v>
      </c>
      <c r="G2917" s="66">
        <f t="shared" ref="G2917" ca="1" si="5982">VLOOKUP(INDIRECT(CHAR(39)&amp;$A2917&amp;CHAR(39)&amp;"!r2c"&amp;$C2917,0),variables,2,0)</f>
        <v>11000</v>
      </c>
      <c r="H2917" s="71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116473000</v>
      </c>
    </row>
    <row r="2918" spans="1:8" x14ac:dyDescent="0.2">
      <c r="A2918" s="66" t="s">
        <v>1244</v>
      </c>
      <c r="B2918" s="66">
        <f t="shared" si="5967"/>
        <v>20</v>
      </c>
      <c r="C2918" s="66">
        <f t="shared" si="5968"/>
        <v>27</v>
      </c>
      <c r="E2918" s="66">
        <f t="shared" ref="E2918" si="5983">plan_id</f>
        <v>1952</v>
      </c>
      <c r="F2918" s="66">
        <f t="shared" ca="1" si="5929"/>
        <v>2018</v>
      </c>
      <c r="G2918" s="66">
        <f t="shared" ref="G2918" ca="1" si="5984">VLOOKUP(INDIRECT(CHAR(39)&amp;$A2918&amp;CHAR(39)&amp;"!r2c"&amp;$C2918,0),variables,2,0)</f>
        <v>11001</v>
      </c>
      <c r="H2918" s="71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44661000</v>
      </c>
    </row>
    <row r="2919" spans="1:8" x14ac:dyDescent="0.2">
      <c r="A2919" s="66" t="s">
        <v>1244</v>
      </c>
      <c r="B2919" s="66">
        <f t="shared" si="5967"/>
        <v>20</v>
      </c>
      <c r="C2919" s="66">
        <f t="shared" si="5968"/>
        <v>28</v>
      </c>
      <c r="E2919" s="66">
        <f t="shared" ref="E2919" si="5985">plan_id</f>
        <v>1952</v>
      </c>
      <c r="F2919" s="66">
        <f t="shared" ca="1" si="5929"/>
        <v>2018</v>
      </c>
      <c r="G2919" s="66">
        <f t="shared" ref="G2919" ca="1" si="5986">VLOOKUP(INDIRECT(CHAR(39)&amp;$A2919&amp;CHAR(39)&amp;"!r2c"&amp;$C2919,0),variables,2,0)</f>
        <v>11002</v>
      </c>
      <c r="H2919" s="71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8750000</v>
      </c>
    </row>
    <row r="2920" spans="1:8" x14ac:dyDescent="0.2">
      <c r="A2920" s="66" t="s">
        <v>1244</v>
      </c>
      <c r="B2920" s="66">
        <f t="shared" si="5967"/>
        <v>20</v>
      </c>
      <c r="C2920" s="66">
        <f t="shared" si="5968"/>
        <v>29</v>
      </c>
      <c r="E2920" s="66">
        <f t="shared" ref="E2920" si="5987">plan_id</f>
        <v>1952</v>
      </c>
      <c r="F2920" s="66">
        <f t="shared" ca="1" si="5929"/>
        <v>2018</v>
      </c>
      <c r="G2920" s="66">
        <f t="shared" ref="G2920" ca="1" si="5988">VLOOKUP(INDIRECT(CHAR(39)&amp;$A2920&amp;CHAR(39)&amp;"!r2c"&amp;$C2920,0),variables,2,0)</f>
        <v>11003</v>
      </c>
      <c r="H2920" s="71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4718635000</v>
      </c>
    </row>
    <row r="2921" spans="1:8" x14ac:dyDescent="0.2">
      <c r="A2921" s="66" t="s">
        <v>1244</v>
      </c>
      <c r="B2921" s="66">
        <f t="shared" si="5967"/>
        <v>21</v>
      </c>
      <c r="C2921" s="66">
        <f t="shared" si="5968"/>
        <v>3</v>
      </c>
      <c r="E2921" s="66">
        <f t="shared" ref="E2921" si="5989">plan_id</f>
        <v>1952</v>
      </c>
      <c r="F2921" s="66">
        <f t="shared" ca="1" si="5929"/>
        <v>2019</v>
      </c>
      <c r="G2921" s="66">
        <f t="shared" ref="G2921" ca="1" si="5990">VLOOKUP(INDIRECT(CHAR(39)&amp;$A2921&amp;CHAR(39)&amp;"!r2c"&amp;$C2921,0),variables,2,0)</f>
        <v>10982</v>
      </c>
      <c r="H2921" s="71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66" t="s">
        <v>1244</v>
      </c>
      <c r="B2922" s="66">
        <f t="shared" si="5967"/>
        <v>21</v>
      </c>
      <c r="C2922" s="66">
        <f t="shared" si="5968"/>
        <v>4</v>
      </c>
      <c r="E2922" s="66">
        <f t="shared" ref="E2922" si="5991">plan_id</f>
        <v>1952</v>
      </c>
      <c r="F2922" s="66">
        <f t="shared" ca="1" si="5929"/>
        <v>2019</v>
      </c>
      <c r="G2922" s="66">
        <f t="shared" ref="G2922" ca="1" si="5992">VLOOKUP(INDIRECT(CHAR(39)&amp;$A2922&amp;CHAR(39)&amp;"!r2c"&amp;$C2922,0),variables,2,0)</f>
        <v>10984</v>
      </c>
      <c r="H2922" s="71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66" t="s">
        <v>1244</v>
      </c>
      <c r="B2923" s="66">
        <f t="shared" si="5967"/>
        <v>21</v>
      </c>
      <c r="C2923" s="66">
        <f t="shared" si="5968"/>
        <v>5</v>
      </c>
      <c r="E2923" s="66">
        <f t="shared" ref="E2923" si="5993">plan_id</f>
        <v>1952</v>
      </c>
      <c r="F2923" s="66">
        <f t="shared" ca="1" si="5929"/>
        <v>2019</v>
      </c>
      <c r="G2923" s="66">
        <f t="shared" ref="G2923" ca="1" si="5994">VLOOKUP(INDIRECT(CHAR(39)&amp;$A2923&amp;CHAR(39)&amp;"!r2c"&amp;$C2923,0),variables,2,0)</f>
        <v>10985</v>
      </c>
      <c r="H2923" s="71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66" t="s">
        <v>1244</v>
      </c>
      <c r="B2924" s="66">
        <f t="shared" si="5967"/>
        <v>21</v>
      </c>
      <c r="C2924" s="66">
        <f t="shared" si="5968"/>
        <v>6</v>
      </c>
      <c r="E2924" s="66">
        <f t="shared" ref="E2924" si="5995">plan_id</f>
        <v>1952</v>
      </c>
      <c r="F2924" s="66">
        <f t="shared" ca="1" si="5929"/>
        <v>2019</v>
      </c>
      <c r="G2924" s="66">
        <f t="shared" ref="G2924" ca="1" si="5996">VLOOKUP(INDIRECT(CHAR(39)&amp;$A2924&amp;CHAR(39)&amp;"!r2c"&amp;$C2924,0),variables,2,0)</f>
        <v>10986</v>
      </c>
      <c r="H2924" s="71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66" t="s">
        <v>1244</v>
      </c>
      <c r="B2925" s="66">
        <f t="shared" si="5967"/>
        <v>21</v>
      </c>
      <c r="C2925" s="66">
        <f t="shared" si="5968"/>
        <v>7</v>
      </c>
      <c r="E2925" s="66">
        <f t="shared" ref="E2925" si="5997">plan_id</f>
        <v>1952</v>
      </c>
      <c r="F2925" s="66">
        <f t="shared" ca="1" si="5929"/>
        <v>2019</v>
      </c>
      <c r="G2925" s="66">
        <f t="shared" ref="G2925" ca="1" si="5998">VLOOKUP(INDIRECT(CHAR(39)&amp;$A2925&amp;CHAR(39)&amp;"!r2c"&amp;$C2925,0),variables,2,0)</f>
        <v>10974</v>
      </c>
      <c r="H2925" s="71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2">
      <c r="A2926" s="66" t="s">
        <v>1244</v>
      </c>
      <c r="B2926" s="66">
        <f t="shared" si="5967"/>
        <v>21</v>
      </c>
      <c r="C2926" s="66">
        <f t="shared" si="5968"/>
        <v>8</v>
      </c>
      <c r="E2926" s="66">
        <f t="shared" ref="E2926" si="5999">plan_id</f>
        <v>1952</v>
      </c>
      <c r="F2926" s="66">
        <f t="shared" ca="1" si="5929"/>
        <v>2019</v>
      </c>
      <c r="G2926" s="66">
        <f t="shared" ref="G2926" ca="1" si="6000">VLOOKUP(INDIRECT(CHAR(39)&amp;$A2926&amp;CHAR(39)&amp;"!r2c"&amp;$C2926,0),variables,2,0)</f>
        <v>10987</v>
      </c>
      <c r="H2926" s="71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66" t="s">
        <v>1244</v>
      </c>
      <c r="B2927" s="66">
        <f t="shared" si="5967"/>
        <v>21</v>
      </c>
      <c r="C2927" s="66">
        <f t="shared" si="5968"/>
        <v>9</v>
      </c>
      <c r="E2927" s="66">
        <f t="shared" ref="E2927" si="6001">plan_id</f>
        <v>1952</v>
      </c>
      <c r="F2927" s="66">
        <f t="shared" ca="1" si="5929"/>
        <v>2019</v>
      </c>
      <c r="G2927" s="66">
        <f t="shared" ref="G2927" ca="1" si="6002">VLOOKUP(INDIRECT(CHAR(39)&amp;$A2927&amp;CHAR(39)&amp;"!r2c"&amp;$C2927,0),variables,2,0)</f>
        <v>10885</v>
      </c>
      <c r="H2927" s="71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2398514000</v>
      </c>
    </row>
    <row r="2928" spans="1:8" x14ac:dyDescent="0.2">
      <c r="A2928" s="66" t="s">
        <v>1244</v>
      </c>
      <c r="B2928" s="66">
        <f t="shared" si="5967"/>
        <v>21</v>
      </c>
      <c r="C2928" s="66">
        <f t="shared" si="5968"/>
        <v>10</v>
      </c>
      <c r="E2928" s="66">
        <f t="shared" ref="E2928" si="6003">plan_id</f>
        <v>1952</v>
      </c>
      <c r="F2928" s="66">
        <f t="shared" ca="1" si="5929"/>
        <v>2019</v>
      </c>
      <c r="G2928" s="66">
        <f t="shared" ref="G2928" ca="1" si="6004">VLOOKUP(INDIRECT(CHAR(39)&amp;$A2928&amp;CHAR(39)&amp;"!r2c"&amp;$C2928,0),variables,2,0)</f>
        <v>10886</v>
      </c>
      <c r="H2928" s="71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2401123000</v>
      </c>
    </row>
    <row r="2929" spans="1:8" x14ac:dyDescent="0.2">
      <c r="A2929" s="66" t="s">
        <v>1244</v>
      </c>
      <c r="B2929" s="66">
        <f t="shared" si="5967"/>
        <v>21</v>
      </c>
      <c r="C2929" s="66">
        <f t="shared" si="5968"/>
        <v>11</v>
      </c>
      <c r="E2929" s="66">
        <f t="shared" ref="E2929" si="6005">plan_id</f>
        <v>1952</v>
      </c>
      <c r="F2929" s="66">
        <f t="shared" ca="1" si="5929"/>
        <v>2019</v>
      </c>
      <c r="G2929" s="66">
        <f t="shared" ref="G2929" ca="1" si="6006">VLOOKUP(INDIRECT(CHAR(39)&amp;$A2929&amp;CHAR(39)&amp;"!r2c"&amp;$C2929,0),variables,2,0)</f>
        <v>10887</v>
      </c>
      <c r="H2929" s="71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-2609000</v>
      </c>
    </row>
    <row r="2930" spans="1:8" x14ac:dyDescent="0.2">
      <c r="A2930" s="66" t="s">
        <v>1244</v>
      </c>
      <c r="B2930" s="66">
        <f t="shared" si="5967"/>
        <v>21</v>
      </c>
      <c r="C2930" s="66">
        <f t="shared" si="5968"/>
        <v>12</v>
      </c>
      <c r="E2930" s="66">
        <f t="shared" ref="E2930" si="6007">plan_id</f>
        <v>1952</v>
      </c>
      <c r="F2930" s="66">
        <f t="shared" ca="1" si="5929"/>
        <v>2019</v>
      </c>
      <c r="G2930" s="66">
        <f t="shared" ref="G2930" ca="1" si="6008">VLOOKUP(INDIRECT(CHAR(39)&amp;$A2930&amp;CHAR(39)&amp;"!r2c"&amp;$C2930,0),variables,2,0)</f>
        <v>10883</v>
      </c>
      <c r="H2930" s="71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1.0010877568361076</v>
      </c>
    </row>
    <row r="2931" spans="1:8" x14ac:dyDescent="0.2">
      <c r="A2931" s="66" t="s">
        <v>1244</v>
      </c>
      <c r="B2931" s="66">
        <f t="shared" si="5967"/>
        <v>21</v>
      </c>
      <c r="C2931" s="66">
        <f t="shared" si="5968"/>
        <v>13</v>
      </c>
      <c r="E2931" s="66">
        <f t="shared" ref="E2931" si="6009">plan_id</f>
        <v>1952</v>
      </c>
      <c r="F2931" s="66">
        <f t="shared" ca="1" si="5929"/>
        <v>2019</v>
      </c>
      <c r="G2931" s="66">
        <f t="shared" ref="G2931" ca="1" si="6010">VLOOKUP(INDIRECT(CHAR(39)&amp;$A2931&amp;CHAR(39)&amp;"!r2c"&amp;$C2931,0),variables,2,0)</f>
        <v>10989</v>
      </c>
      <c r="H2931" s="71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73204795000</v>
      </c>
    </row>
    <row r="2932" spans="1:8" x14ac:dyDescent="0.2">
      <c r="A2932" s="66" t="s">
        <v>1244</v>
      </c>
      <c r="B2932" s="66">
        <f t="shared" si="5967"/>
        <v>21</v>
      </c>
      <c r="C2932" s="66">
        <f t="shared" si="5968"/>
        <v>14</v>
      </c>
      <c r="E2932" s="66">
        <f t="shared" ref="E2932" si="6011">plan_id</f>
        <v>1952</v>
      </c>
      <c r="F2932" s="66">
        <f t="shared" ca="1" si="5929"/>
        <v>2019</v>
      </c>
      <c r="G2932" s="66">
        <f t="shared" ref="G2932" ca="1" si="6012">VLOOKUP(INDIRECT(CHAR(39)&amp;$A2932&amp;CHAR(39)&amp;"!r2c"&amp;$C2932,0),variables,2,0)</f>
        <v>10990</v>
      </c>
      <c r="H2932" s="71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93174818000</v>
      </c>
    </row>
    <row r="2933" spans="1:8" x14ac:dyDescent="0.2">
      <c r="A2933" s="66" t="s">
        <v>1244</v>
      </c>
      <c r="B2933" s="66">
        <f t="shared" si="5967"/>
        <v>21</v>
      </c>
      <c r="C2933" s="66">
        <f t="shared" si="5968"/>
        <v>15</v>
      </c>
      <c r="E2933" s="66">
        <f t="shared" ref="E2933" si="6013">plan_id</f>
        <v>1952</v>
      </c>
      <c r="F2933" s="66">
        <f t="shared" ca="1" si="5929"/>
        <v>2019</v>
      </c>
      <c r="G2933" s="66">
        <f t="shared" ref="G2933" ca="1" si="6014">VLOOKUP(INDIRECT(CHAR(39)&amp;$A2933&amp;CHAR(39)&amp;"!r2c"&amp;$C2933,0),variables,2,0)</f>
        <v>10991</v>
      </c>
      <c r="H2933" s="71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19970023000</v>
      </c>
    </row>
    <row r="2934" spans="1:8" x14ac:dyDescent="0.2">
      <c r="A2934" s="66" t="s">
        <v>1244</v>
      </c>
      <c r="B2934" s="66">
        <f t="shared" si="5967"/>
        <v>21</v>
      </c>
      <c r="C2934" s="66">
        <f t="shared" si="5968"/>
        <v>16</v>
      </c>
      <c r="E2934" s="66">
        <f t="shared" ref="E2934" si="6015">plan_id</f>
        <v>1952</v>
      </c>
      <c r="F2934" s="66">
        <f t="shared" ca="1" si="5929"/>
        <v>2019</v>
      </c>
      <c r="G2934" s="66">
        <f t="shared" ref="G2934" ca="1" si="6016">VLOOKUP(INDIRECT(CHAR(39)&amp;$A2934&amp;CHAR(39)&amp;"!r2c"&amp;$C2934,0),variables,2,0)</f>
        <v>10992</v>
      </c>
      <c r="H2934" s="71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0.78600000000000003</v>
      </c>
    </row>
    <row r="2935" spans="1:8" x14ac:dyDescent="0.2">
      <c r="A2935" s="66" t="s">
        <v>1244</v>
      </c>
      <c r="B2935" s="66">
        <f t="shared" si="5967"/>
        <v>21</v>
      </c>
      <c r="C2935" s="66">
        <f t="shared" si="5968"/>
        <v>17</v>
      </c>
      <c r="E2935" s="66">
        <f t="shared" ref="E2935" si="6017">plan_id</f>
        <v>1952</v>
      </c>
      <c r="F2935" s="66">
        <f t="shared" ca="1" si="5929"/>
        <v>2019</v>
      </c>
      <c r="G2935" s="66">
        <f t="shared" ref="G2935" ca="1" si="6018">VLOOKUP(INDIRECT(CHAR(39)&amp;$A2935&amp;CHAR(39)&amp;"!r2c"&amp;$C2935,0),variables,2,0)</f>
        <v>10993</v>
      </c>
      <c r="H2935" s="71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17614448000</v>
      </c>
    </row>
    <row r="2936" spans="1:8" x14ac:dyDescent="0.2">
      <c r="A2936" s="66" t="s">
        <v>1244</v>
      </c>
      <c r="B2936" s="66">
        <f t="shared" si="5967"/>
        <v>21</v>
      </c>
      <c r="C2936" s="66">
        <f t="shared" si="5968"/>
        <v>18</v>
      </c>
      <c r="E2936" s="66">
        <f t="shared" ref="E2936" si="6019">plan_id</f>
        <v>1952</v>
      </c>
      <c r="F2936" s="66">
        <f t="shared" ca="1" si="5929"/>
        <v>2019</v>
      </c>
      <c r="G2936" s="66">
        <f t="shared" ref="G2936" ca="1" si="6020">VLOOKUP(INDIRECT(CHAR(39)&amp;$A2936&amp;CHAR(39)&amp;"!r2c"&amp;$C2936,0),variables,2,0)</f>
        <v>11005</v>
      </c>
      <c r="H2936" s="71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0.13616742346964264</v>
      </c>
    </row>
    <row r="2937" spans="1:8" x14ac:dyDescent="0.2">
      <c r="A2937" s="66" t="s">
        <v>1244</v>
      </c>
      <c r="B2937" s="66">
        <f t="shared" si="5967"/>
        <v>21</v>
      </c>
      <c r="C2937" s="66">
        <f t="shared" si="5968"/>
        <v>19</v>
      </c>
      <c r="E2937" s="66">
        <f t="shared" ref="E2937" si="6021">plan_id</f>
        <v>1952</v>
      </c>
      <c r="F2937" s="66">
        <f t="shared" ca="1" si="5929"/>
        <v>2019</v>
      </c>
      <c r="G2937" s="66">
        <f t="shared" ref="G2937" ca="1" si="6022">VLOOKUP(INDIRECT(CHAR(39)&amp;$A2937&amp;CHAR(39)&amp;"!r2c"&amp;$C2937,0),variables,2,0)</f>
        <v>10988</v>
      </c>
      <c r="H2937" s="71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66" t="s">
        <v>1244</v>
      </c>
      <c r="B2938" s="66">
        <f t="shared" si="5967"/>
        <v>21</v>
      </c>
      <c r="C2938" s="66">
        <f t="shared" si="5968"/>
        <v>20</v>
      </c>
      <c r="E2938" s="66">
        <f t="shared" ref="E2938" si="6023">plan_id</f>
        <v>1952</v>
      </c>
      <c r="F2938" s="66">
        <f t="shared" ca="1" si="5929"/>
        <v>2019</v>
      </c>
      <c r="G2938" s="66">
        <f t="shared" ref="G2938" ca="1" si="6024">VLOOKUP(INDIRECT(CHAR(39)&amp;$A2938&amp;CHAR(39)&amp;"!r2c"&amp;$C2938,0),variables,2,0)</f>
        <v>10996</v>
      </c>
      <c r="H2938" s="71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77392855000</v>
      </c>
    </row>
    <row r="2939" spans="1:8" x14ac:dyDescent="0.2">
      <c r="A2939" s="66" t="s">
        <v>1244</v>
      </c>
      <c r="B2939" s="66">
        <f t="shared" si="5967"/>
        <v>21</v>
      </c>
      <c r="C2939" s="66">
        <f t="shared" si="5968"/>
        <v>21</v>
      </c>
      <c r="E2939" s="66">
        <f t="shared" ref="E2939" si="6025">plan_id</f>
        <v>1952</v>
      </c>
      <c r="F2939" s="66">
        <f t="shared" ca="1" si="5929"/>
        <v>2019</v>
      </c>
      <c r="G2939" s="66">
        <f t="shared" ref="G2939" ca="1" si="6026">VLOOKUP(INDIRECT(CHAR(39)&amp;$A2939&amp;CHAR(39)&amp;"!r2c"&amp;$C2939,0),variables,2,0)</f>
        <v>10997</v>
      </c>
      <c r="H2939" s="71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0.83061986769858787</v>
      </c>
    </row>
    <row r="2940" spans="1:8" x14ac:dyDescent="0.2">
      <c r="A2940" s="66" t="s">
        <v>1244</v>
      </c>
      <c r="B2940" s="66">
        <f t="shared" si="5967"/>
        <v>21</v>
      </c>
      <c r="C2940" s="66">
        <f t="shared" si="5968"/>
        <v>22</v>
      </c>
      <c r="E2940" s="66">
        <f t="shared" ref="E2940" si="6027">plan_id</f>
        <v>1952</v>
      </c>
      <c r="F2940" s="66">
        <f t="shared" ca="1" si="5929"/>
        <v>2019</v>
      </c>
      <c r="G2940" s="66">
        <f t="shared" ref="G2940" ca="1" si="6028">VLOOKUP(INDIRECT(CHAR(39)&amp;$A2940&amp;CHAR(39)&amp;"!r2c"&amp;$C2940,0),variables,2,0)</f>
        <v>10980</v>
      </c>
      <c r="H2940" s="71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66" t="s">
        <v>1244</v>
      </c>
      <c r="B2941" s="66">
        <f t="shared" si="5967"/>
        <v>21</v>
      </c>
      <c r="C2941" s="66">
        <f t="shared" si="5968"/>
        <v>23</v>
      </c>
      <c r="E2941" s="66">
        <f t="shared" ref="E2941" si="6029">plan_id</f>
        <v>1952</v>
      </c>
      <c r="F2941" s="66">
        <f t="shared" ca="1" si="5929"/>
        <v>2019</v>
      </c>
      <c r="G2941" s="66">
        <f t="shared" ref="G2941" ca="1" si="6030">VLOOKUP(INDIRECT(CHAR(39)&amp;$A2941&amp;CHAR(39)&amp;"!r2c"&amp;$C2941,0),variables,2,0)</f>
        <v>10981</v>
      </c>
      <c r="H2941" s="71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66" t="s">
        <v>1244</v>
      </c>
      <c r="B2942" s="66">
        <f t="shared" si="5967"/>
        <v>21</v>
      </c>
      <c r="C2942" s="66">
        <f t="shared" si="5968"/>
        <v>24</v>
      </c>
      <c r="E2942" s="66">
        <f t="shared" ref="E2942" si="6031">plan_id</f>
        <v>1952</v>
      </c>
      <c r="F2942" s="66">
        <f t="shared" ca="1" si="5929"/>
        <v>2019</v>
      </c>
      <c r="G2942" s="66">
        <f t="shared" ref="G2942" ca="1" si="6032">VLOOKUP(INDIRECT(CHAR(39)&amp;$A2942&amp;CHAR(39)&amp;"!r2c"&amp;$C2942,0),variables,2,0)</f>
        <v>10998</v>
      </c>
      <c r="H2942" s="71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2919800000</v>
      </c>
    </row>
    <row r="2943" spans="1:8" x14ac:dyDescent="0.2">
      <c r="A2943" s="66" t="s">
        <v>1244</v>
      </c>
      <c r="B2943" s="66">
        <f t="shared" si="5967"/>
        <v>21</v>
      </c>
      <c r="C2943" s="66">
        <f t="shared" si="5968"/>
        <v>25</v>
      </c>
      <c r="E2943" s="66">
        <f t="shared" ref="E2943" si="6033">plan_id</f>
        <v>1952</v>
      </c>
      <c r="F2943" s="66">
        <f t="shared" ca="1" si="5929"/>
        <v>2019</v>
      </c>
      <c r="G2943" s="66">
        <f t="shared" ref="G2943" ca="1" si="6034">VLOOKUP(INDIRECT(CHAR(39)&amp;$A2943&amp;CHAR(39)&amp;"!r2c"&amp;$C2943,0),variables,2,0)</f>
        <v>10999</v>
      </c>
      <c r="H2943" s="71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4774664000</v>
      </c>
    </row>
    <row r="2944" spans="1:8" x14ac:dyDescent="0.2">
      <c r="A2944" s="66" t="s">
        <v>1244</v>
      </c>
      <c r="B2944" s="66">
        <f t="shared" si="5967"/>
        <v>21</v>
      </c>
      <c r="C2944" s="66">
        <f t="shared" si="5968"/>
        <v>26</v>
      </c>
      <c r="E2944" s="66">
        <f t="shared" ref="E2944" si="6035">plan_id</f>
        <v>1952</v>
      </c>
      <c r="F2944" s="66">
        <f t="shared" ca="1" si="5929"/>
        <v>2019</v>
      </c>
      <c r="G2944" s="66">
        <f t="shared" ref="G2944" ca="1" si="6036">VLOOKUP(INDIRECT(CHAR(39)&amp;$A2944&amp;CHAR(39)&amp;"!r2c"&amp;$C2944,0),variables,2,0)</f>
        <v>11000</v>
      </c>
      <c r="H2944" s="71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112169000</v>
      </c>
    </row>
    <row r="2945" spans="1:8" x14ac:dyDescent="0.2">
      <c r="A2945" s="66" t="s">
        <v>1244</v>
      </c>
      <c r="B2945" s="66">
        <f t="shared" si="5967"/>
        <v>21</v>
      </c>
      <c r="C2945" s="66">
        <f t="shared" si="5968"/>
        <v>27</v>
      </c>
      <c r="E2945" s="66">
        <f t="shared" ref="E2945" si="6037">plan_id</f>
        <v>1952</v>
      </c>
      <c r="F2945" s="66">
        <f t="shared" ca="1" si="5929"/>
        <v>2019</v>
      </c>
      <c r="G2945" s="66">
        <f t="shared" ref="G2945" ca="1" si="6038">VLOOKUP(INDIRECT(CHAR(39)&amp;$A2945&amp;CHAR(39)&amp;"!r2c"&amp;$C2945,0),variables,2,0)</f>
        <v>11001</v>
      </c>
      <c r="H2945" s="71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48586000</v>
      </c>
    </row>
    <row r="2946" spans="1:8" x14ac:dyDescent="0.2">
      <c r="A2946" s="66" t="s">
        <v>1244</v>
      </c>
      <c r="B2946" s="66">
        <f t="shared" si="5967"/>
        <v>21</v>
      </c>
      <c r="C2946" s="66">
        <f t="shared" si="5968"/>
        <v>28</v>
      </c>
      <c r="E2946" s="66">
        <f t="shared" ref="E2946" si="6039">plan_id</f>
        <v>1952</v>
      </c>
      <c r="F2946" s="66">
        <f t="shared" ca="1" si="5929"/>
        <v>2019</v>
      </c>
      <c r="G2946" s="66">
        <f t="shared" ref="G2946" ca="1" si="6040">VLOOKUP(INDIRECT(CHAR(39)&amp;$A2946&amp;CHAR(39)&amp;"!r2c"&amp;$C2946,0),variables,2,0)</f>
        <v>11002</v>
      </c>
      <c r="H2946" s="71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9282000</v>
      </c>
    </row>
    <row r="2947" spans="1:8" x14ac:dyDescent="0.2">
      <c r="A2947" s="66" t="s">
        <v>1244</v>
      </c>
      <c r="B2947" s="66">
        <f t="shared" si="5967"/>
        <v>21</v>
      </c>
      <c r="C2947" s="66">
        <f t="shared" si="5968"/>
        <v>29</v>
      </c>
      <c r="E2947" s="66">
        <f t="shared" ref="E2947" si="6041">plan_id</f>
        <v>1952</v>
      </c>
      <c r="F2947" s="66">
        <f t="shared" ca="1" si="5929"/>
        <v>2019</v>
      </c>
      <c r="G2947" s="66">
        <f t="shared" ref="G2947" ca="1" si="6042">VLOOKUP(INDIRECT(CHAR(39)&amp;$A2947&amp;CHAR(39)&amp;"!r2c"&amp;$C2947,0),variables,2,0)</f>
        <v>11003</v>
      </c>
      <c r="H2947" s="71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4944701000</v>
      </c>
    </row>
    <row r="2948" spans="1:8" x14ac:dyDescent="0.2">
      <c r="A2948" s="66" t="s">
        <v>1244</v>
      </c>
      <c r="B2948" s="66">
        <f t="shared" si="5967"/>
        <v>22</v>
      </c>
      <c r="C2948" s="66">
        <f t="shared" si="5968"/>
        <v>3</v>
      </c>
      <c r="E2948" s="66">
        <f t="shared" ref="E2948" si="6043">plan_id</f>
        <v>1952</v>
      </c>
      <c r="F2948" s="66">
        <f t="shared" ca="1" si="5929"/>
        <v>2020</v>
      </c>
      <c r="G2948" s="66">
        <f t="shared" ref="G2948" ca="1" si="6044">VLOOKUP(INDIRECT(CHAR(39)&amp;$A2948&amp;CHAR(39)&amp;"!r2c"&amp;$C2948,0),variables,2,0)</f>
        <v>10982</v>
      </c>
      <c r="H2948" s="71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66" t="s">
        <v>1244</v>
      </c>
      <c r="B2949" s="66">
        <f t="shared" si="5967"/>
        <v>22</v>
      </c>
      <c r="C2949" s="66">
        <f t="shared" si="5968"/>
        <v>4</v>
      </c>
      <c r="E2949" s="66">
        <f t="shared" ref="E2949" si="6045">plan_id</f>
        <v>1952</v>
      </c>
      <c r="F2949" s="66">
        <f t="shared" ca="1" si="5929"/>
        <v>2020</v>
      </c>
      <c r="G2949" s="66">
        <f t="shared" ref="G2949" ca="1" si="6046">VLOOKUP(INDIRECT(CHAR(39)&amp;$A2949&amp;CHAR(39)&amp;"!r2c"&amp;$C2949,0),variables,2,0)</f>
        <v>10984</v>
      </c>
      <c r="H2949" s="71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66" t="s">
        <v>1244</v>
      </c>
      <c r="B2950" s="66">
        <f t="shared" si="5967"/>
        <v>22</v>
      </c>
      <c r="C2950" s="66">
        <f t="shared" si="5968"/>
        <v>5</v>
      </c>
      <c r="E2950" s="66">
        <f t="shared" ref="E2950" si="6047">plan_id</f>
        <v>1952</v>
      </c>
      <c r="F2950" s="66">
        <f t="shared" ca="1" si="5929"/>
        <v>2020</v>
      </c>
      <c r="G2950" s="66">
        <f t="shared" ref="G2950" ca="1" si="6048">VLOOKUP(INDIRECT(CHAR(39)&amp;$A2950&amp;CHAR(39)&amp;"!r2c"&amp;$C2950,0),variables,2,0)</f>
        <v>10985</v>
      </c>
      <c r="H2950" s="71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66" t="s">
        <v>1244</v>
      </c>
      <c r="B2951" s="66">
        <f t="shared" si="5967"/>
        <v>22</v>
      </c>
      <c r="C2951" s="66">
        <f t="shared" si="5968"/>
        <v>6</v>
      </c>
      <c r="E2951" s="66">
        <f t="shared" ref="E2951" si="6049">plan_id</f>
        <v>1952</v>
      </c>
      <c r="F2951" s="66">
        <f t="shared" ca="1" si="5929"/>
        <v>2020</v>
      </c>
      <c r="G2951" s="66">
        <f t="shared" ref="G2951" ca="1" si="6050">VLOOKUP(INDIRECT(CHAR(39)&amp;$A2951&amp;CHAR(39)&amp;"!r2c"&amp;$C2951,0),variables,2,0)</f>
        <v>10986</v>
      </c>
      <c r="H2951" s="71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66" t="s">
        <v>1244</v>
      </c>
      <c r="B2952" s="66">
        <f t="shared" si="5967"/>
        <v>22</v>
      </c>
      <c r="C2952" s="66">
        <f t="shared" si="5968"/>
        <v>7</v>
      </c>
      <c r="E2952" s="66">
        <f t="shared" ref="E2952" si="6051">plan_id</f>
        <v>1952</v>
      </c>
      <c r="F2952" s="66">
        <f t="shared" ca="1" si="5929"/>
        <v>2020</v>
      </c>
      <c r="G2952" s="66">
        <f t="shared" ref="G2952" ca="1" si="6052">VLOOKUP(INDIRECT(CHAR(39)&amp;$A2952&amp;CHAR(39)&amp;"!r2c"&amp;$C2952,0),variables,2,0)</f>
        <v>10974</v>
      </c>
      <c r="H2952" s="71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2">
      <c r="A2953" s="66" t="s">
        <v>1244</v>
      </c>
      <c r="B2953" s="66">
        <f t="shared" si="5967"/>
        <v>22</v>
      </c>
      <c r="C2953" s="66">
        <f t="shared" si="5968"/>
        <v>8</v>
      </c>
      <c r="E2953" s="66">
        <f t="shared" ref="E2953" si="6053">plan_id</f>
        <v>1952</v>
      </c>
      <c r="F2953" s="66">
        <f t="shared" ca="1" si="5929"/>
        <v>2020</v>
      </c>
      <c r="G2953" s="66">
        <f t="shared" ref="G2953" ca="1" si="6054">VLOOKUP(INDIRECT(CHAR(39)&amp;$A2953&amp;CHAR(39)&amp;"!r2c"&amp;$C2953,0),variables,2,0)</f>
        <v>10987</v>
      </c>
      <c r="H2953" s="71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66" t="s">
        <v>1244</v>
      </c>
      <c r="B2954" s="66">
        <f t="shared" si="5967"/>
        <v>22</v>
      </c>
      <c r="C2954" s="66">
        <f t="shared" si="5968"/>
        <v>9</v>
      </c>
      <c r="E2954" s="66">
        <f t="shared" ref="E2954" si="6055">plan_id</f>
        <v>1952</v>
      </c>
      <c r="F2954" s="66">
        <f t="shared" ca="1" si="5929"/>
        <v>2020</v>
      </c>
      <c r="G2954" s="66">
        <f t="shared" ref="G2954" ca="1" si="6056">VLOOKUP(INDIRECT(CHAR(39)&amp;$A2954&amp;CHAR(39)&amp;"!r2c"&amp;$C2954,0),variables,2,0)</f>
        <v>10885</v>
      </c>
      <c r="H2954" s="71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2519595000</v>
      </c>
    </row>
    <row r="2955" spans="1:8" x14ac:dyDescent="0.2">
      <c r="A2955" s="66" t="s">
        <v>1244</v>
      </c>
      <c r="B2955" s="66">
        <f t="shared" si="5967"/>
        <v>22</v>
      </c>
      <c r="C2955" s="66">
        <f t="shared" si="5968"/>
        <v>10</v>
      </c>
      <c r="E2955" s="66">
        <f t="shared" ref="E2955" si="6057">plan_id</f>
        <v>1952</v>
      </c>
      <c r="F2955" s="66">
        <f t="shared" ca="1" si="5929"/>
        <v>2020</v>
      </c>
      <c r="G2955" s="66">
        <f t="shared" ref="G2955" ca="1" si="6058">VLOOKUP(INDIRECT(CHAR(39)&amp;$A2955&amp;CHAR(39)&amp;"!r2c"&amp;$C2955,0),variables,2,0)</f>
        <v>10886</v>
      </c>
      <c r="H2955" s="71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2522301000</v>
      </c>
    </row>
    <row r="2956" spans="1:8" x14ac:dyDescent="0.2">
      <c r="A2956" s="66" t="s">
        <v>1244</v>
      </c>
      <c r="B2956" s="66">
        <f t="shared" si="5967"/>
        <v>22</v>
      </c>
      <c r="C2956" s="66">
        <f t="shared" si="5968"/>
        <v>11</v>
      </c>
      <c r="E2956" s="66">
        <f t="shared" ref="E2956" si="6059">plan_id</f>
        <v>1952</v>
      </c>
      <c r="F2956" s="66">
        <f t="shared" ref="F2956:F3200" ca="1" si="6060">INDIRECT(CHAR(39)&amp;$A2956&amp;CHAR(39)&amp;"!r"&amp;$B2956&amp;"c2",0)</f>
        <v>2020</v>
      </c>
      <c r="G2956" s="66">
        <f t="shared" ref="G2956" ca="1" si="6061">VLOOKUP(INDIRECT(CHAR(39)&amp;$A2956&amp;CHAR(39)&amp;"!r2c"&amp;$C2956,0),variables,2,0)</f>
        <v>10887</v>
      </c>
      <c r="H2956" s="71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-2706000</v>
      </c>
    </row>
    <row r="2957" spans="1:8" x14ac:dyDescent="0.2">
      <c r="A2957" s="66" t="s">
        <v>1244</v>
      </c>
      <c r="B2957" s="66">
        <f t="shared" si="5967"/>
        <v>22</v>
      </c>
      <c r="C2957" s="66">
        <f t="shared" si="5968"/>
        <v>12</v>
      </c>
      <c r="E2957" s="66">
        <f t="shared" ref="E2957" si="6062">plan_id</f>
        <v>1952</v>
      </c>
      <c r="F2957" s="66">
        <f t="shared" ca="1" si="6060"/>
        <v>2020</v>
      </c>
      <c r="G2957" s="66">
        <f t="shared" ref="G2957" ca="1" si="6063">VLOOKUP(INDIRECT(CHAR(39)&amp;$A2957&amp;CHAR(39)&amp;"!r2c"&amp;$C2957,0),variables,2,0)</f>
        <v>10883</v>
      </c>
      <c r="H2957" s="71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1.0010739821280801</v>
      </c>
    </row>
    <row r="2958" spans="1:8" x14ac:dyDescent="0.2">
      <c r="A2958" s="66" t="s">
        <v>1244</v>
      </c>
      <c r="B2958" s="66">
        <f t="shared" si="5967"/>
        <v>22</v>
      </c>
      <c r="C2958" s="66">
        <f t="shared" si="5968"/>
        <v>13</v>
      </c>
      <c r="E2958" s="66">
        <f t="shared" ref="E2958" si="6064">plan_id</f>
        <v>1952</v>
      </c>
      <c r="F2958" s="66">
        <f t="shared" ca="1" si="6060"/>
        <v>2020</v>
      </c>
      <c r="G2958" s="66">
        <f t="shared" ref="G2958" ca="1" si="6065">VLOOKUP(INDIRECT(CHAR(39)&amp;$A2958&amp;CHAR(39)&amp;"!r2c"&amp;$C2958,0),variables,2,0)</f>
        <v>10989</v>
      </c>
      <c r="H2958" s="71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76244148000</v>
      </c>
    </row>
    <row r="2959" spans="1:8" x14ac:dyDescent="0.2">
      <c r="A2959" s="66" t="s">
        <v>1244</v>
      </c>
      <c r="B2959" s="66">
        <f t="shared" si="5967"/>
        <v>22</v>
      </c>
      <c r="C2959" s="66">
        <f t="shared" si="5968"/>
        <v>14</v>
      </c>
      <c r="E2959" s="66">
        <f t="shared" ref="E2959" si="6066">plan_id</f>
        <v>1952</v>
      </c>
      <c r="F2959" s="66">
        <f t="shared" ca="1" si="6060"/>
        <v>2020</v>
      </c>
      <c r="G2959" s="66">
        <f t="shared" ref="G2959" ca="1" si="6067">VLOOKUP(INDIRECT(CHAR(39)&amp;$A2959&amp;CHAR(39)&amp;"!r2c"&amp;$C2959,0),variables,2,0)</f>
        <v>10990</v>
      </c>
      <c r="H2959" s="71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99133971000</v>
      </c>
    </row>
    <row r="2960" spans="1:8" x14ac:dyDescent="0.2">
      <c r="A2960" s="66" t="s">
        <v>1244</v>
      </c>
      <c r="B2960" s="66">
        <f t="shared" si="5967"/>
        <v>22</v>
      </c>
      <c r="C2960" s="66">
        <f t="shared" si="5968"/>
        <v>15</v>
      </c>
      <c r="E2960" s="66">
        <f t="shared" ref="E2960" si="6068">plan_id</f>
        <v>1952</v>
      </c>
      <c r="F2960" s="66">
        <f t="shared" ca="1" si="6060"/>
        <v>2020</v>
      </c>
      <c r="G2960" s="66">
        <f t="shared" ref="G2960" ca="1" si="6069">VLOOKUP(INDIRECT(CHAR(39)&amp;$A2960&amp;CHAR(39)&amp;"!r2c"&amp;$C2960,0),variables,2,0)</f>
        <v>10991</v>
      </c>
      <c r="H2960" s="71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22889823000</v>
      </c>
    </row>
    <row r="2961" spans="1:8" x14ac:dyDescent="0.2">
      <c r="A2961" s="66" t="s">
        <v>1244</v>
      </c>
      <c r="B2961" s="66">
        <f t="shared" si="5967"/>
        <v>22</v>
      </c>
      <c r="C2961" s="66">
        <f t="shared" si="5968"/>
        <v>16</v>
      </c>
      <c r="E2961" s="66">
        <f t="shared" ref="E2961" si="6070">plan_id</f>
        <v>1952</v>
      </c>
      <c r="F2961" s="66">
        <f t="shared" ca="1" si="6060"/>
        <v>2020</v>
      </c>
      <c r="G2961" s="66">
        <f t="shared" ref="G2961" ca="1" si="6071">VLOOKUP(INDIRECT(CHAR(39)&amp;$A2961&amp;CHAR(39)&amp;"!r2c"&amp;$C2961,0),variables,2,0)</f>
        <v>10992</v>
      </c>
      <c r="H2961" s="71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0.76900000000000002</v>
      </c>
    </row>
    <row r="2962" spans="1:8" x14ac:dyDescent="0.2">
      <c r="A2962" s="66" t="s">
        <v>1244</v>
      </c>
      <c r="B2962" s="66">
        <f t="shared" si="5967"/>
        <v>22</v>
      </c>
      <c r="C2962" s="66">
        <f t="shared" si="5968"/>
        <v>17</v>
      </c>
      <c r="E2962" s="66">
        <f t="shared" ref="E2962" si="6072">plan_id</f>
        <v>1952</v>
      </c>
      <c r="F2962" s="66">
        <f t="shared" ca="1" si="6060"/>
        <v>2020</v>
      </c>
      <c r="G2962" s="66">
        <f t="shared" ref="G2962" ca="1" si="6073">VLOOKUP(INDIRECT(CHAR(39)&amp;$A2962&amp;CHAR(39)&amp;"!r2c"&amp;$C2962,0),variables,2,0)</f>
        <v>10993</v>
      </c>
      <c r="H2962" s="71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18242017000</v>
      </c>
    </row>
    <row r="2963" spans="1:8" x14ac:dyDescent="0.2">
      <c r="A2963" s="66" t="s">
        <v>1244</v>
      </c>
      <c r="B2963" s="66">
        <f t="shared" si="5967"/>
        <v>22</v>
      </c>
      <c r="C2963" s="66">
        <f t="shared" si="5968"/>
        <v>18</v>
      </c>
      <c r="E2963" s="66">
        <f t="shared" ref="E2963" si="6074">plan_id</f>
        <v>1952</v>
      </c>
      <c r="F2963" s="66">
        <f t="shared" ca="1" si="6060"/>
        <v>2020</v>
      </c>
      <c r="G2963" s="66">
        <f t="shared" ref="G2963" ca="1" si="6075">VLOOKUP(INDIRECT(CHAR(39)&amp;$A2963&amp;CHAR(39)&amp;"!r2c"&amp;$C2963,0),variables,2,0)</f>
        <v>11005</v>
      </c>
      <c r="H2963" s="71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0.13812041727622554</v>
      </c>
    </row>
    <row r="2964" spans="1:8" x14ac:dyDescent="0.2">
      <c r="A2964" s="66" t="s">
        <v>1244</v>
      </c>
      <c r="B2964" s="66">
        <f t="shared" si="5967"/>
        <v>22</v>
      </c>
      <c r="C2964" s="66">
        <f t="shared" si="5968"/>
        <v>19</v>
      </c>
      <c r="E2964" s="66">
        <f t="shared" ref="E2964" si="6076">plan_id</f>
        <v>1952</v>
      </c>
      <c r="F2964" s="66">
        <f t="shared" ca="1" si="6060"/>
        <v>2020</v>
      </c>
      <c r="G2964" s="66">
        <f t="shared" ref="G2964" ca="1" si="6077">VLOOKUP(INDIRECT(CHAR(39)&amp;$A2964&amp;CHAR(39)&amp;"!r2c"&amp;$C2964,0),variables,2,0)</f>
        <v>10988</v>
      </c>
      <c r="H2964" s="71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66" t="s">
        <v>1244</v>
      </c>
      <c r="B2965" s="66">
        <f t="shared" si="5967"/>
        <v>22</v>
      </c>
      <c r="C2965" s="66">
        <f t="shared" si="5968"/>
        <v>20</v>
      </c>
      <c r="E2965" s="66">
        <f t="shared" ref="E2965" si="6078">plan_id</f>
        <v>1952</v>
      </c>
      <c r="F2965" s="66">
        <f t="shared" ca="1" si="6060"/>
        <v>2020</v>
      </c>
      <c r="G2965" s="66">
        <f t="shared" ref="G2965" ca="1" si="6079">VLOOKUP(INDIRECT(CHAR(39)&amp;$A2965&amp;CHAR(39)&amp;"!r2c"&amp;$C2965,0),variables,2,0)</f>
        <v>10996</v>
      </c>
      <c r="H2965" s="71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76453387000</v>
      </c>
    </row>
    <row r="2966" spans="1:8" x14ac:dyDescent="0.2">
      <c r="A2966" s="66" t="s">
        <v>1244</v>
      </c>
      <c r="B2966" s="66">
        <f t="shared" si="5967"/>
        <v>22</v>
      </c>
      <c r="C2966" s="66">
        <f t="shared" si="5968"/>
        <v>21</v>
      </c>
      <c r="E2966" s="66">
        <f t="shared" ref="E2966" si="6080">plan_id</f>
        <v>1952</v>
      </c>
      <c r="F2966" s="66">
        <f t="shared" ca="1" si="6060"/>
        <v>2020</v>
      </c>
      <c r="G2966" s="66">
        <f t="shared" ref="G2966" ca="1" si="6081">VLOOKUP(INDIRECT(CHAR(39)&amp;$A2966&amp;CHAR(39)&amp;"!r2c"&amp;$C2966,0),variables,2,0)</f>
        <v>10997</v>
      </c>
      <c r="H2966" s="71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0.77121279646913365</v>
      </c>
    </row>
    <row r="2967" spans="1:8" x14ac:dyDescent="0.2">
      <c r="A2967" s="66" t="s">
        <v>1244</v>
      </c>
      <c r="B2967" s="66">
        <f t="shared" si="5967"/>
        <v>22</v>
      </c>
      <c r="C2967" s="66">
        <f t="shared" si="5968"/>
        <v>22</v>
      </c>
      <c r="E2967" s="66">
        <f t="shared" ref="E2967" si="6082">plan_id</f>
        <v>1952</v>
      </c>
      <c r="F2967" s="66">
        <f t="shared" ca="1" si="6060"/>
        <v>2020</v>
      </c>
      <c r="G2967" s="66">
        <f t="shared" ref="G2967" ca="1" si="6083">VLOOKUP(INDIRECT(CHAR(39)&amp;$A2967&amp;CHAR(39)&amp;"!r2c"&amp;$C2967,0),variables,2,0)</f>
        <v>10980</v>
      </c>
      <c r="H2967" s="71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66" t="s">
        <v>1244</v>
      </c>
      <c r="B2968" s="66">
        <f t="shared" si="5967"/>
        <v>22</v>
      </c>
      <c r="C2968" s="66">
        <f t="shared" si="5968"/>
        <v>23</v>
      </c>
      <c r="E2968" s="66">
        <f t="shared" ref="E2968" si="6084">plan_id</f>
        <v>1952</v>
      </c>
      <c r="F2968" s="66">
        <f t="shared" ca="1" si="6060"/>
        <v>2020</v>
      </c>
      <c r="G2968" s="66">
        <f t="shared" ref="G2968" ca="1" si="6085">VLOOKUP(INDIRECT(CHAR(39)&amp;$A2968&amp;CHAR(39)&amp;"!r2c"&amp;$C2968,0),variables,2,0)</f>
        <v>10981</v>
      </c>
      <c r="H2968" s="71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66" t="s">
        <v>1244</v>
      </c>
      <c r="B2969" s="66">
        <f t="shared" si="5967"/>
        <v>22</v>
      </c>
      <c r="C2969" s="66">
        <f t="shared" si="5968"/>
        <v>24</v>
      </c>
      <c r="E2969" s="66">
        <f t="shared" ref="E2969" si="6086">plan_id</f>
        <v>1952</v>
      </c>
      <c r="F2969" s="66">
        <f t="shared" ca="1" si="6060"/>
        <v>2020</v>
      </c>
      <c r="G2969" s="66">
        <f t="shared" ref="G2969" ca="1" si="6087">VLOOKUP(INDIRECT(CHAR(39)&amp;$A2969&amp;CHAR(39)&amp;"!r2c"&amp;$C2969,0),variables,2,0)</f>
        <v>10998</v>
      </c>
      <c r="H2969" s="71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243711000</v>
      </c>
    </row>
    <row r="2970" spans="1:8" x14ac:dyDescent="0.2">
      <c r="A2970" s="66" t="s">
        <v>1244</v>
      </c>
      <c r="B2970" s="66">
        <f t="shared" si="5967"/>
        <v>22</v>
      </c>
      <c r="C2970" s="66">
        <f t="shared" si="5968"/>
        <v>25</v>
      </c>
      <c r="E2970" s="66">
        <f t="shared" ref="E2970" si="6088">plan_id</f>
        <v>1952</v>
      </c>
      <c r="F2970" s="66">
        <f t="shared" ca="1" si="6060"/>
        <v>2020</v>
      </c>
      <c r="G2970" s="66">
        <f t="shared" ref="G2970" ca="1" si="6089">VLOOKUP(INDIRECT(CHAR(39)&amp;$A2970&amp;CHAR(39)&amp;"!r2c"&amp;$C2970,0),variables,2,0)</f>
        <v>10999</v>
      </c>
      <c r="H2970" s="71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5033582000</v>
      </c>
    </row>
    <row r="2971" spans="1:8" x14ac:dyDescent="0.2">
      <c r="A2971" s="66" t="s">
        <v>1244</v>
      </c>
      <c r="B2971" s="66">
        <f t="shared" si="5967"/>
        <v>22</v>
      </c>
      <c r="C2971" s="66">
        <f t="shared" si="5968"/>
        <v>26</v>
      </c>
      <c r="E2971" s="66">
        <f t="shared" ref="E2971" si="6090">plan_id</f>
        <v>1952</v>
      </c>
      <c r="F2971" s="66">
        <f t="shared" ca="1" si="6060"/>
        <v>2020</v>
      </c>
      <c r="G2971" s="66">
        <f t="shared" ref="G2971" ca="1" si="6091">VLOOKUP(INDIRECT(CHAR(39)&amp;$A2971&amp;CHAR(39)&amp;"!r2c"&amp;$C2971,0),variables,2,0)</f>
        <v>11000</v>
      </c>
      <c r="H2971" s="71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101961000</v>
      </c>
    </row>
    <row r="2972" spans="1:8" x14ac:dyDescent="0.2">
      <c r="A2972" s="66" t="s">
        <v>1244</v>
      </c>
      <c r="B2972" s="66">
        <f t="shared" si="5967"/>
        <v>22</v>
      </c>
      <c r="C2972" s="66">
        <f t="shared" si="5968"/>
        <v>27</v>
      </c>
      <c r="E2972" s="66">
        <f t="shared" ref="E2972" si="6092">plan_id</f>
        <v>1952</v>
      </c>
      <c r="F2972" s="66">
        <f t="shared" ca="1" si="6060"/>
        <v>2020</v>
      </c>
      <c r="G2972" s="66">
        <f t="shared" ref="G2972" ca="1" si="6093">VLOOKUP(INDIRECT(CHAR(39)&amp;$A2972&amp;CHAR(39)&amp;"!r2c"&amp;$C2972,0),variables,2,0)</f>
        <v>11001</v>
      </c>
      <c r="H2972" s="71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50094000</v>
      </c>
    </row>
    <row r="2973" spans="1:8" x14ac:dyDescent="0.2">
      <c r="A2973" s="66" t="s">
        <v>1244</v>
      </c>
      <c r="B2973" s="66">
        <f t="shared" si="5967"/>
        <v>22</v>
      </c>
      <c r="C2973" s="66">
        <f t="shared" si="5968"/>
        <v>28</v>
      </c>
      <c r="E2973" s="66">
        <f t="shared" ref="E2973" si="6094">plan_id</f>
        <v>1952</v>
      </c>
      <c r="F2973" s="66">
        <f t="shared" ca="1" si="6060"/>
        <v>2020</v>
      </c>
      <c r="G2973" s="66">
        <f t="shared" ref="G2973" ca="1" si="6095">VLOOKUP(INDIRECT(CHAR(39)&amp;$A2973&amp;CHAR(39)&amp;"!r2c"&amp;$C2973,0),variables,2,0)</f>
        <v>11002</v>
      </c>
      <c r="H2973" s="71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3705000</v>
      </c>
    </row>
    <row r="2974" spans="1:8" x14ac:dyDescent="0.2">
      <c r="A2974" s="66" t="s">
        <v>1244</v>
      </c>
      <c r="B2974" s="66">
        <f t="shared" si="5967"/>
        <v>22</v>
      </c>
      <c r="C2974" s="66">
        <f t="shared" si="5968"/>
        <v>29</v>
      </c>
      <c r="E2974" s="66">
        <f t="shared" ref="E2974" si="6096">plan_id</f>
        <v>1952</v>
      </c>
      <c r="F2974" s="66">
        <f t="shared" ca="1" si="6060"/>
        <v>2020</v>
      </c>
      <c r="G2974" s="66">
        <f t="shared" ref="G2974" ca="1" si="6097">VLOOKUP(INDIRECT(CHAR(39)&amp;$A2974&amp;CHAR(39)&amp;"!r2c"&amp;$C2974,0),variables,2,0)</f>
        <v>11003</v>
      </c>
      <c r="H2974" s="71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5189342000</v>
      </c>
    </row>
    <row r="2975" spans="1:8" x14ac:dyDescent="0.2">
      <c r="A2975" s="66" t="s">
        <v>1244</v>
      </c>
      <c r="B2975" s="66">
        <f t="shared" ref="B2975:B3001" si="6098">B2948+1</f>
        <v>23</v>
      </c>
      <c r="C2975" s="66">
        <f t="shared" ref="C2975:C3001" si="6099">C2948</f>
        <v>3</v>
      </c>
      <c r="E2975" s="66">
        <f t="shared" ref="E2975" si="6100">plan_id</f>
        <v>1952</v>
      </c>
      <c r="F2975" s="66">
        <f t="shared" ca="1" si="6060"/>
        <v>2021</v>
      </c>
      <c r="G2975" s="66">
        <f t="shared" ref="G2975" ca="1" si="6101">VLOOKUP(INDIRECT(CHAR(39)&amp;$A2975&amp;CHAR(39)&amp;"!r2c"&amp;$C2975,0),variables,2,0)</f>
        <v>10982</v>
      </c>
      <c r="H2975" s="71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66" t="s">
        <v>1244</v>
      </c>
      <c r="B2976" s="66">
        <f t="shared" si="6098"/>
        <v>23</v>
      </c>
      <c r="C2976" s="66">
        <f t="shared" si="6099"/>
        <v>4</v>
      </c>
      <c r="E2976" s="66">
        <f t="shared" ref="E2976" si="6102">plan_id</f>
        <v>1952</v>
      </c>
      <c r="F2976" s="66">
        <f t="shared" ca="1" si="6060"/>
        <v>2021</v>
      </c>
      <c r="G2976" s="66">
        <f t="shared" ref="G2976" ca="1" si="6103">VLOOKUP(INDIRECT(CHAR(39)&amp;$A2976&amp;CHAR(39)&amp;"!r2c"&amp;$C2976,0),variables,2,0)</f>
        <v>10984</v>
      </c>
      <c r="H2976" s="71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66" t="s">
        <v>1244</v>
      </c>
      <c r="B2977" s="66">
        <f t="shared" si="6098"/>
        <v>23</v>
      </c>
      <c r="C2977" s="66">
        <f t="shared" si="6099"/>
        <v>5</v>
      </c>
      <c r="E2977" s="66">
        <f t="shared" ref="E2977" si="6104">plan_id</f>
        <v>1952</v>
      </c>
      <c r="F2977" s="66">
        <f t="shared" ca="1" si="6060"/>
        <v>2021</v>
      </c>
      <c r="G2977" s="66">
        <f t="shared" ref="G2977" ca="1" si="6105">VLOOKUP(INDIRECT(CHAR(39)&amp;$A2977&amp;CHAR(39)&amp;"!r2c"&amp;$C2977,0),variables,2,0)</f>
        <v>10985</v>
      </c>
      <c r="H2977" s="71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66" t="s">
        <v>1244</v>
      </c>
      <c r="B2978" s="66">
        <f t="shared" si="6098"/>
        <v>23</v>
      </c>
      <c r="C2978" s="66">
        <f t="shared" si="6099"/>
        <v>6</v>
      </c>
      <c r="E2978" s="66">
        <f t="shared" ref="E2978" si="6106">plan_id</f>
        <v>1952</v>
      </c>
      <c r="F2978" s="66">
        <f t="shared" ca="1" si="6060"/>
        <v>2021</v>
      </c>
      <c r="G2978" s="66">
        <f t="shared" ref="G2978" ca="1" si="6107">VLOOKUP(INDIRECT(CHAR(39)&amp;$A2978&amp;CHAR(39)&amp;"!r2c"&amp;$C2978,0),variables,2,0)</f>
        <v>10986</v>
      </c>
      <c r="H2978" s="71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66" t="s">
        <v>1244</v>
      </c>
      <c r="B2979" s="66">
        <f t="shared" si="6098"/>
        <v>23</v>
      </c>
      <c r="C2979" s="66">
        <f t="shared" si="6099"/>
        <v>7</v>
      </c>
      <c r="E2979" s="66">
        <f t="shared" ref="E2979" si="6108">plan_id</f>
        <v>1952</v>
      </c>
      <c r="F2979" s="66">
        <f t="shared" ca="1" si="6060"/>
        <v>2021</v>
      </c>
      <c r="G2979" s="66">
        <f t="shared" ref="G2979" ca="1" si="6109">VLOOKUP(INDIRECT(CHAR(39)&amp;$A2979&amp;CHAR(39)&amp;"!r2c"&amp;$C2979,0),variables,2,0)</f>
        <v>10974</v>
      </c>
      <c r="H2979" s="71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2">
      <c r="A2980" s="66" t="s">
        <v>1244</v>
      </c>
      <c r="B2980" s="66">
        <f t="shared" si="6098"/>
        <v>23</v>
      </c>
      <c r="C2980" s="66">
        <f t="shared" si="6099"/>
        <v>8</v>
      </c>
      <c r="E2980" s="66">
        <f t="shared" ref="E2980" si="6110">plan_id</f>
        <v>1952</v>
      </c>
      <c r="F2980" s="66">
        <f t="shared" ca="1" si="6060"/>
        <v>2021</v>
      </c>
      <c r="G2980" s="66">
        <f t="shared" ref="G2980" ca="1" si="6111">VLOOKUP(INDIRECT(CHAR(39)&amp;$A2980&amp;CHAR(39)&amp;"!r2c"&amp;$C2980,0),variables,2,0)</f>
        <v>10987</v>
      </c>
      <c r="H2980" s="71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66" t="s">
        <v>1244</v>
      </c>
      <c r="B2981" s="66">
        <f t="shared" si="6098"/>
        <v>23</v>
      </c>
      <c r="C2981" s="66">
        <f t="shared" si="6099"/>
        <v>9</v>
      </c>
      <c r="E2981" s="66">
        <f t="shared" ref="E2981" si="6112">plan_id</f>
        <v>1952</v>
      </c>
      <c r="F2981" s="66">
        <f t="shared" ca="1" si="6060"/>
        <v>2021</v>
      </c>
      <c r="G2981" s="66">
        <f t="shared" ref="G2981" ca="1" si="6113">VLOOKUP(INDIRECT(CHAR(39)&amp;$A2981&amp;CHAR(39)&amp;"!r2c"&amp;$C2981,0),variables,2,0)</f>
        <v>10885</v>
      </c>
      <c r="H2981" s="71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2716524000</v>
      </c>
    </row>
    <row r="2982" spans="1:8" x14ac:dyDescent="0.2">
      <c r="A2982" s="66" t="s">
        <v>1244</v>
      </c>
      <c r="B2982" s="66">
        <f t="shared" si="6098"/>
        <v>23</v>
      </c>
      <c r="C2982" s="66">
        <f t="shared" si="6099"/>
        <v>10</v>
      </c>
      <c r="E2982" s="66">
        <f t="shared" ref="E2982" si="6114">plan_id</f>
        <v>1952</v>
      </c>
      <c r="F2982" s="66">
        <f t="shared" ca="1" si="6060"/>
        <v>2021</v>
      </c>
      <c r="G2982" s="66">
        <f t="shared" ref="G2982" ca="1" si="6115">VLOOKUP(INDIRECT(CHAR(39)&amp;$A2982&amp;CHAR(39)&amp;"!r2c"&amp;$C2982,0),variables,2,0)</f>
        <v>10886</v>
      </c>
      <c r="H2982" s="71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2716563000</v>
      </c>
    </row>
    <row r="2983" spans="1:8" x14ac:dyDescent="0.2">
      <c r="A2983" s="66" t="s">
        <v>1244</v>
      </c>
      <c r="B2983" s="66">
        <f t="shared" si="6098"/>
        <v>23</v>
      </c>
      <c r="C2983" s="66">
        <f t="shared" si="6099"/>
        <v>11</v>
      </c>
      <c r="E2983" s="66">
        <f t="shared" ref="E2983" si="6116">plan_id</f>
        <v>1952</v>
      </c>
      <c r="F2983" s="66">
        <f t="shared" ca="1" si="6060"/>
        <v>2021</v>
      </c>
      <c r="G2983" s="66">
        <f t="shared" ref="G2983" ca="1" si="6117">VLOOKUP(INDIRECT(CHAR(39)&amp;$A2983&amp;CHAR(39)&amp;"!r2c"&amp;$C2983,0),variables,2,0)</f>
        <v>10887</v>
      </c>
      <c r="H2983" s="71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-39000</v>
      </c>
    </row>
    <row r="2984" spans="1:8" x14ac:dyDescent="0.2">
      <c r="A2984" s="66" t="s">
        <v>1244</v>
      </c>
      <c r="B2984" s="66">
        <f t="shared" si="6098"/>
        <v>23</v>
      </c>
      <c r="C2984" s="66">
        <f t="shared" si="6099"/>
        <v>12</v>
      </c>
      <c r="E2984" s="66">
        <f t="shared" ref="E2984" si="6118">plan_id</f>
        <v>1952</v>
      </c>
      <c r="F2984" s="66">
        <f t="shared" ca="1" si="6060"/>
        <v>2021</v>
      </c>
      <c r="G2984" s="66">
        <f t="shared" ref="G2984" ca="1" si="6119">VLOOKUP(INDIRECT(CHAR(39)&amp;$A2984&amp;CHAR(39)&amp;"!r2c"&amp;$C2984,0),variables,2,0)</f>
        <v>10883</v>
      </c>
      <c r="H2984" s="71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1.0000143565821615</v>
      </c>
    </row>
    <row r="2985" spans="1:8" x14ac:dyDescent="0.2">
      <c r="A2985" s="66" t="s">
        <v>1244</v>
      </c>
      <c r="B2985" s="66">
        <f t="shared" si="6098"/>
        <v>23</v>
      </c>
      <c r="C2985" s="66">
        <f t="shared" si="6099"/>
        <v>13</v>
      </c>
      <c r="E2985" s="66">
        <f t="shared" ref="E2985" si="6120">plan_id</f>
        <v>1952</v>
      </c>
      <c r="F2985" s="66">
        <f t="shared" ca="1" si="6060"/>
        <v>2021</v>
      </c>
      <c r="G2985" s="66">
        <f t="shared" ref="G2985" ca="1" si="6121">VLOOKUP(INDIRECT(CHAR(39)&amp;$A2985&amp;CHAR(39)&amp;"!r2c"&amp;$C2985,0),variables,2,0)</f>
        <v>10989</v>
      </c>
      <c r="H2985" s="71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78759722000</v>
      </c>
    </row>
    <row r="2986" spans="1:8" x14ac:dyDescent="0.2">
      <c r="A2986" s="66" t="s">
        <v>1244</v>
      </c>
      <c r="B2986" s="66">
        <f t="shared" si="6098"/>
        <v>23</v>
      </c>
      <c r="C2986" s="66">
        <f t="shared" si="6099"/>
        <v>14</v>
      </c>
      <c r="E2986" s="66">
        <f t="shared" ref="E2986" si="6122">plan_id</f>
        <v>1952</v>
      </c>
      <c r="F2986" s="66">
        <f t="shared" ca="1" si="6060"/>
        <v>2021</v>
      </c>
      <c r="G2986" s="66">
        <f t="shared" ref="G2986" ca="1" si="6123">VLOOKUP(INDIRECT(CHAR(39)&amp;$A2986&amp;CHAR(39)&amp;"!r2c"&amp;$C2986,0),variables,2,0)</f>
        <v>10990</v>
      </c>
      <c r="H2986" s="71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101893256000</v>
      </c>
    </row>
    <row r="2987" spans="1:8" x14ac:dyDescent="0.2">
      <c r="A2987" s="66" t="s">
        <v>1244</v>
      </c>
      <c r="B2987" s="66">
        <f t="shared" si="6098"/>
        <v>23</v>
      </c>
      <c r="C2987" s="66">
        <f t="shared" si="6099"/>
        <v>15</v>
      </c>
      <c r="E2987" s="66">
        <f t="shared" ref="E2987" si="6124">plan_id</f>
        <v>1952</v>
      </c>
      <c r="F2987" s="66">
        <f t="shared" ca="1" si="6060"/>
        <v>2021</v>
      </c>
      <c r="G2987" s="66">
        <f t="shared" ref="G2987" ca="1" si="6125">VLOOKUP(INDIRECT(CHAR(39)&amp;$A2987&amp;CHAR(39)&amp;"!r2c"&amp;$C2987,0),variables,2,0)</f>
        <v>10991</v>
      </c>
      <c r="H2987" s="71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23133534000</v>
      </c>
    </row>
    <row r="2988" spans="1:8" x14ac:dyDescent="0.2">
      <c r="A2988" s="66" t="s">
        <v>1244</v>
      </c>
      <c r="B2988" s="66">
        <f t="shared" si="6098"/>
        <v>23</v>
      </c>
      <c r="C2988" s="66">
        <f t="shared" si="6099"/>
        <v>16</v>
      </c>
      <c r="E2988" s="66">
        <f t="shared" ref="E2988" si="6126">plan_id</f>
        <v>1952</v>
      </c>
      <c r="F2988" s="66">
        <f t="shared" ca="1" si="6060"/>
        <v>2021</v>
      </c>
      <c r="G2988" s="66">
        <f t="shared" ref="G2988" ca="1" si="6127">VLOOKUP(INDIRECT(CHAR(39)&amp;$A2988&amp;CHAR(39)&amp;"!r2c"&amp;$C2988,0),variables,2,0)</f>
        <v>10992</v>
      </c>
      <c r="H2988" s="71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0.77300000000000002</v>
      </c>
    </row>
    <row r="2989" spans="1:8" x14ac:dyDescent="0.2">
      <c r="A2989" s="66" t="s">
        <v>1244</v>
      </c>
      <c r="B2989" s="66">
        <f t="shared" si="6098"/>
        <v>23</v>
      </c>
      <c r="C2989" s="66">
        <f t="shared" si="6099"/>
        <v>17</v>
      </c>
      <c r="E2989" s="66">
        <f t="shared" ref="E2989" si="6128">plan_id</f>
        <v>1952</v>
      </c>
      <c r="F2989" s="66">
        <f t="shared" ca="1" si="6060"/>
        <v>2021</v>
      </c>
      <c r="G2989" s="66">
        <f t="shared" ref="G2989" ca="1" si="6129">VLOOKUP(INDIRECT(CHAR(39)&amp;$A2989&amp;CHAR(39)&amp;"!r2c"&amp;$C2989,0),variables,2,0)</f>
        <v>10993</v>
      </c>
      <c r="H2989" s="71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18749343000</v>
      </c>
    </row>
    <row r="2990" spans="1:8" x14ac:dyDescent="0.2">
      <c r="A2990" s="66" t="s">
        <v>1244</v>
      </c>
      <c r="B2990" s="66">
        <f t="shared" si="6098"/>
        <v>23</v>
      </c>
      <c r="C2990" s="66">
        <f t="shared" si="6099"/>
        <v>18</v>
      </c>
      <c r="E2990" s="66">
        <f t="shared" ref="E2990" si="6130">plan_id</f>
        <v>1952</v>
      </c>
      <c r="F2990" s="66">
        <f t="shared" ca="1" si="6060"/>
        <v>2021</v>
      </c>
      <c r="G2990" s="66">
        <f t="shared" ref="G2990" ca="1" si="6131">VLOOKUP(INDIRECT(CHAR(39)&amp;$A2990&amp;CHAR(39)&amp;"!r2c"&amp;$C2990,0),variables,2,0)</f>
        <v>11005</v>
      </c>
      <c r="H2990" s="71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0.1448863568179429</v>
      </c>
    </row>
    <row r="2991" spans="1:8" x14ac:dyDescent="0.2">
      <c r="A2991" s="66" t="s">
        <v>1244</v>
      </c>
      <c r="B2991" s="66">
        <f t="shared" si="6098"/>
        <v>23</v>
      </c>
      <c r="C2991" s="66">
        <f t="shared" si="6099"/>
        <v>19</v>
      </c>
      <c r="E2991" s="66">
        <f t="shared" ref="E2991" si="6132">plan_id</f>
        <v>1952</v>
      </c>
      <c r="F2991" s="66">
        <f t="shared" ca="1" si="6060"/>
        <v>2021</v>
      </c>
      <c r="G2991" s="66">
        <f t="shared" ref="G2991" ca="1" si="6133">VLOOKUP(INDIRECT(CHAR(39)&amp;$A2991&amp;CHAR(39)&amp;"!r2c"&amp;$C2991,0),variables,2,0)</f>
        <v>10988</v>
      </c>
      <c r="H2991" s="71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66" t="s">
        <v>1244</v>
      </c>
      <c r="B2992" s="66">
        <f t="shared" si="6098"/>
        <v>23</v>
      </c>
      <c r="C2992" s="66">
        <f t="shared" si="6099"/>
        <v>20</v>
      </c>
      <c r="E2992" s="66">
        <f t="shared" ref="E2992" si="6134">plan_id</f>
        <v>1952</v>
      </c>
      <c r="F2992" s="66">
        <f t="shared" ca="1" si="6060"/>
        <v>2021</v>
      </c>
      <c r="G2992" s="66">
        <f t="shared" ref="G2992" ca="1" si="6135">VLOOKUP(INDIRECT(CHAR(39)&amp;$A2992&amp;CHAR(39)&amp;"!r2c"&amp;$C2992,0),variables,2,0)</f>
        <v>10996</v>
      </c>
      <c r="H2992" s="71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95288645000</v>
      </c>
    </row>
    <row r="2993" spans="1:8" x14ac:dyDescent="0.2">
      <c r="A2993" s="66" t="s">
        <v>1244</v>
      </c>
      <c r="B2993" s="66">
        <f t="shared" si="6098"/>
        <v>23</v>
      </c>
      <c r="C2993" s="66">
        <f t="shared" si="6099"/>
        <v>21</v>
      </c>
      <c r="E2993" s="66">
        <f t="shared" ref="E2993" si="6136">plan_id</f>
        <v>1952</v>
      </c>
      <c r="F2993" s="66">
        <f t="shared" ca="1" si="6060"/>
        <v>2021</v>
      </c>
      <c r="G2993" s="66">
        <f t="shared" ref="G2993" ca="1" si="6137">VLOOKUP(INDIRECT(CHAR(39)&amp;$A2993&amp;CHAR(39)&amp;"!r2c"&amp;$C2993,0),variables,2,0)</f>
        <v>10997</v>
      </c>
      <c r="H2993" s="71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0.93518107812748663</v>
      </c>
    </row>
    <row r="2994" spans="1:8" x14ac:dyDescent="0.2">
      <c r="A2994" s="66" t="s">
        <v>1244</v>
      </c>
      <c r="B2994" s="66">
        <f t="shared" si="6098"/>
        <v>23</v>
      </c>
      <c r="C2994" s="66">
        <f t="shared" si="6099"/>
        <v>22</v>
      </c>
      <c r="E2994" s="66">
        <f t="shared" ref="E2994" si="6138">plan_id</f>
        <v>1952</v>
      </c>
      <c r="F2994" s="66">
        <f t="shared" ca="1" si="6060"/>
        <v>2021</v>
      </c>
      <c r="G2994" s="66">
        <f t="shared" ref="G2994" ca="1" si="6139">VLOOKUP(INDIRECT(CHAR(39)&amp;$A2994&amp;CHAR(39)&amp;"!r2c"&amp;$C2994,0),variables,2,0)</f>
        <v>10980</v>
      </c>
      <c r="H2994" s="71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66" t="s">
        <v>1244</v>
      </c>
      <c r="B2995" s="66">
        <f t="shared" si="6098"/>
        <v>23</v>
      </c>
      <c r="C2995" s="66">
        <f t="shared" si="6099"/>
        <v>23</v>
      </c>
      <c r="E2995" s="66">
        <f t="shared" ref="E2995" si="6140">plan_id</f>
        <v>1952</v>
      </c>
      <c r="F2995" s="66">
        <f t="shared" ca="1" si="6060"/>
        <v>2021</v>
      </c>
      <c r="G2995" s="66">
        <f t="shared" ref="G2995" ca="1" si="6141">VLOOKUP(INDIRECT(CHAR(39)&amp;$A2995&amp;CHAR(39)&amp;"!r2c"&amp;$C2995,0),variables,2,0)</f>
        <v>10981</v>
      </c>
      <c r="H2995" s="71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66" t="s">
        <v>1244</v>
      </c>
      <c r="B2996" s="66">
        <f t="shared" si="6098"/>
        <v>23</v>
      </c>
      <c r="C2996" s="66">
        <f t="shared" si="6099"/>
        <v>24</v>
      </c>
      <c r="E2996" s="66">
        <f t="shared" ref="E2996" si="6142">plan_id</f>
        <v>1952</v>
      </c>
      <c r="F2996" s="66">
        <f t="shared" ca="1" si="6060"/>
        <v>2021</v>
      </c>
      <c r="G2996" s="66">
        <f t="shared" ref="G2996" ca="1" si="6143">VLOOKUP(INDIRECT(CHAR(39)&amp;$A2996&amp;CHAR(39)&amp;"!r2c"&amp;$C2996,0),variables,2,0)</f>
        <v>10998</v>
      </c>
      <c r="H2996" s="71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66" t="s">
        <v>1244</v>
      </c>
      <c r="B2997" s="66">
        <f t="shared" si="6098"/>
        <v>23</v>
      </c>
      <c r="C2997" s="66">
        <f t="shared" si="6099"/>
        <v>25</v>
      </c>
      <c r="E2997" s="66">
        <f t="shared" ref="E2997" si="6144">plan_id</f>
        <v>1952</v>
      </c>
      <c r="F2997" s="66">
        <f t="shared" ca="1" si="6060"/>
        <v>2021</v>
      </c>
      <c r="G2997" s="66">
        <f t="shared" ref="G2997" ca="1" si="6145">VLOOKUP(INDIRECT(CHAR(39)&amp;$A2997&amp;CHAR(39)&amp;"!r2c"&amp;$C2997,0),variables,2,0)</f>
        <v>10999</v>
      </c>
      <c r="H2997" s="71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5277178000</v>
      </c>
    </row>
    <row r="2998" spans="1:8" x14ac:dyDescent="0.2">
      <c r="A2998" s="66" t="s">
        <v>1244</v>
      </c>
      <c r="B2998" s="66">
        <f t="shared" si="6098"/>
        <v>23</v>
      </c>
      <c r="C2998" s="66">
        <f t="shared" si="6099"/>
        <v>26</v>
      </c>
      <c r="E2998" s="66">
        <f t="shared" ref="E2998" si="6146">plan_id</f>
        <v>1952</v>
      </c>
      <c r="F2998" s="66">
        <f t="shared" ca="1" si="6060"/>
        <v>2021</v>
      </c>
      <c r="G2998" s="66">
        <f t="shared" ref="G2998" ca="1" si="6147">VLOOKUP(INDIRECT(CHAR(39)&amp;$A2998&amp;CHAR(39)&amp;"!r2c"&amp;$C2998,0),variables,2,0)</f>
        <v>11000</v>
      </c>
      <c r="H2998" s="71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109987000</v>
      </c>
    </row>
    <row r="2999" spans="1:8" x14ac:dyDescent="0.2">
      <c r="A2999" s="66" t="s">
        <v>1244</v>
      </c>
      <c r="B2999" s="66">
        <f t="shared" si="6098"/>
        <v>23</v>
      </c>
      <c r="C2999" s="66">
        <f t="shared" si="6099"/>
        <v>27</v>
      </c>
      <c r="E2999" s="66">
        <f t="shared" ref="E2999" si="6148">plan_id</f>
        <v>1952</v>
      </c>
      <c r="F2999" s="66">
        <f t="shared" ca="1" si="6060"/>
        <v>2021</v>
      </c>
      <c r="G2999" s="66">
        <f t="shared" ref="G2999" ca="1" si="6149">VLOOKUP(INDIRECT(CHAR(39)&amp;$A2999&amp;CHAR(39)&amp;"!r2c"&amp;$C2999,0),variables,2,0)</f>
        <v>11001</v>
      </c>
      <c r="H2999" s="71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51859000</v>
      </c>
    </row>
    <row r="3000" spans="1:8" x14ac:dyDescent="0.2">
      <c r="A3000" s="66" t="s">
        <v>1244</v>
      </c>
      <c r="B3000" s="66">
        <f t="shared" si="6098"/>
        <v>23</v>
      </c>
      <c r="C3000" s="66">
        <f t="shared" si="6099"/>
        <v>28</v>
      </c>
      <c r="E3000" s="66">
        <f t="shared" ref="E3000" si="6150">plan_id</f>
        <v>1952</v>
      </c>
      <c r="F3000" s="66">
        <f t="shared" ca="1" si="6060"/>
        <v>2021</v>
      </c>
      <c r="G3000" s="66">
        <f t="shared" ref="G3000" ca="1" si="6151">VLOOKUP(INDIRECT(CHAR(39)&amp;$A3000&amp;CHAR(39)&amp;"!r2c"&amp;$C3000,0),variables,2,0)</f>
        <v>11002</v>
      </c>
      <c r="H3000" s="71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1604000</v>
      </c>
    </row>
    <row r="3001" spans="1:8" x14ac:dyDescent="0.2">
      <c r="A3001" s="66" t="s">
        <v>1244</v>
      </c>
      <c r="B3001" s="66">
        <f t="shared" si="6098"/>
        <v>23</v>
      </c>
      <c r="C3001" s="66">
        <f t="shared" si="6099"/>
        <v>29</v>
      </c>
      <c r="E3001" s="66">
        <f t="shared" ref="E3001" si="6152">plan_id</f>
        <v>1952</v>
      </c>
      <c r="F3001" s="66">
        <f t="shared" ca="1" si="6060"/>
        <v>2021</v>
      </c>
      <c r="G3001" s="66">
        <f t="shared" ref="G3001" ca="1" si="6153">VLOOKUP(INDIRECT(CHAR(39)&amp;$A3001&amp;CHAR(39)&amp;"!r2c"&amp;$C3001,0),variables,2,0)</f>
        <v>11003</v>
      </c>
      <c r="H3001" s="71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5440628000</v>
      </c>
    </row>
    <row r="3002" spans="1:8" x14ac:dyDescent="0.2">
      <c r="A3002" s="67" t="s">
        <v>1429</v>
      </c>
      <c r="B3002" s="66">
        <v>3</v>
      </c>
      <c r="C3002" s="66">
        <v>3</v>
      </c>
      <c r="E3002" s="66">
        <f t="shared" ref="E3002" si="6154">plan_id</f>
        <v>1952</v>
      </c>
      <c r="F3002" s="66">
        <f t="shared" ca="1" si="6060"/>
        <v>2001</v>
      </c>
      <c r="G3002" s="66">
        <f t="shared" ref="G3002" ca="1" si="6155">VLOOKUP(INDIRECT(CHAR(39)&amp;$A3002&amp;CHAR(39)&amp;"!r2c"&amp;$C3002,0),variables,2,0)</f>
        <v>9704</v>
      </c>
      <c r="H3002" s="71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67" t="s">
        <v>1429</v>
      </c>
      <c r="B3003" s="66">
        <f>B3002</f>
        <v>3</v>
      </c>
      <c r="C3003" s="66">
        <f>C3002+1</f>
        <v>4</v>
      </c>
      <c r="E3003" s="66">
        <f t="shared" ref="E3003" si="6156">plan_id</f>
        <v>1952</v>
      </c>
      <c r="F3003" s="66">
        <f t="shared" ca="1" si="6060"/>
        <v>2001</v>
      </c>
      <c r="G3003" s="66">
        <f t="shared" ref="G3003" ca="1" si="6157">VLOOKUP(INDIRECT(CHAR(39)&amp;$A3003&amp;CHAR(39)&amp;"!r2c"&amp;$C3003,0),variables,2,0)</f>
        <v>9716</v>
      </c>
      <c r="H3003" s="71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67" t="s">
        <v>1429</v>
      </c>
      <c r="B3004" s="66">
        <f t="shared" ref="B3004:B3067" si="6158">B3003</f>
        <v>3</v>
      </c>
      <c r="C3004" s="66">
        <f t="shared" ref="C3004:C3067" si="6159">C3003+1</f>
        <v>5</v>
      </c>
      <c r="E3004" s="66">
        <f t="shared" ref="E3004" si="6160">plan_id</f>
        <v>1952</v>
      </c>
      <c r="F3004" s="66">
        <f t="shared" ca="1" si="6060"/>
        <v>2001</v>
      </c>
      <c r="G3004" s="66">
        <f t="shared" ref="G3004" ca="1" si="6161">VLOOKUP(INDIRECT(CHAR(39)&amp;$A3004&amp;CHAR(39)&amp;"!r2c"&amp;$C3004,0),variables,2,0)</f>
        <v>9734</v>
      </c>
      <c r="H3004" s="71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67" t="s">
        <v>1429</v>
      </c>
      <c r="B3005" s="66">
        <f t="shared" si="6158"/>
        <v>3</v>
      </c>
      <c r="C3005" s="66">
        <f t="shared" si="6159"/>
        <v>6</v>
      </c>
      <c r="E3005" s="66">
        <f t="shared" ref="E3005" si="6162">plan_id</f>
        <v>1952</v>
      </c>
      <c r="F3005" s="66">
        <f t="shared" ca="1" si="6060"/>
        <v>2001</v>
      </c>
      <c r="G3005" s="66">
        <f t="shared" ref="G3005" ca="1" si="6163">VLOOKUP(INDIRECT(CHAR(39)&amp;$A3005&amp;CHAR(39)&amp;"!r2c"&amp;$C3005,0),variables,2,0)</f>
        <v>9749</v>
      </c>
      <c r="H3005" s="71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67" t="s">
        <v>1429</v>
      </c>
      <c r="B3006" s="66">
        <f t="shared" si="6158"/>
        <v>3</v>
      </c>
      <c r="C3006" s="66">
        <f t="shared" si="6159"/>
        <v>7</v>
      </c>
      <c r="E3006" s="66">
        <f t="shared" ref="E3006" si="6164">plan_id</f>
        <v>1952</v>
      </c>
      <c r="F3006" s="66">
        <f t="shared" ca="1" si="6060"/>
        <v>2001</v>
      </c>
      <c r="G3006" s="66">
        <f t="shared" ref="G3006" ca="1" si="6165">VLOOKUP(INDIRECT(CHAR(39)&amp;$A3006&amp;CHAR(39)&amp;"!r2c"&amp;$C3006,0),variables,2,0)</f>
        <v>9755</v>
      </c>
      <c r="H3006" s="71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67" t="s">
        <v>1429</v>
      </c>
      <c r="B3007" s="66">
        <f t="shared" si="6158"/>
        <v>3</v>
      </c>
      <c r="C3007" s="66">
        <f t="shared" si="6159"/>
        <v>8</v>
      </c>
      <c r="E3007" s="66">
        <f t="shared" ref="E3007" si="6166">plan_id</f>
        <v>1952</v>
      </c>
      <c r="F3007" s="66">
        <f t="shared" ca="1" si="6060"/>
        <v>2001</v>
      </c>
      <c r="G3007" s="66">
        <f t="shared" ref="G3007" ca="1" si="6167">VLOOKUP(INDIRECT(CHAR(39)&amp;$A3007&amp;CHAR(39)&amp;"!r2c"&amp;$C3007,0),variables,2,0)</f>
        <v>9782</v>
      </c>
      <c r="H3007" s="71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67" t="s">
        <v>1429</v>
      </c>
      <c r="B3008" s="66">
        <f t="shared" si="6158"/>
        <v>3</v>
      </c>
      <c r="C3008" s="66">
        <f t="shared" si="6159"/>
        <v>9</v>
      </c>
      <c r="E3008" s="66">
        <f t="shared" ref="E3008" si="6168">plan_id</f>
        <v>1952</v>
      </c>
      <c r="F3008" s="66">
        <f t="shared" ca="1" si="6060"/>
        <v>2001</v>
      </c>
      <c r="G3008" s="66">
        <f t="shared" ref="G3008" ca="1" si="6169">VLOOKUP(INDIRECT(CHAR(39)&amp;$A3008&amp;CHAR(39)&amp;"!r2c"&amp;$C3008,0),variables,2,0)</f>
        <v>9788</v>
      </c>
      <c r="H3008" s="71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67" t="s">
        <v>1429</v>
      </c>
      <c r="B3009" s="66">
        <f t="shared" si="6158"/>
        <v>3</v>
      </c>
      <c r="C3009" s="66">
        <f t="shared" si="6159"/>
        <v>10</v>
      </c>
      <c r="E3009" s="66">
        <f t="shared" ref="E3009" si="6170">plan_id</f>
        <v>1952</v>
      </c>
      <c r="F3009" s="66">
        <f t="shared" ca="1" si="6060"/>
        <v>2001</v>
      </c>
      <c r="G3009" s="66">
        <f t="shared" ref="G3009" ca="1" si="6171">VLOOKUP(INDIRECT(CHAR(39)&amp;$A3009&amp;CHAR(39)&amp;"!r2c"&amp;$C3009,0),variables,2,0)</f>
        <v>9812</v>
      </c>
      <c r="H3009" s="71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67" t="s">
        <v>1429</v>
      </c>
      <c r="B3010" s="66">
        <f t="shared" si="6158"/>
        <v>3</v>
      </c>
      <c r="C3010" s="66">
        <f t="shared" si="6159"/>
        <v>11</v>
      </c>
      <c r="E3010" s="66">
        <f t="shared" ref="E3010" si="6172">plan_id</f>
        <v>1952</v>
      </c>
      <c r="F3010" s="66">
        <f t="shared" ca="1" si="6060"/>
        <v>2001</v>
      </c>
      <c r="G3010" s="66">
        <f t="shared" ref="G3010" ca="1" si="6173">VLOOKUP(INDIRECT(CHAR(39)&amp;$A3010&amp;CHAR(39)&amp;"!r2c"&amp;$C3010,0),variables,2,0)</f>
        <v>9815</v>
      </c>
      <c r="H3010" s="71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67" t="s">
        <v>1429</v>
      </c>
      <c r="B3011" s="66">
        <f t="shared" si="6158"/>
        <v>3</v>
      </c>
      <c r="C3011" s="66">
        <f t="shared" si="6159"/>
        <v>12</v>
      </c>
      <c r="E3011" s="66">
        <f t="shared" ref="E3011" si="6174">plan_id</f>
        <v>1952</v>
      </c>
      <c r="F3011" s="66">
        <f t="shared" ca="1" si="6060"/>
        <v>2001</v>
      </c>
      <c r="G3011" s="66">
        <f t="shared" ref="G3011" ca="1" si="6175">VLOOKUP(INDIRECT(CHAR(39)&amp;$A3011&amp;CHAR(39)&amp;"!r2c"&amp;$C3011,0),variables,2,0)</f>
        <v>9821</v>
      </c>
      <c r="H3011" s="71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67" t="s">
        <v>1429</v>
      </c>
      <c r="B3012" s="66">
        <f t="shared" si="6158"/>
        <v>3</v>
      </c>
      <c r="C3012" s="66">
        <f t="shared" si="6159"/>
        <v>13</v>
      </c>
      <c r="E3012" s="66">
        <f t="shared" ref="E3012" si="6176">plan_id</f>
        <v>1952</v>
      </c>
      <c r="F3012" s="66">
        <f t="shared" ca="1" si="6060"/>
        <v>2001</v>
      </c>
      <c r="G3012" s="66">
        <f t="shared" ref="G3012" ca="1" si="6177">VLOOKUP(INDIRECT(CHAR(39)&amp;$A3012&amp;CHAR(39)&amp;"!r2c"&amp;$C3012,0),variables,2,0)</f>
        <v>9824</v>
      </c>
      <c r="H3012" s="71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67" t="s">
        <v>1429</v>
      </c>
      <c r="B3013" s="66">
        <f t="shared" si="6158"/>
        <v>3</v>
      </c>
      <c r="C3013" s="66">
        <f t="shared" si="6159"/>
        <v>14</v>
      </c>
      <c r="E3013" s="66">
        <f t="shared" ref="E3013" si="6178">plan_id</f>
        <v>1952</v>
      </c>
      <c r="F3013" s="66">
        <f t="shared" ca="1" si="6060"/>
        <v>2001</v>
      </c>
      <c r="G3013" s="66">
        <f t="shared" ref="G3013" ca="1" si="6179">VLOOKUP(INDIRECT(CHAR(39)&amp;$A3013&amp;CHAR(39)&amp;"!r2c"&amp;$C3013,0),variables,2,0)</f>
        <v>9830</v>
      </c>
      <c r="H3013" s="71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67" t="s">
        <v>1429</v>
      </c>
      <c r="B3014" s="66">
        <f t="shared" si="6158"/>
        <v>3</v>
      </c>
      <c r="C3014" s="66">
        <f t="shared" si="6159"/>
        <v>15</v>
      </c>
      <c r="E3014" s="66">
        <f t="shared" ref="E3014" si="6180">plan_id</f>
        <v>1952</v>
      </c>
      <c r="F3014" s="66">
        <f t="shared" ca="1" si="6060"/>
        <v>2001</v>
      </c>
      <c r="G3014" s="66">
        <f t="shared" ref="G3014" ca="1" si="6181">VLOOKUP(INDIRECT(CHAR(39)&amp;$A3014&amp;CHAR(39)&amp;"!r2c"&amp;$C3014,0),variables,2,0)</f>
        <v>9833</v>
      </c>
      <c r="H3014" s="71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67" t="s">
        <v>1429</v>
      </c>
      <c r="B3015" s="66">
        <f t="shared" si="6158"/>
        <v>3</v>
      </c>
      <c r="C3015" s="66">
        <f t="shared" si="6159"/>
        <v>16</v>
      </c>
      <c r="E3015" s="66">
        <f t="shared" ref="E3015" si="6182">plan_id</f>
        <v>1952</v>
      </c>
      <c r="F3015" s="66">
        <f t="shared" ca="1" si="6060"/>
        <v>2001</v>
      </c>
      <c r="G3015" s="66">
        <f t="shared" ref="G3015" ca="1" si="6183">VLOOKUP(INDIRECT(CHAR(39)&amp;$A3015&amp;CHAR(39)&amp;"!r2c"&amp;$C3015,0),variables,2,0)</f>
        <v>9845</v>
      </c>
      <c r="H3015" s="71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67" t="s">
        <v>1429</v>
      </c>
      <c r="B3016" s="66">
        <f t="shared" si="6158"/>
        <v>3</v>
      </c>
      <c r="C3016" s="66">
        <f t="shared" si="6159"/>
        <v>17</v>
      </c>
      <c r="E3016" s="66">
        <f t="shared" ref="E3016" si="6184">plan_id</f>
        <v>1952</v>
      </c>
      <c r="F3016" s="66">
        <f t="shared" ca="1" si="6060"/>
        <v>2001</v>
      </c>
      <c r="G3016" s="66">
        <f t="shared" ref="G3016" ca="1" si="6185">VLOOKUP(INDIRECT(CHAR(39)&amp;$A3016&amp;CHAR(39)&amp;"!r2c"&amp;$C3016,0),variables,2,0)</f>
        <v>9872</v>
      </c>
      <c r="H3016" s="71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67" t="s">
        <v>1429</v>
      </c>
      <c r="B3017" s="66">
        <f t="shared" si="6158"/>
        <v>3</v>
      </c>
      <c r="C3017" s="66">
        <f t="shared" si="6159"/>
        <v>18</v>
      </c>
      <c r="E3017" s="66">
        <f t="shared" ref="E3017" si="6186">plan_id</f>
        <v>1952</v>
      </c>
      <c r="F3017" s="66">
        <f t="shared" ca="1" si="6060"/>
        <v>2001</v>
      </c>
      <c r="G3017" s="66">
        <f t="shared" ref="G3017" ca="1" si="6187">VLOOKUP(INDIRECT(CHAR(39)&amp;$A3017&amp;CHAR(39)&amp;"!r2c"&amp;$C3017,0),variables,2,0)</f>
        <v>9887</v>
      </c>
      <c r="H3017" s="71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67" t="s">
        <v>1429</v>
      </c>
      <c r="B3018" s="66">
        <f t="shared" si="6158"/>
        <v>3</v>
      </c>
      <c r="C3018" s="66">
        <f t="shared" si="6159"/>
        <v>19</v>
      </c>
      <c r="E3018" s="66">
        <f t="shared" ref="E3018" si="6188">plan_id</f>
        <v>1952</v>
      </c>
      <c r="F3018" s="66">
        <f t="shared" ca="1" si="6060"/>
        <v>2001</v>
      </c>
      <c r="G3018" s="66">
        <f t="shared" ref="G3018" ca="1" si="6189">VLOOKUP(INDIRECT(CHAR(39)&amp;$A3018&amp;CHAR(39)&amp;"!r2c"&amp;$C3018,0),variables,2,0)</f>
        <v>9914</v>
      </c>
      <c r="H3018" s="71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67" t="s">
        <v>1429</v>
      </c>
      <c r="B3019" s="66">
        <f t="shared" si="6158"/>
        <v>3</v>
      </c>
      <c r="C3019" s="66">
        <f t="shared" si="6159"/>
        <v>20</v>
      </c>
      <c r="E3019" s="66">
        <f t="shared" ref="E3019" si="6190">plan_id</f>
        <v>1952</v>
      </c>
      <c r="F3019" s="66">
        <f t="shared" ca="1" si="6060"/>
        <v>2001</v>
      </c>
      <c r="G3019" s="66">
        <f t="shared" ref="G3019" ca="1" si="6191">VLOOKUP(INDIRECT(CHAR(39)&amp;$A3019&amp;CHAR(39)&amp;"!r2c"&amp;$C3019,0),variables,2,0)</f>
        <v>9917</v>
      </c>
      <c r="H3019" s="71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67" t="s">
        <v>1429</v>
      </c>
      <c r="B3020" s="66">
        <f t="shared" si="6158"/>
        <v>3</v>
      </c>
      <c r="C3020" s="66">
        <f t="shared" si="6159"/>
        <v>21</v>
      </c>
      <c r="E3020" s="66">
        <f t="shared" ref="E3020" si="6192">plan_id</f>
        <v>1952</v>
      </c>
      <c r="F3020" s="66">
        <f t="shared" ca="1" si="6060"/>
        <v>2001</v>
      </c>
      <c r="G3020" s="66">
        <f t="shared" ref="G3020" ca="1" si="6193">VLOOKUP(INDIRECT(CHAR(39)&amp;$A3020&amp;CHAR(39)&amp;"!r2c"&amp;$C3020,0),variables,2,0)</f>
        <v>9920</v>
      </c>
      <c r="H3020" s="71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67" t="s">
        <v>1429</v>
      </c>
      <c r="B3021" s="66">
        <f t="shared" si="6158"/>
        <v>3</v>
      </c>
      <c r="C3021" s="66">
        <f t="shared" si="6159"/>
        <v>22</v>
      </c>
      <c r="E3021" s="66">
        <f t="shared" ref="E3021" si="6194">plan_id</f>
        <v>1952</v>
      </c>
      <c r="F3021" s="66">
        <f t="shared" ca="1" si="6060"/>
        <v>2001</v>
      </c>
      <c r="G3021" s="66">
        <f t="shared" ref="G3021" ca="1" si="6195">VLOOKUP(INDIRECT(CHAR(39)&amp;$A3021&amp;CHAR(39)&amp;"!r2c"&amp;$C3021,0),variables,2,0)</f>
        <v>9648</v>
      </c>
      <c r="H3021" s="71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67" t="s">
        <v>1429</v>
      </c>
      <c r="B3022" s="66">
        <f t="shared" si="6158"/>
        <v>3</v>
      </c>
      <c r="C3022" s="66">
        <f t="shared" si="6159"/>
        <v>23</v>
      </c>
      <c r="E3022" s="66">
        <f t="shared" ref="E3022" si="6196">plan_id</f>
        <v>1952</v>
      </c>
      <c r="F3022" s="66">
        <f t="shared" ca="1" si="6060"/>
        <v>2001</v>
      </c>
      <c r="G3022" s="66">
        <f t="shared" ref="G3022" ca="1" si="6197">VLOOKUP(INDIRECT(CHAR(39)&amp;$A3022&amp;CHAR(39)&amp;"!r2c"&amp;$C3022,0),variables,2,0)</f>
        <v>9713</v>
      </c>
      <c r="H3022" s="71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67" t="s">
        <v>1429</v>
      </c>
      <c r="B3023" s="66">
        <f t="shared" si="6158"/>
        <v>3</v>
      </c>
      <c r="C3023" s="66">
        <f t="shared" si="6159"/>
        <v>24</v>
      </c>
      <c r="E3023" s="66">
        <f t="shared" ref="E3023" si="6198">plan_id</f>
        <v>1952</v>
      </c>
      <c r="F3023" s="66">
        <f t="shared" ca="1" si="6060"/>
        <v>2001</v>
      </c>
      <c r="G3023" s="66">
        <f t="shared" ref="G3023" ca="1" si="6199">VLOOKUP(INDIRECT(CHAR(39)&amp;$A3023&amp;CHAR(39)&amp;"!r2c"&amp;$C3023,0),variables,2,0)</f>
        <v>9719</v>
      </c>
      <c r="H3023" s="71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67" t="s">
        <v>1429</v>
      </c>
      <c r="B3024" s="66">
        <f t="shared" si="6158"/>
        <v>3</v>
      </c>
      <c r="C3024" s="66">
        <f t="shared" si="6159"/>
        <v>25</v>
      </c>
      <c r="E3024" s="66">
        <f t="shared" ref="E3024" si="6200">plan_id</f>
        <v>1952</v>
      </c>
      <c r="F3024" s="66">
        <f t="shared" ca="1" si="6060"/>
        <v>2001</v>
      </c>
      <c r="G3024" s="66">
        <f t="shared" ref="G3024" ca="1" si="6201">VLOOKUP(INDIRECT(CHAR(39)&amp;$A3024&amp;CHAR(39)&amp;"!r2c"&amp;$C3024,0),variables,2,0)</f>
        <v>9725</v>
      </c>
      <c r="H3024" s="71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67" t="s">
        <v>1429</v>
      </c>
      <c r="B3025" s="66">
        <f t="shared" si="6158"/>
        <v>3</v>
      </c>
      <c r="C3025" s="66">
        <f t="shared" si="6159"/>
        <v>26</v>
      </c>
      <c r="E3025" s="66">
        <f t="shared" ref="E3025" si="6202">plan_id</f>
        <v>1952</v>
      </c>
      <c r="F3025" s="66">
        <f t="shared" ca="1" si="6060"/>
        <v>2001</v>
      </c>
      <c r="G3025" s="66">
        <f t="shared" ref="G3025" ca="1" si="6203">VLOOKUP(INDIRECT(CHAR(39)&amp;$A3025&amp;CHAR(39)&amp;"!r2c"&amp;$C3025,0),variables,2,0)</f>
        <v>9743</v>
      </c>
      <c r="H3025" s="71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67" t="s">
        <v>1429</v>
      </c>
      <c r="B3026" s="66">
        <f t="shared" si="6158"/>
        <v>3</v>
      </c>
      <c r="C3026" s="66">
        <f t="shared" si="6159"/>
        <v>27</v>
      </c>
      <c r="E3026" s="66">
        <f t="shared" ref="E3026" si="6204">plan_id</f>
        <v>1952</v>
      </c>
      <c r="F3026" s="66">
        <f t="shared" ca="1" si="6060"/>
        <v>2001</v>
      </c>
      <c r="G3026" s="66">
        <f t="shared" ref="G3026" ca="1" si="6205">VLOOKUP(INDIRECT(CHAR(39)&amp;$A3026&amp;CHAR(39)&amp;"!r2c"&amp;$C3026,0),variables,2,0)</f>
        <v>9746</v>
      </c>
      <c r="H3026" s="71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67" t="s">
        <v>1429</v>
      </c>
      <c r="B3027" s="66">
        <f t="shared" si="6158"/>
        <v>3</v>
      </c>
      <c r="C3027" s="66">
        <f t="shared" si="6159"/>
        <v>28</v>
      </c>
      <c r="E3027" s="66">
        <f t="shared" ref="E3027" si="6206">plan_id</f>
        <v>1952</v>
      </c>
      <c r="F3027" s="66">
        <f t="shared" ca="1" si="6060"/>
        <v>2001</v>
      </c>
      <c r="G3027" s="66">
        <f t="shared" ref="G3027" ca="1" si="6207">VLOOKUP(INDIRECT(CHAR(39)&amp;$A3027&amp;CHAR(39)&amp;"!r2c"&amp;$C3027,0),variables,2,0)</f>
        <v>9761</v>
      </c>
      <c r="H3027" s="71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67" t="s">
        <v>1429</v>
      </c>
      <c r="B3028" s="66">
        <f t="shared" si="6158"/>
        <v>3</v>
      </c>
      <c r="C3028" s="66">
        <f t="shared" si="6159"/>
        <v>29</v>
      </c>
      <c r="E3028" s="66">
        <f t="shared" ref="E3028" si="6208">plan_id</f>
        <v>1952</v>
      </c>
      <c r="F3028" s="66">
        <f t="shared" ca="1" si="6060"/>
        <v>2001</v>
      </c>
      <c r="G3028" s="66">
        <f t="shared" ref="G3028" ca="1" si="6209">VLOOKUP(INDIRECT(CHAR(39)&amp;$A3028&amp;CHAR(39)&amp;"!r2c"&amp;$C3028,0),variables,2,0)</f>
        <v>9764</v>
      </c>
      <c r="H3028" s="71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67" t="s">
        <v>1429</v>
      </c>
      <c r="B3029" s="66">
        <f t="shared" si="6158"/>
        <v>3</v>
      </c>
      <c r="C3029" s="66">
        <f t="shared" si="6159"/>
        <v>30</v>
      </c>
      <c r="E3029" s="66">
        <f t="shared" ref="E3029" si="6210">plan_id</f>
        <v>1952</v>
      </c>
      <c r="F3029" s="66">
        <f t="shared" ca="1" si="6060"/>
        <v>2001</v>
      </c>
      <c r="G3029" s="66">
        <f t="shared" ref="G3029" ca="1" si="6211">VLOOKUP(INDIRECT(CHAR(39)&amp;$A3029&amp;CHAR(39)&amp;"!r2c"&amp;$C3029,0),variables,2,0)</f>
        <v>9767</v>
      </c>
      <c r="H3029" s="71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67" t="s">
        <v>1429</v>
      </c>
      <c r="B3030" s="66">
        <f t="shared" si="6158"/>
        <v>3</v>
      </c>
      <c r="C3030" s="66">
        <f t="shared" si="6159"/>
        <v>31</v>
      </c>
      <c r="E3030" s="66">
        <f t="shared" ref="E3030" si="6212">plan_id</f>
        <v>1952</v>
      </c>
      <c r="F3030" s="66">
        <f t="shared" ca="1" si="6060"/>
        <v>2001</v>
      </c>
      <c r="G3030" s="66">
        <f t="shared" ref="G3030" ca="1" si="6213">VLOOKUP(INDIRECT(CHAR(39)&amp;$A3030&amp;CHAR(39)&amp;"!r2c"&amp;$C3030,0),variables,2,0)</f>
        <v>9770</v>
      </c>
      <c r="H3030" s="71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67" t="s">
        <v>1429</v>
      </c>
      <c r="B3031" s="66">
        <f t="shared" si="6158"/>
        <v>3</v>
      </c>
      <c r="C3031" s="66">
        <f t="shared" si="6159"/>
        <v>32</v>
      </c>
      <c r="E3031" s="66">
        <f t="shared" ref="E3031" si="6214">plan_id</f>
        <v>1952</v>
      </c>
      <c r="F3031" s="66">
        <f t="shared" ca="1" si="6060"/>
        <v>2001</v>
      </c>
      <c r="G3031" s="66">
        <f t="shared" ref="G3031" ca="1" si="6215">VLOOKUP(INDIRECT(CHAR(39)&amp;$A3031&amp;CHAR(39)&amp;"!r2c"&amp;$C3031,0),variables,2,0)</f>
        <v>9773</v>
      </c>
      <c r="H3031" s="71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67" t="s">
        <v>1429</v>
      </c>
      <c r="B3032" s="66">
        <f t="shared" si="6158"/>
        <v>3</v>
      </c>
      <c r="C3032" s="66">
        <f t="shared" si="6159"/>
        <v>33</v>
      </c>
      <c r="E3032" s="66">
        <f t="shared" ref="E3032" si="6216">plan_id</f>
        <v>1952</v>
      </c>
      <c r="F3032" s="66">
        <f t="shared" ca="1" si="6060"/>
        <v>2001</v>
      </c>
      <c r="G3032" s="66">
        <f t="shared" ref="G3032" ca="1" si="6217">VLOOKUP(INDIRECT(CHAR(39)&amp;$A3032&amp;CHAR(39)&amp;"!r2c"&amp;$C3032,0),variables,2,0)</f>
        <v>9776</v>
      </c>
      <c r="H3032" s="71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67" t="s">
        <v>1429</v>
      </c>
      <c r="B3033" s="66">
        <f t="shared" si="6158"/>
        <v>3</v>
      </c>
      <c r="C3033" s="66">
        <f t="shared" si="6159"/>
        <v>34</v>
      </c>
      <c r="E3033" s="66">
        <f t="shared" ref="E3033" si="6218">plan_id</f>
        <v>1952</v>
      </c>
      <c r="F3033" s="66">
        <f t="shared" ca="1" si="6060"/>
        <v>2001</v>
      </c>
      <c r="G3033" s="66">
        <f t="shared" ref="G3033" ca="1" si="6219">VLOOKUP(INDIRECT(CHAR(39)&amp;$A3033&amp;CHAR(39)&amp;"!r2c"&amp;$C3033,0),variables,2,0)</f>
        <v>9779</v>
      </c>
      <c r="H3033" s="71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67" t="s">
        <v>1429</v>
      </c>
      <c r="B3034" s="66">
        <f t="shared" si="6158"/>
        <v>3</v>
      </c>
      <c r="C3034" s="66">
        <f t="shared" si="6159"/>
        <v>35</v>
      </c>
      <c r="E3034" s="66">
        <f t="shared" ref="E3034" si="6220">plan_id</f>
        <v>1952</v>
      </c>
      <c r="F3034" s="66">
        <f t="shared" ca="1" si="6060"/>
        <v>2001</v>
      </c>
      <c r="G3034" s="66">
        <f t="shared" ref="G3034" ca="1" si="6221">VLOOKUP(INDIRECT(CHAR(39)&amp;$A3034&amp;CHAR(39)&amp;"!r2c"&amp;$C3034,0),variables,2,0)</f>
        <v>9785</v>
      </c>
      <c r="H3034" s="71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67" t="s">
        <v>1429</v>
      </c>
      <c r="B3035" s="66">
        <f t="shared" si="6158"/>
        <v>3</v>
      </c>
      <c r="C3035" s="66">
        <f t="shared" si="6159"/>
        <v>36</v>
      </c>
      <c r="E3035" s="66">
        <f t="shared" ref="E3035" si="6222">plan_id</f>
        <v>1952</v>
      </c>
      <c r="F3035" s="66">
        <f t="shared" ca="1" si="6060"/>
        <v>2001</v>
      </c>
      <c r="G3035" s="66">
        <f t="shared" ref="G3035" ca="1" si="6223">VLOOKUP(INDIRECT(CHAR(39)&amp;$A3035&amp;CHAR(39)&amp;"!r2c"&amp;$C3035,0),variables,2,0)</f>
        <v>9794</v>
      </c>
      <c r="H3035" s="71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67" t="s">
        <v>1429</v>
      </c>
      <c r="B3036" s="66">
        <f t="shared" si="6158"/>
        <v>3</v>
      </c>
      <c r="C3036" s="66">
        <f t="shared" si="6159"/>
        <v>37</v>
      </c>
      <c r="E3036" s="66">
        <f t="shared" ref="E3036" si="6224">plan_id</f>
        <v>1952</v>
      </c>
      <c r="F3036" s="66">
        <f t="shared" ca="1" si="6060"/>
        <v>2001</v>
      </c>
      <c r="G3036" s="66">
        <f t="shared" ref="G3036" ca="1" si="6225">VLOOKUP(INDIRECT(CHAR(39)&amp;$A3036&amp;CHAR(39)&amp;"!r2c"&amp;$C3036,0),variables,2,0)</f>
        <v>9797</v>
      </c>
      <c r="H3036" s="71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67" t="s">
        <v>1429</v>
      </c>
      <c r="B3037" s="66">
        <f t="shared" si="6158"/>
        <v>3</v>
      </c>
      <c r="C3037" s="66">
        <f t="shared" si="6159"/>
        <v>38</v>
      </c>
      <c r="E3037" s="66">
        <f t="shared" ref="E3037" si="6226">plan_id</f>
        <v>1952</v>
      </c>
      <c r="F3037" s="66">
        <f t="shared" ca="1" si="6060"/>
        <v>2001</v>
      </c>
      <c r="G3037" s="66">
        <f t="shared" ref="G3037" ca="1" si="6227">VLOOKUP(INDIRECT(CHAR(39)&amp;$A3037&amp;CHAR(39)&amp;"!r2c"&amp;$C3037,0),variables,2,0)</f>
        <v>9806</v>
      </c>
      <c r="H3037" s="71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67" t="s">
        <v>1429</v>
      </c>
      <c r="B3038" s="66">
        <f t="shared" si="6158"/>
        <v>3</v>
      </c>
      <c r="C3038" s="66">
        <f t="shared" si="6159"/>
        <v>39</v>
      </c>
      <c r="E3038" s="66">
        <f t="shared" ref="E3038" si="6228">plan_id</f>
        <v>1952</v>
      </c>
      <c r="F3038" s="66">
        <f t="shared" ca="1" si="6060"/>
        <v>2001</v>
      </c>
      <c r="G3038" s="66">
        <f t="shared" ref="G3038" ca="1" si="6229">VLOOKUP(INDIRECT(CHAR(39)&amp;$A3038&amp;CHAR(39)&amp;"!r2c"&amp;$C3038,0),variables,2,0)</f>
        <v>9809</v>
      </c>
      <c r="H3038" s="71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67" t="s">
        <v>1429</v>
      </c>
      <c r="B3039" s="66">
        <f t="shared" si="6158"/>
        <v>3</v>
      </c>
      <c r="C3039" s="66">
        <f t="shared" si="6159"/>
        <v>40</v>
      </c>
      <c r="E3039" s="66">
        <f t="shared" ref="E3039" si="6230">plan_id</f>
        <v>1952</v>
      </c>
      <c r="F3039" s="66">
        <f t="shared" ca="1" si="6060"/>
        <v>2001</v>
      </c>
      <c r="G3039" s="66">
        <f t="shared" ref="G3039" ca="1" si="6231">VLOOKUP(INDIRECT(CHAR(39)&amp;$A3039&amp;CHAR(39)&amp;"!r2c"&amp;$C3039,0),variables,2,0)</f>
        <v>9818</v>
      </c>
      <c r="H3039" s="71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67" t="s">
        <v>1429</v>
      </c>
      <c r="B3040" s="66">
        <f t="shared" si="6158"/>
        <v>3</v>
      </c>
      <c r="C3040" s="66">
        <f t="shared" si="6159"/>
        <v>41</v>
      </c>
      <c r="E3040" s="66">
        <f t="shared" ref="E3040" si="6232">plan_id</f>
        <v>1952</v>
      </c>
      <c r="F3040" s="66">
        <f t="shared" ca="1" si="6060"/>
        <v>2001</v>
      </c>
      <c r="G3040" s="66">
        <f t="shared" ref="G3040" ca="1" si="6233">VLOOKUP(INDIRECT(CHAR(39)&amp;$A3040&amp;CHAR(39)&amp;"!r2c"&amp;$C3040,0),variables,2,0)</f>
        <v>9839</v>
      </c>
      <c r="H3040" s="71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67" t="s">
        <v>1429</v>
      </c>
      <c r="B3041" s="66">
        <f t="shared" si="6158"/>
        <v>3</v>
      </c>
      <c r="C3041" s="66">
        <f t="shared" si="6159"/>
        <v>42</v>
      </c>
      <c r="E3041" s="66">
        <f t="shared" ref="E3041" si="6234">plan_id</f>
        <v>1952</v>
      </c>
      <c r="F3041" s="66">
        <f t="shared" ca="1" si="6060"/>
        <v>2001</v>
      </c>
      <c r="G3041" s="66">
        <f t="shared" ref="G3041" ca="1" si="6235">VLOOKUP(INDIRECT(CHAR(39)&amp;$A3041&amp;CHAR(39)&amp;"!r2c"&amp;$C3041,0),variables,2,0)</f>
        <v>9860</v>
      </c>
      <c r="H3041" s="71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67" t="s">
        <v>1429</v>
      </c>
      <c r="B3042" s="66">
        <f t="shared" si="6158"/>
        <v>3</v>
      </c>
      <c r="C3042" s="66">
        <f t="shared" si="6159"/>
        <v>43</v>
      </c>
      <c r="E3042" s="66">
        <f t="shared" ref="E3042" si="6236">plan_id</f>
        <v>1952</v>
      </c>
      <c r="F3042" s="66">
        <f t="shared" ca="1" si="6060"/>
        <v>2001</v>
      </c>
      <c r="G3042" s="66">
        <f t="shared" ref="G3042" ca="1" si="6237">VLOOKUP(INDIRECT(CHAR(39)&amp;$A3042&amp;CHAR(39)&amp;"!r2c"&amp;$C3042,0),variables,2,0)</f>
        <v>9863</v>
      </c>
      <c r="H3042" s="71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67" t="s">
        <v>1429</v>
      </c>
      <c r="B3043" s="66">
        <f t="shared" si="6158"/>
        <v>3</v>
      </c>
      <c r="C3043" s="66">
        <f t="shared" si="6159"/>
        <v>44</v>
      </c>
      <c r="E3043" s="66">
        <f t="shared" ref="E3043" si="6238">plan_id</f>
        <v>1952</v>
      </c>
      <c r="F3043" s="66">
        <f t="shared" ca="1" si="6060"/>
        <v>2001</v>
      </c>
      <c r="G3043" s="66">
        <f t="shared" ref="G3043" ca="1" si="6239">VLOOKUP(INDIRECT(CHAR(39)&amp;$A3043&amp;CHAR(39)&amp;"!r2c"&amp;$C3043,0),variables,2,0)</f>
        <v>9878</v>
      </c>
      <c r="H3043" s="71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67" t="s">
        <v>1429</v>
      </c>
      <c r="B3044" s="66">
        <f t="shared" si="6158"/>
        <v>3</v>
      </c>
      <c r="C3044" s="66">
        <f t="shared" si="6159"/>
        <v>45</v>
      </c>
      <c r="E3044" s="66">
        <f t="shared" ref="E3044" si="6240">plan_id</f>
        <v>1952</v>
      </c>
      <c r="F3044" s="66">
        <f t="shared" ca="1" si="6060"/>
        <v>2001</v>
      </c>
      <c r="G3044" s="66">
        <f t="shared" ref="G3044" ca="1" si="6241">VLOOKUP(INDIRECT(CHAR(39)&amp;$A3044&amp;CHAR(39)&amp;"!r2c"&amp;$C3044,0),variables,2,0)</f>
        <v>9923</v>
      </c>
      <c r="H3044" s="71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67" t="s">
        <v>1429</v>
      </c>
      <c r="B3045" s="66">
        <f t="shared" si="6158"/>
        <v>3</v>
      </c>
      <c r="C3045" s="66">
        <f t="shared" si="6159"/>
        <v>46</v>
      </c>
      <c r="E3045" s="66">
        <f t="shared" ref="E3045" si="6242">plan_id</f>
        <v>1952</v>
      </c>
      <c r="F3045" s="66">
        <f t="shared" ca="1" si="6060"/>
        <v>2001</v>
      </c>
      <c r="G3045" s="66">
        <f t="shared" ref="G3045" ca="1" si="6243">VLOOKUP(INDIRECT(CHAR(39)&amp;$A3045&amp;CHAR(39)&amp;"!r2c"&amp;$C3045,0),variables,2,0)</f>
        <v>9932</v>
      </c>
      <c r="H3045" s="71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67" t="s">
        <v>1429</v>
      </c>
      <c r="B3046" s="66">
        <f t="shared" si="6158"/>
        <v>3</v>
      </c>
      <c r="C3046" s="66">
        <f t="shared" si="6159"/>
        <v>47</v>
      </c>
      <c r="E3046" s="66">
        <f t="shared" ref="E3046" si="6244">plan_id</f>
        <v>1952</v>
      </c>
      <c r="F3046" s="66">
        <f t="shared" ca="1" si="6060"/>
        <v>2001</v>
      </c>
      <c r="G3046" s="66">
        <f t="shared" ref="G3046" ca="1" si="6245">VLOOKUP(INDIRECT(CHAR(39)&amp;$A3046&amp;CHAR(39)&amp;"!r2c"&amp;$C3046,0),variables,2,0)</f>
        <v>9935</v>
      </c>
      <c r="H3046" s="71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67" t="s">
        <v>1429</v>
      </c>
      <c r="B3047" s="66">
        <f t="shared" si="6158"/>
        <v>3</v>
      </c>
      <c r="C3047" s="66">
        <f t="shared" si="6159"/>
        <v>48</v>
      </c>
      <c r="E3047" s="66">
        <f t="shared" ref="E3047" si="6246">plan_id</f>
        <v>1952</v>
      </c>
      <c r="F3047" s="66">
        <f t="shared" ca="1" si="6060"/>
        <v>2001</v>
      </c>
      <c r="G3047" s="66">
        <f t="shared" ref="G3047" ca="1" si="6247">VLOOKUP(INDIRECT(CHAR(39)&amp;$A3047&amp;CHAR(39)&amp;"!r2c"&amp;$C3047,0),variables,2,0)</f>
        <v>9651</v>
      </c>
      <c r="H3047" s="71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67" t="s">
        <v>1429</v>
      </c>
      <c r="B3048" s="66">
        <f t="shared" si="6158"/>
        <v>3</v>
      </c>
      <c r="C3048" s="66">
        <f t="shared" si="6159"/>
        <v>49</v>
      </c>
      <c r="E3048" s="66">
        <f t="shared" ref="E3048" si="6248">plan_id</f>
        <v>1952</v>
      </c>
      <c r="F3048" s="66">
        <f t="shared" ca="1" si="6060"/>
        <v>2001</v>
      </c>
      <c r="G3048" s="66">
        <f t="shared" ref="G3048" ca="1" si="6249">VLOOKUP(INDIRECT(CHAR(39)&amp;$A3048&amp;CHAR(39)&amp;"!r2c"&amp;$C3048,0),variables,2,0)</f>
        <v>9722</v>
      </c>
      <c r="H3048" s="71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67" t="s">
        <v>1429</v>
      </c>
      <c r="B3049" s="66">
        <f t="shared" si="6158"/>
        <v>3</v>
      </c>
      <c r="C3049" s="66">
        <f t="shared" si="6159"/>
        <v>50</v>
      </c>
      <c r="E3049" s="66">
        <f t="shared" ref="E3049" si="6250">plan_id</f>
        <v>1952</v>
      </c>
      <c r="F3049" s="66">
        <f t="shared" ca="1" si="6060"/>
        <v>2001</v>
      </c>
      <c r="G3049" s="66">
        <f t="shared" ref="G3049" ca="1" si="6251">VLOOKUP(INDIRECT(CHAR(39)&amp;$A3049&amp;CHAR(39)&amp;"!r2c"&amp;$C3049,0),variables,2,0)</f>
        <v>9848</v>
      </c>
      <c r="H3049" s="71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67" t="s">
        <v>1429</v>
      </c>
      <c r="B3050" s="66">
        <f t="shared" si="6158"/>
        <v>3</v>
      </c>
      <c r="C3050" s="66">
        <f t="shared" si="6159"/>
        <v>51</v>
      </c>
      <c r="E3050" s="66">
        <f t="shared" ref="E3050" si="6252">plan_id</f>
        <v>1952</v>
      </c>
      <c r="F3050" s="66">
        <f t="shared" ca="1" si="6060"/>
        <v>2001</v>
      </c>
      <c r="G3050" s="66">
        <f t="shared" ref="G3050" ca="1" si="6253">VLOOKUP(INDIRECT(CHAR(39)&amp;$A3050&amp;CHAR(39)&amp;"!r2c"&amp;$C3050,0),variables,2,0)</f>
        <v>9866</v>
      </c>
      <c r="H3050" s="71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67" t="s">
        <v>1429</v>
      </c>
      <c r="B3051" s="66">
        <f t="shared" si="6158"/>
        <v>3</v>
      </c>
      <c r="C3051" s="66">
        <f t="shared" si="6159"/>
        <v>52</v>
      </c>
      <c r="E3051" s="66">
        <f t="shared" ref="E3051" si="6254">plan_id</f>
        <v>1952</v>
      </c>
      <c r="F3051" s="66">
        <f t="shared" ca="1" si="6060"/>
        <v>2001</v>
      </c>
      <c r="G3051" s="66">
        <f t="shared" ref="G3051" ca="1" si="6255">VLOOKUP(INDIRECT(CHAR(39)&amp;$A3051&amp;CHAR(39)&amp;"!r2c"&amp;$C3051,0),variables,2,0)</f>
        <v>9899</v>
      </c>
      <c r="H3051" s="71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67" t="s">
        <v>1429</v>
      </c>
      <c r="B3052" s="66">
        <f t="shared" si="6158"/>
        <v>3</v>
      </c>
      <c r="C3052" s="66">
        <f t="shared" si="6159"/>
        <v>53</v>
      </c>
      <c r="E3052" s="66">
        <f t="shared" ref="E3052" si="6256">plan_id</f>
        <v>1952</v>
      </c>
      <c r="F3052" s="66">
        <f t="shared" ca="1" si="6060"/>
        <v>2001</v>
      </c>
      <c r="G3052" s="66">
        <f t="shared" ref="G3052" ca="1" si="6257">VLOOKUP(INDIRECT(CHAR(39)&amp;$A3052&amp;CHAR(39)&amp;"!r2c"&amp;$C3052,0),variables,2,0)</f>
        <v>9905</v>
      </c>
      <c r="H3052" s="71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67" t="s">
        <v>1429</v>
      </c>
      <c r="B3053" s="66">
        <f t="shared" si="6158"/>
        <v>3</v>
      </c>
      <c r="C3053" s="66">
        <f t="shared" si="6159"/>
        <v>54</v>
      </c>
      <c r="E3053" s="66">
        <f t="shared" ref="E3053" si="6258">plan_id</f>
        <v>1952</v>
      </c>
      <c r="F3053" s="66">
        <f t="shared" ca="1" si="6060"/>
        <v>2001</v>
      </c>
      <c r="G3053" s="66">
        <f t="shared" ref="G3053" ca="1" si="6259">VLOOKUP(INDIRECT(CHAR(39)&amp;$A3053&amp;CHAR(39)&amp;"!r2c"&amp;$C3053,0),variables,2,0)</f>
        <v>9929</v>
      </c>
      <c r="H3053" s="71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67" t="s">
        <v>1429</v>
      </c>
      <c r="B3054" s="66">
        <f t="shared" si="6158"/>
        <v>3</v>
      </c>
      <c r="C3054" s="66">
        <f t="shared" si="6159"/>
        <v>55</v>
      </c>
      <c r="E3054" s="66">
        <f t="shared" ref="E3054" si="6260">plan_id</f>
        <v>1952</v>
      </c>
      <c r="F3054" s="66">
        <f t="shared" ca="1" si="6060"/>
        <v>2001</v>
      </c>
      <c r="G3054" s="66">
        <f t="shared" ref="G3054" ca="1" si="6261">VLOOKUP(INDIRECT(CHAR(39)&amp;$A3054&amp;CHAR(39)&amp;"!r2c"&amp;$C3054,0),variables,2,0)</f>
        <v>9654</v>
      </c>
      <c r="H3054" s="71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67" t="s">
        <v>1429</v>
      </c>
      <c r="B3055" s="66">
        <f t="shared" si="6158"/>
        <v>3</v>
      </c>
      <c r="C3055" s="66">
        <f t="shared" si="6159"/>
        <v>56</v>
      </c>
      <c r="E3055" s="66">
        <f t="shared" ref="E3055" si="6262">plan_id</f>
        <v>1952</v>
      </c>
      <c r="F3055" s="66">
        <f t="shared" ca="1" si="6060"/>
        <v>2001</v>
      </c>
      <c r="G3055" s="66">
        <f t="shared" ref="G3055" ca="1" si="6263">VLOOKUP(INDIRECT(CHAR(39)&amp;$A3055&amp;CHAR(39)&amp;"!r2c"&amp;$C3055,0),variables,2,0)</f>
        <v>9707</v>
      </c>
      <c r="H3055" s="71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67" t="s">
        <v>1429</v>
      </c>
      <c r="B3056" s="66">
        <f t="shared" si="6158"/>
        <v>3</v>
      </c>
      <c r="C3056" s="66">
        <f t="shared" si="6159"/>
        <v>57</v>
      </c>
      <c r="E3056" s="66">
        <f t="shared" ref="E3056" si="6264">plan_id</f>
        <v>1952</v>
      </c>
      <c r="F3056" s="66">
        <f t="shared" ca="1" si="6060"/>
        <v>2001</v>
      </c>
      <c r="G3056" s="66">
        <f t="shared" ref="G3056" ca="1" si="6265">VLOOKUP(INDIRECT(CHAR(39)&amp;$A3056&amp;CHAR(39)&amp;"!r2c"&amp;$C3056,0),variables,2,0)</f>
        <v>9669</v>
      </c>
      <c r="H3056" s="71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67" t="s">
        <v>1429</v>
      </c>
      <c r="B3057" s="66">
        <f t="shared" si="6158"/>
        <v>3</v>
      </c>
      <c r="C3057" s="66">
        <f t="shared" si="6159"/>
        <v>58</v>
      </c>
      <c r="E3057" s="66">
        <f t="shared" ref="E3057" si="6266">plan_id</f>
        <v>1952</v>
      </c>
      <c r="F3057" s="66">
        <f t="shared" ca="1" si="6060"/>
        <v>2001</v>
      </c>
      <c r="G3057" s="66">
        <f t="shared" ref="G3057" ca="1" si="6267">VLOOKUP(INDIRECT(CHAR(39)&amp;$A3057&amp;CHAR(39)&amp;"!r2c"&amp;$C3057,0),variables,2,0)</f>
        <v>9851</v>
      </c>
      <c r="H3057" s="71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67" t="s">
        <v>1429</v>
      </c>
      <c r="B3058" s="66">
        <f t="shared" si="6158"/>
        <v>3</v>
      </c>
      <c r="C3058" s="66">
        <f t="shared" si="6159"/>
        <v>59</v>
      </c>
      <c r="E3058" s="66">
        <f t="shared" ref="E3058" si="6268">plan_id</f>
        <v>1952</v>
      </c>
      <c r="F3058" s="66">
        <f t="shared" ca="1" si="6060"/>
        <v>2001</v>
      </c>
      <c r="G3058" s="66">
        <f t="shared" ref="G3058" ca="1" si="6269">VLOOKUP(INDIRECT(CHAR(39)&amp;$A3058&amp;CHAR(39)&amp;"!r2c"&amp;$C3058,0),variables,2,0)</f>
        <v>9890</v>
      </c>
      <c r="H3058" s="71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67" t="s">
        <v>1429</v>
      </c>
      <c r="B3059" s="66">
        <f t="shared" si="6158"/>
        <v>3</v>
      </c>
      <c r="C3059" s="66">
        <f t="shared" si="6159"/>
        <v>60</v>
      </c>
      <c r="E3059" s="66">
        <f t="shared" ref="E3059" si="6270">plan_id</f>
        <v>1952</v>
      </c>
      <c r="F3059" s="66">
        <f t="shared" ca="1" si="6060"/>
        <v>2001</v>
      </c>
      <c r="G3059" s="66">
        <f t="shared" ref="G3059" ca="1" si="6271">VLOOKUP(INDIRECT(CHAR(39)&amp;$A3059&amp;CHAR(39)&amp;"!r2c"&amp;$C3059,0),variables,2,0)</f>
        <v>9893</v>
      </c>
      <c r="H3059" s="71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67" t="s">
        <v>1429</v>
      </c>
      <c r="B3060" s="66">
        <f t="shared" si="6158"/>
        <v>3</v>
      </c>
      <c r="C3060" s="66">
        <f t="shared" si="6159"/>
        <v>61</v>
      </c>
      <c r="E3060" s="66">
        <f t="shared" ref="E3060" si="6272">plan_id</f>
        <v>1952</v>
      </c>
      <c r="F3060" s="66">
        <f t="shared" ca="1" si="6060"/>
        <v>2001</v>
      </c>
      <c r="G3060" s="66">
        <f t="shared" ref="G3060" ca="1" si="6273">VLOOKUP(INDIRECT(CHAR(39)&amp;$A3060&amp;CHAR(39)&amp;"!r2c"&amp;$C3060,0),variables,2,0)</f>
        <v>9896</v>
      </c>
      <c r="H3060" s="71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67" t="s">
        <v>1429</v>
      </c>
      <c r="B3061" s="66">
        <f t="shared" si="6158"/>
        <v>3</v>
      </c>
      <c r="C3061" s="66">
        <f t="shared" si="6159"/>
        <v>62</v>
      </c>
      <c r="E3061" s="66">
        <f t="shared" ref="E3061" si="6274">plan_id</f>
        <v>1952</v>
      </c>
      <c r="F3061" s="66">
        <f t="shared" ca="1" si="6060"/>
        <v>2001</v>
      </c>
      <c r="G3061" s="66">
        <f t="shared" ref="G3061" ca="1" si="6275">VLOOKUP(INDIRECT(CHAR(39)&amp;$A3061&amp;CHAR(39)&amp;"!r2c"&amp;$C3061,0),variables,2,0)</f>
        <v>9660</v>
      </c>
      <c r="H3061" s="71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67" t="s">
        <v>1429</v>
      </c>
      <c r="B3062" s="66">
        <f t="shared" si="6158"/>
        <v>3</v>
      </c>
      <c r="C3062" s="66">
        <f t="shared" si="6159"/>
        <v>63</v>
      </c>
      <c r="E3062" s="66">
        <f t="shared" ref="E3062" si="6276">plan_id</f>
        <v>1952</v>
      </c>
      <c r="F3062" s="66">
        <f t="shared" ca="1" si="6060"/>
        <v>2001</v>
      </c>
      <c r="G3062" s="66">
        <f t="shared" ref="G3062" ca="1" si="6277">VLOOKUP(INDIRECT(CHAR(39)&amp;$A3062&amp;CHAR(39)&amp;"!r2c"&amp;$C3062,0),variables,2,0)</f>
        <v>9701</v>
      </c>
      <c r="H3062" s="71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67" t="s">
        <v>1429</v>
      </c>
      <c r="B3063" s="66">
        <f t="shared" si="6158"/>
        <v>3</v>
      </c>
      <c r="C3063" s="66">
        <f t="shared" si="6159"/>
        <v>64</v>
      </c>
      <c r="E3063" s="66">
        <f t="shared" ref="E3063" si="6278">plan_id</f>
        <v>1952</v>
      </c>
      <c r="F3063" s="66">
        <f t="shared" ca="1" si="6060"/>
        <v>2001</v>
      </c>
      <c r="G3063" s="66">
        <f t="shared" ref="G3063" ca="1" si="6279">VLOOKUP(INDIRECT(CHAR(39)&amp;$A3063&amp;CHAR(39)&amp;"!r2c"&amp;$C3063,0),variables,2,0)</f>
        <v>9728</v>
      </c>
      <c r="H3063" s="71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67" t="s">
        <v>1429</v>
      </c>
      <c r="B3064" s="66">
        <f t="shared" si="6158"/>
        <v>3</v>
      </c>
      <c r="C3064" s="66">
        <f t="shared" si="6159"/>
        <v>65</v>
      </c>
      <c r="E3064" s="66">
        <f t="shared" ref="E3064" si="6280">plan_id</f>
        <v>1952</v>
      </c>
      <c r="F3064" s="66">
        <f t="shared" ca="1" si="6060"/>
        <v>2001</v>
      </c>
      <c r="G3064" s="66">
        <f t="shared" ref="G3064" ca="1" si="6281">VLOOKUP(INDIRECT(CHAR(39)&amp;$A3064&amp;CHAR(39)&amp;"!r2c"&amp;$C3064,0),variables,2,0)</f>
        <v>9731</v>
      </c>
      <c r="H3064" s="71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67" t="s">
        <v>1429</v>
      </c>
      <c r="B3065" s="66">
        <f t="shared" si="6158"/>
        <v>3</v>
      </c>
      <c r="C3065" s="66">
        <f t="shared" si="6159"/>
        <v>66</v>
      </c>
      <c r="E3065" s="66">
        <f t="shared" ref="E3065" si="6282">plan_id</f>
        <v>1952</v>
      </c>
      <c r="F3065" s="66">
        <f t="shared" ca="1" si="6060"/>
        <v>2001</v>
      </c>
      <c r="G3065" s="66">
        <f t="shared" ref="G3065" ca="1" si="6283">VLOOKUP(INDIRECT(CHAR(39)&amp;$A3065&amp;CHAR(39)&amp;"!r2c"&amp;$C3065,0),variables,2,0)</f>
        <v>9737</v>
      </c>
      <c r="H3065" s="71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67" t="s">
        <v>1429</v>
      </c>
      <c r="B3066" s="66">
        <f t="shared" si="6158"/>
        <v>3</v>
      </c>
      <c r="C3066" s="66">
        <f t="shared" si="6159"/>
        <v>67</v>
      </c>
      <c r="E3066" s="66">
        <f t="shared" ref="E3066" si="6284">plan_id</f>
        <v>1952</v>
      </c>
      <c r="F3066" s="66">
        <f t="shared" ca="1" si="6060"/>
        <v>2001</v>
      </c>
      <c r="G3066" s="66">
        <f t="shared" ref="G3066" ca="1" si="6285">VLOOKUP(INDIRECT(CHAR(39)&amp;$A3066&amp;CHAR(39)&amp;"!r2c"&amp;$C3066,0),variables,2,0)</f>
        <v>9740</v>
      </c>
      <c r="H3066" s="71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67" t="s">
        <v>1429</v>
      </c>
      <c r="B3067" s="66">
        <f t="shared" si="6158"/>
        <v>3</v>
      </c>
      <c r="C3067" s="66">
        <f t="shared" si="6159"/>
        <v>68</v>
      </c>
      <c r="E3067" s="66">
        <f t="shared" ref="E3067" si="6286">plan_id</f>
        <v>1952</v>
      </c>
      <c r="F3067" s="66">
        <f t="shared" ca="1" si="6060"/>
        <v>2001</v>
      </c>
      <c r="G3067" s="66">
        <f t="shared" ref="G3067" ca="1" si="6287">VLOOKUP(INDIRECT(CHAR(39)&amp;$A3067&amp;CHAR(39)&amp;"!r2c"&amp;$C3067,0),variables,2,0)</f>
        <v>9752</v>
      </c>
      <c r="H3067" s="71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67" t="s">
        <v>1429</v>
      </c>
      <c r="B3068" s="66">
        <f t="shared" ref="B3068:B3089" si="6288">B3067</f>
        <v>3</v>
      </c>
      <c r="C3068" s="66">
        <f t="shared" ref="C3068:C3089" si="6289">C3067+1</f>
        <v>69</v>
      </c>
      <c r="E3068" s="66">
        <f t="shared" ref="E3068" si="6290">plan_id</f>
        <v>1952</v>
      </c>
      <c r="F3068" s="66">
        <f t="shared" ca="1" si="6060"/>
        <v>2001</v>
      </c>
      <c r="G3068" s="66">
        <f t="shared" ref="G3068" ca="1" si="6291">VLOOKUP(INDIRECT(CHAR(39)&amp;$A3068&amp;CHAR(39)&amp;"!r2c"&amp;$C3068,0),variables,2,0)</f>
        <v>9791</v>
      </c>
      <c r="H3068" s="71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67" t="s">
        <v>1429</v>
      </c>
      <c r="B3069" s="66">
        <f t="shared" si="6288"/>
        <v>3</v>
      </c>
      <c r="C3069" s="66">
        <f t="shared" si="6289"/>
        <v>70</v>
      </c>
      <c r="E3069" s="66">
        <f t="shared" ref="E3069" si="6292">plan_id</f>
        <v>1952</v>
      </c>
      <c r="F3069" s="66">
        <f t="shared" ca="1" si="6060"/>
        <v>2001</v>
      </c>
      <c r="G3069" s="66">
        <f t="shared" ref="G3069" ca="1" si="6293">VLOOKUP(INDIRECT(CHAR(39)&amp;$A3069&amp;CHAR(39)&amp;"!r2c"&amp;$C3069,0),variables,2,0)</f>
        <v>9800</v>
      </c>
      <c r="H3069" s="71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67" t="s">
        <v>1429</v>
      </c>
      <c r="B3070" s="66">
        <f t="shared" si="6288"/>
        <v>3</v>
      </c>
      <c r="C3070" s="66">
        <f t="shared" si="6289"/>
        <v>71</v>
      </c>
      <c r="E3070" s="66">
        <f t="shared" ref="E3070" si="6294">plan_id</f>
        <v>1952</v>
      </c>
      <c r="F3070" s="66">
        <f t="shared" ca="1" si="6060"/>
        <v>2001</v>
      </c>
      <c r="G3070" s="66">
        <f t="shared" ref="G3070" ca="1" si="6295">VLOOKUP(INDIRECT(CHAR(39)&amp;$A3070&amp;CHAR(39)&amp;"!r2c"&amp;$C3070,0),variables,2,0)</f>
        <v>9842</v>
      </c>
      <c r="H3070" s="71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67" t="s">
        <v>1429</v>
      </c>
      <c r="B3071" s="66">
        <f t="shared" si="6288"/>
        <v>3</v>
      </c>
      <c r="C3071" s="66">
        <f t="shared" si="6289"/>
        <v>72</v>
      </c>
      <c r="E3071" s="66">
        <f t="shared" ref="E3071" si="6296">plan_id</f>
        <v>1952</v>
      </c>
      <c r="F3071" s="66">
        <f t="shared" ca="1" si="6060"/>
        <v>2001</v>
      </c>
      <c r="G3071" s="66">
        <f t="shared" ref="G3071" ca="1" si="6297">VLOOKUP(INDIRECT(CHAR(39)&amp;$A3071&amp;CHAR(39)&amp;"!r2c"&amp;$C3071,0),variables,2,0)</f>
        <v>9854</v>
      </c>
      <c r="H3071" s="71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67" t="s">
        <v>1429</v>
      </c>
      <c r="B3072" s="66">
        <f t="shared" si="6288"/>
        <v>3</v>
      </c>
      <c r="C3072" s="66">
        <f t="shared" si="6289"/>
        <v>73</v>
      </c>
      <c r="E3072" s="66">
        <f t="shared" ref="E3072" si="6298">plan_id</f>
        <v>1952</v>
      </c>
      <c r="F3072" s="66">
        <f t="shared" ca="1" si="6060"/>
        <v>2001</v>
      </c>
      <c r="G3072" s="66">
        <f t="shared" ref="G3072" ca="1" si="6299">VLOOKUP(INDIRECT(CHAR(39)&amp;$A3072&amp;CHAR(39)&amp;"!r2c"&amp;$C3072,0),variables,2,0)</f>
        <v>9869</v>
      </c>
      <c r="H3072" s="71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67" t="s">
        <v>1429</v>
      </c>
      <c r="B3073" s="66">
        <f t="shared" si="6288"/>
        <v>3</v>
      </c>
      <c r="C3073" s="66">
        <f t="shared" si="6289"/>
        <v>74</v>
      </c>
      <c r="E3073" s="66">
        <f t="shared" ref="E3073" si="6300">plan_id</f>
        <v>1952</v>
      </c>
      <c r="F3073" s="66">
        <f t="shared" ca="1" si="6060"/>
        <v>2001</v>
      </c>
      <c r="G3073" s="66">
        <f t="shared" ref="G3073" ca="1" si="6301">VLOOKUP(INDIRECT(CHAR(39)&amp;$A3073&amp;CHAR(39)&amp;"!r2c"&amp;$C3073,0),variables,2,0)</f>
        <v>9873</v>
      </c>
      <c r="H3073" s="71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67" t="s">
        <v>1429</v>
      </c>
      <c r="B3074" s="66">
        <f t="shared" si="6288"/>
        <v>3</v>
      </c>
      <c r="C3074" s="66">
        <f t="shared" si="6289"/>
        <v>75</v>
      </c>
      <c r="E3074" s="66">
        <f t="shared" ref="E3074" si="6302">plan_id</f>
        <v>1952</v>
      </c>
      <c r="F3074" s="66">
        <f t="shared" ca="1" si="6060"/>
        <v>2001</v>
      </c>
      <c r="G3074" s="66">
        <f t="shared" ref="G3074" ca="1" si="6303">VLOOKUP(INDIRECT(CHAR(39)&amp;$A3074&amp;CHAR(39)&amp;"!r2c"&amp;$C3074,0),variables,2,0)</f>
        <v>9881</v>
      </c>
      <c r="H3074" s="71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67" t="s">
        <v>1429</v>
      </c>
      <c r="B3075" s="66">
        <f t="shared" si="6288"/>
        <v>3</v>
      </c>
      <c r="C3075" s="66">
        <f t="shared" si="6289"/>
        <v>76</v>
      </c>
      <c r="E3075" s="66">
        <f t="shared" ref="E3075" si="6304">plan_id</f>
        <v>1952</v>
      </c>
      <c r="F3075" s="66">
        <f t="shared" ca="1" si="6060"/>
        <v>2001</v>
      </c>
      <c r="G3075" s="66">
        <f t="shared" ref="G3075" ca="1" si="6305">VLOOKUP(INDIRECT(CHAR(39)&amp;$A3075&amp;CHAR(39)&amp;"!r2c"&amp;$C3075,0),variables,2,0)</f>
        <v>9908</v>
      </c>
      <c r="H3075" s="71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67" t="s">
        <v>1429</v>
      </c>
      <c r="B3076" s="66">
        <f t="shared" si="6288"/>
        <v>3</v>
      </c>
      <c r="C3076" s="66">
        <f t="shared" si="6289"/>
        <v>77</v>
      </c>
      <c r="E3076" s="66">
        <f t="shared" ref="E3076" si="6306">plan_id</f>
        <v>1952</v>
      </c>
      <c r="F3076" s="66">
        <f t="shared" ca="1" si="6060"/>
        <v>2001</v>
      </c>
      <c r="G3076" s="66">
        <f t="shared" ref="G3076" ca="1" si="6307">VLOOKUP(INDIRECT(CHAR(39)&amp;$A3076&amp;CHAR(39)&amp;"!r2c"&amp;$C3076,0),variables,2,0)</f>
        <v>9911</v>
      </c>
      <c r="H3076" s="71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67" t="s">
        <v>1429</v>
      </c>
      <c r="B3077" s="66">
        <f t="shared" si="6288"/>
        <v>3</v>
      </c>
      <c r="C3077" s="66">
        <f t="shared" si="6289"/>
        <v>78</v>
      </c>
      <c r="E3077" s="66">
        <f t="shared" ref="E3077" si="6308">plan_id</f>
        <v>1952</v>
      </c>
      <c r="F3077" s="66">
        <f t="shared" ca="1" si="6060"/>
        <v>2001</v>
      </c>
      <c r="G3077" s="66">
        <f t="shared" ref="G3077" ca="1" si="6309">VLOOKUP(INDIRECT(CHAR(39)&amp;$A3077&amp;CHAR(39)&amp;"!r2c"&amp;$C3077,0),variables,2,0)</f>
        <v>9663</v>
      </c>
      <c r="H3077" s="71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67" t="s">
        <v>1429</v>
      </c>
      <c r="B3078" s="66">
        <f t="shared" si="6288"/>
        <v>3</v>
      </c>
      <c r="C3078" s="66">
        <f t="shared" si="6289"/>
        <v>79</v>
      </c>
      <c r="E3078" s="66">
        <f t="shared" ref="E3078" si="6310">plan_id</f>
        <v>1952</v>
      </c>
      <c r="F3078" s="66">
        <f t="shared" ca="1" si="6060"/>
        <v>2001</v>
      </c>
      <c r="G3078" s="66">
        <f t="shared" ref="G3078" ca="1" si="6311">VLOOKUP(INDIRECT(CHAR(39)&amp;$A3078&amp;CHAR(39)&amp;"!r2c"&amp;$C3078,0),variables,2,0)</f>
        <v>9710</v>
      </c>
      <c r="H3078" s="71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67" t="s">
        <v>1429</v>
      </c>
      <c r="B3079" s="66">
        <f t="shared" si="6288"/>
        <v>3</v>
      </c>
      <c r="C3079" s="66">
        <f t="shared" si="6289"/>
        <v>80</v>
      </c>
      <c r="E3079" s="66">
        <f t="shared" ref="E3079" si="6312">plan_id</f>
        <v>1952</v>
      </c>
      <c r="F3079" s="66">
        <f t="shared" ca="1" si="6060"/>
        <v>2001</v>
      </c>
      <c r="G3079" s="66">
        <f t="shared" ref="G3079" ca="1" si="6313">VLOOKUP(INDIRECT(CHAR(39)&amp;$A3079&amp;CHAR(39)&amp;"!r2c"&amp;$C3079,0),variables,2,0)</f>
        <v>9758</v>
      </c>
      <c r="H3079" s="71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67" t="s">
        <v>1429</v>
      </c>
      <c r="B3080" s="66">
        <f t="shared" si="6288"/>
        <v>3</v>
      </c>
      <c r="C3080" s="66">
        <f t="shared" si="6289"/>
        <v>81</v>
      </c>
      <c r="E3080" s="66">
        <f t="shared" ref="E3080" si="6314">plan_id</f>
        <v>1952</v>
      </c>
      <c r="F3080" s="66">
        <f t="shared" ca="1" si="6060"/>
        <v>2001</v>
      </c>
      <c r="G3080" s="66">
        <f t="shared" ref="G3080" ca="1" si="6315">VLOOKUP(INDIRECT(CHAR(39)&amp;$A3080&amp;CHAR(39)&amp;"!r2c"&amp;$C3080,0),variables,2,0)</f>
        <v>9803</v>
      </c>
      <c r="H3080" s="71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67" t="s">
        <v>1429</v>
      </c>
      <c r="B3081" s="66">
        <f t="shared" si="6288"/>
        <v>3</v>
      </c>
      <c r="C3081" s="66">
        <f t="shared" si="6289"/>
        <v>82</v>
      </c>
      <c r="E3081" s="66">
        <f t="shared" ref="E3081" si="6316">plan_id</f>
        <v>1952</v>
      </c>
      <c r="F3081" s="66">
        <f t="shared" ca="1" si="6060"/>
        <v>2001</v>
      </c>
      <c r="G3081" s="66">
        <f t="shared" ref="G3081" ca="1" si="6317">VLOOKUP(INDIRECT(CHAR(39)&amp;$A3081&amp;CHAR(39)&amp;"!r2c"&amp;$C3081,0),variables,2,0)</f>
        <v>9857</v>
      </c>
      <c r="H3081" s="71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67" t="s">
        <v>1429</v>
      </c>
      <c r="B3082" s="66">
        <f t="shared" si="6288"/>
        <v>3</v>
      </c>
      <c r="C3082" s="66">
        <f t="shared" si="6289"/>
        <v>83</v>
      </c>
      <c r="E3082" s="66">
        <f t="shared" ref="E3082" si="6318">plan_id</f>
        <v>1952</v>
      </c>
      <c r="F3082" s="66">
        <f t="shared" ca="1" si="6060"/>
        <v>2001</v>
      </c>
      <c r="G3082" s="66">
        <f t="shared" ref="G3082" ca="1" si="6319">VLOOKUP(INDIRECT(CHAR(39)&amp;$A3082&amp;CHAR(39)&amp;"!r2c"&amp;$C3082,0),variables,2,0)</f>
        <v>9902</v>
      </c>
      <c r="H3082" s="71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67" t="s">
        <v>1429</v>
      </c>
      <c r="B3083" s="66">
        <f t="shared" si="6288"/>
        <v>3</v>
      </c>
      <c r="C3083" s="66">
        <f t="shared" si="6289"/>
        <v>84</v>
      </c>
      <c r="E3083" s="66">
        <f t="shared" ref="E3083" si="6320">plan_id</f>
        <v>1952</v>
      </c>
      <c r="F3083" s="66">
        <f t="shared" ca="1" si="6060"/>
        <v>2001</v>
      </c>
      <c r="G3083" s="66">
        <f t="shared" ref="G3083" ca="1" si="6321">VLOOKUP(INDIRECT(CHAR(39)&amp;$A3083&amp;CHAR(39)&amp;"!r2c"&amp;$C3083,0),variables,2,0)</f>
        <v>9926</v>
      </c>
      <c r="H3083" s="71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67" t="s">
        <v>1429</v>
      </c>
      <c r="B3084" s="66">
        <f t="shared" si="6288"/>
        <v>3</v>
      </c>
      <c r="C3084" s="66">
        <f t="shared" si="6289"/>
        <v>85</v>
      </c>
      <c r="E3084" s="66">
        <f t="shared" ref="E3084" si="6322">plan_id</f>
        <v>1952</v>
      </c>
      <c r="F3084" s="66">
        <f t="shared" ca="1" si="6060"/>
        <v>2001</v>
      </c>
      <c r="G3084" s="66">
        <f t="shared" ref="G3084" ca="1" si="6323">VLOOKUP(INDIRECT(CHAR(39)&amp;$A3084&amp;CHAR(39)&amp;"!r2c"&amp;$C3084,0),variables,2,0)</f>
        <v>9666</v>
      </c>
      <c r="H3084" s="71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67" t="s">
        <v>1429</v>
      </c>
      <c r="B3085" s="66">
        <f t="shared" si="6288"/>
        <v>3</v>
      </c>
      <c r="C3085" s="66">
        <f t="shared" si="6289"/>
        <v>86</v>
      </c>
      <c r="E3085" s="66">
        <f t="shared" ref="E3085" si="6324">plan_id</f>
        <v>1952</v>
      </c>
      <c r="F3085" s="66">
        <f t="shared" ca="1" si="6060"/>
        <v>2001</v>
      </c>
      <c r="G3085" s="66">
        <f t="shared" ref="G3085" ca="1" si="6325">VLOOKUP(INDIRECT(CHAR(39)&amp;$A3085&amp;CHAR(39)&amp;"!r2c"&amp;$C3085,0),variables,2,0)</f>
        <v>9827</v>
      </c>
      <c r="H3085" s="71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67" t="s">
        <v>1429</v>
      </c>
      <c r="B3086" s="66">
        <f t="shared" si="6288"/>
        <v>3</v>
      </c>
      <c r="C3086" s="66">
        <f t="shared" si="6289"/>
        <v>87</v>
      </c>
      <c r="E3086" s="66">
        <f t="shared" ref="E3086" si="6326">plan_id</f>
        <v>1952</v>
      </c>
      <c r="F3086" s="66">
        <f t="shared" ca="1" si="6060"/>
        <v>2001</v>
      </c>
      <c r="G3086" s="66">
        <f t="shared" ref="G3086" ca="1" si="6327">VLOOKUP(INDIRECT(CHAR(39)&amp;$A3086&amp;CHAR(39)&amp;"!r2c"&amp;$C3086,0),variables,2,0)</f>
        <v>9657</v>
      </c>
      <c r="H3086" s="71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67" t="s">
        <v>1429</v>
      </c>
      <c r="B3087" s="66">
        <f t="shared" si="6288"/>
        <v>3</v>
      </c>
      <c r="C3087" s="66">
        <f t="shared" si="6289"/>
        <v>88</v>
      </c>
      <c r="E3087" s="66">
        <f t="shared" ref="E3087" si="6328">plan_id</f>
        <v>1952</v>
      </c>
      <c r="F3087" s="66">
        <f t="shared" ca="1" si="6060"/>
        <v>2001</v>
      </c>
      <c r="G3087" s="66">
        <f t="shared" ref="G3087" ca="1" si="6329">VLOOKUP(INDIRECT(CHAR(39)&amp;$A3087&amp;CHAR(39)&amp;"!r2c"&amp;$C3087,0),variables,2,0)</f>
        <v>9834</v>
      </c>
      <c r="H3087" s="71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67" t="s">
        <v>1429</v>
      </c>
      <c r="B3088" s="66">
        <f t="shared" si="6288"/>
        <v>3</v>
      </c>
      <c r="C3088" s="66">
        <f t="shared" si="6289"/>
        <v>89</v>
      </c>
      <c r="E3088" s="66">
        <f t="shared" ref="E3088" si="6330">plan_id</f>
        <v>1952</v>
      </c>
      <c r="F3088" s="66">
        <f t="shared" ca="1" si="6060"/>
        <v>2001</v>
      </c>
      <c r="G3088" s="66">
        <f t="shared" ref="G3088" ca="1" si="6331">VLOOKUP(INDIRECT(CHAR(39)&amp;$A3088&amp;CHAR(39)&amp;"!r2c"&amp;$C3088,0),variables,2,0)</f>
        <v>9884</v>
      </c>
      <c r="H3088" s="71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67" t="s">
        <v>1429</v>
      </c>
      <c r="B3089" s="66">
        <f t="shared" si="6288"/>
        <v>3</v>
      </c>
      <c r="C3089" s="66">
        <f t="shared" si="6289"/>
        <v>90</v>
      </c>
      <c r="E3089" s="66">
        <f t="shared" ref="E3089" si="6332">plan_id</f>
        <v>1952</v>
      </c>
      <c r="F3089" s="66">
        <f t="shared" ca="1" si="6060"/>
        <v>2001</v>
      </c>
      <c r="G3089" s="66">
        <f t="shared" ref="G3089" ca="1" si="6333">VLOOKUP(INDIRECT(CHAR(39)&amp;$A3089&amp;CHAR(39)&amp;"!r2c"&amp;$C3089,0),variables,2,0)</f>
        <v>9672</v>
      </c>
      <c r="H3089" s="71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67" t="s">
        <v>1429</v>
      </c>
      <c r="B3090" s="66">
        <f t="shared" ref="B3090:B3153" si="6334">B3002+1</f>
        <v>4</v>
      </c>
      <c r="C3090" s="66">
        <f>C3002</f>
        <v>3</v>
      </c>
      <c r="E3090" s="66">
        <f t="shared" ref="E3090" si="6335">plan_id</f>
        <v>1952</v>
      </c>
      <c r="F3090" s="66">
        <f t="shared" ca="1" si="6060"/>
        <v>2002</v>
      </c>
      <c r="G3090" s="66">
        <f t="shared" ref="G3090" ca="1" si="6336">VLOOKUP(INDIRECT(CHAR(39)&amp;$A3090&amp;CHAR(39)&amp;"!r2c"&amp;$C3090,0),variables,2,0)</f>
        <v>9704</v>
      </c>
      <c r="H3090" s="71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67" t="s">
        <v>1429</v>
      </c>
      <c r="B3091" s="66">
        <f t="shared" si="6334"/>
        <v>4</v>
      </c>
      <c r="C3091" s="66">
        <f t="shared" ref="C3091:C3154" si="6337">C3003</f>
        <v>4</v>
      </c>
      <c r="E3091" s="66">
        <f t="shared" ref="E3091" si="6338">plan_id</f>
        <v>1952</v>
      </c>
      <c r="F3091" s="66">
        <f t="shared" ca="1" si="6060"/>
        <v>2002</v>
      </c>
      <c r="G3091" s="66">
        <f t="shared" ref="G3091" ca="1" si="6339">VLOOKUP(INDIRECT(CHAR(39)&amp;$A3091&amp;CHAR(39)&amp;"!r2c"&amp;$C3091,0),variables,2,0)</f>
        <v>9716</v>
      </c>
      <c r="H3091" s="71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67" t="s">
        <v>1429</v>
      </c>
      <c r="B3092" s="66">
        <f t="shared" si="6334"/>
        <v>4</v>
      </c>
      <c r="C3092" s="66">
        <f t="shared" si="6337"/>
        <v>5</v>
      </c>
      <c r="E3092" s="66">
        <f t="shared" ref="E3092" si="6340">plan_id</f>
        <v>1952</v>
      </c>
      <c r="F3092" s="66">
        <f t="shared" ca="1" si="6060"/>
        <v>2002</v>
      </c>
      <c r="G3092" s="66">
        <f t="shared" ref="G3092" ca="1" si="6341">VLOOKUP(INDIRECT(CHAR(39)&amp;$A3092&amp;CHAR(39)&amp;"!r2c"&amp;$C3092,0),variables,2,0)</f>
        <v>9734</v>
      </c>
      <c r="H3092" s="71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67" t="s">
        <v>1429</v>
      </c>
      <c r="B3093" s="66">
        <f t="shared" si="6334"/>
        <v>4</v>
      </c>
      <c r="C3093" s="66">
        <f t="shared" si="6337"/>
        <v>6</v>
      </c>
      <c r="E3093" s="66">
        <f t="shared" ref="E3093" si="6342">plan_id</f>
        <v>1952</v>
      </c>
      <c r="F3093" s="66">
        <f t="shared" ca="1" si="6060"/>
        <v>2002</v>
      </c>
      <c r="G3093" s="66">
        <f t="shared" ref="G3093" ca="1" si="6343">VLOOKUP(INDIRECT(CHAR(39)&amp;$A3093&amp;CHAR(39)&amp;"!r2c"&amp;$C3093,0),variables,2,0)</f>
        <v>9749</v>
      </c>
      <c r="H3093" s="71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67" t="s">
        <v>1429</v>
      </c>
      <c r="B3094" s="66">
        <f t="shared" si="6334"/>
        <v>4</v>
      </c>
      <c r="C3094" s="66">
        <f t="shared" si="6337"/>
        <v>7</v>
      </c>
      <c r="E3094" s="66">
        <f t="shared" ref="E3094" si="6344">plan_id</f>
        <v>1952</v>
      </c>
      <c r="F3094" s="66">
        <f t="shared" ca="1" si="6060"/>
        <v>2002</v>
      </c>
      <c r="G3094" s="66">
        <f t="shared" ref="G3094" ca="1" si="6345">VLOOKUP(INDIRECT(CHAR(39)&amp;$A3094&amp;CHAR(39)&amp;"!r2c"&amp;$C3094,0),variables,2,0)</f>
        <v>9755</v>
      </c>
      <c r="H3094" s="71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67" t="s">
        <v>1429</v>
      </c>
      <c r="B3095" s="66">
        <f t="shared" si="6334"/>
        <v>4</v>
      </c>
      <c r="C3095" s="66">
        <f t="shared" si="6337"/>
        <v>8</v>
      </c>
      <c r="E3095" s="66">
        <f t="shared" ref="E3095" si="6346">plan_id</f>
        <v>1952</v>
      </c>
      <c r="F3095" s="66">
        <f t="shared" ca="1" si="6060"/>
        <v>2002</v>
      </c>
      <c r="G3095" s="66">
        <f t="shared" ref="G3095" ca="1" si="6347">VLOOKUP(INDIRECT(CHAR(39)&amp;$A3095&amp;CHAR(39)&amp;"!r2c"&amp;$C3095,0),variables,2,0)</f>
        <v>9782</v>
      </c>
      <c r="H3095" s="71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67" t="s">
        <v>1429</v>
      </c>
      <c r="B3096" s="66">
        <f t="shared" si="6334"/>
        <v>4</v>
      </c>
      <c r="C3096" s="66">
        <f t="shared" si="6337"/>
        <v>9</v>
      </c>
      <c r="E3096" s="66">
        <f t="shared" ref="E3096" si="6348">plan_id</f>
        <v>1952</v>
      </c>
      <c r="F3096" s="66">
        <f t="shared" ca="1" si="6060"/>
        <v>2002</v>
      </c>
      <c r="G3096" s="66">
        <f t="shared" ref="G3096" ca="1" si="6349">VLOOKUP(INDIRECT(CHAR(39)&amp;$A3096&amp;CHAR(39)&amp;"!r2c"&amp;$C3096,0),variables,2,0)</f>
        <v>9788</v>
      </c>
      <c r="H3096" s="71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67" t="s">
        <v>1429</v>
      </c>
      <c r="B3097" s="66">
        <f t="shared" si="6334"/>
        <v>4</v>
      </c>
      <c r="C3097" s="66">
        <f t="shared" si="6337"/>
        <v>10</v>
      </c>
      <c r="E3097" s="66">
        <f t="shared" ref="E3097" si="6350">plan_id</f>
        <v>1952</v>
      </c>
      <c r="F3097" s="66">
        <f t="shared" ca="1" si="6060"/>
        <v>2002</v>
      </c>
      <c r="G3097" s="66">
        <f t="shared" ref="G3097" ca="1" si="6351">VLOOKUP(INDIRECT(CHAR(39)&amp;$A3097&amp;CHAR(39)&amp;"!r2c"&amp;$C3097,0),variables,2,0)</f>
        <v>9812</v>
      </c>
      <c r="H3097" s="71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67" t="s">
        <v>1429</v>
      </c>
      <c r="B3098" s="66">
        <f t="shared" si="6334"/>
        <v>4</v>
      </c>
      <c r="C3098" s="66">
        <f t="shared" si="6337"/>
        <v>11</v>
      </c>
      <c r="E3098" s="66">
        <f t="shared" ref="E3098" si="6352">plan_id</f>
        <v>1952</v>
      </c>
      <c r="F3098" s="66">
        <f t="shared" ca="1" si="6060"/>
        <v>2002</v>
      </c>
      <c r="G3098" s="66">
        <f t="shared" ref="G3098" ca="1" si="6353">VLOOKUP(INDIRECT(CHAR(39)&amp;$A3098&amp;CHAR(39)&amp;"!r2c"&amp;$C3098,0),variables,2,0)</f>
        <v>9815</v>
      </c>
      <c r="H3098" s="71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67" t="s">
        <v>1429</v>
      </c>
      <c r="B3099" s="66">
        <f t="shared" si="6334"/>
        <v>4</v>
      </c>
      <c r="C3099" s="66">
        <f t="shared" si="6337"/>
        <v>12</v>
      </c>
      <c r="E3099" s="66">
        <f t="shared" ref="E3099" si="6354">plan_id</f>
        <v>1952</v>
      </c>
      <c r="F3099" s="66">
        <f t="shared" ca="1" si="6060"/>
        <v>2002</v>
      </c>
      <c r="G3099" s="66">
        <f t="shared" ref="G3099" ca="1" si="6355">VLOOKUP(INDIRECT(CHAR(39)&amp;$A3099&amp;CHAR(39)&amp;"!r2c"&amp;$C3099,0),variables,2,0)</f>
        <v>9821</v>
      </c>
      <c r="H3099" s="71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67" t="s">
        <v>1429</v>
      </c>
      <c r="B3100" s="66">
        <f t="shared" si="6334"/>
        <v>4</v>
      </c>
      <c r="C3100" s="66">
        <f t="shared" si="6337"/>
        <v>13</v>
      </c>
      <c r="E3100" s="66">
        <f t="shared" ref="E3100" si="6356">plan_id</f>
        <v>1952</v>
      </c>
      <c r="F3100" s="66">
        <f t="shared" ca="1" si="6060"/>
        <v>2002</v>
      </c>
      <c r="G3100" s="66">
        <f t="shared" ref="G3100" ca="1" si="6357">VLOOKUP(INDIRECT(CHAR(39)&amp;$A3100&amp;CHAR(39)&amp;"!r2c"&amp;$C3100,0),variables,2,0)</f>
        <v>9824</v>
      </c>
      <c r="H3100" s="71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67" t="s">
        <v>1429</v>
      </c>
      <c r="B3101" s="66">
        <f t="shared" si="6334"/>
        <v>4</v>
      </c>
      <c r="C3101" s="66">
        <f t="shared" si="6337"/>
        <v>14</v>
      </c>
      <c r="E3101" s="66">
        <f t="shared" ref="E3101" si="6358">plan_id</f>
        <v>1952</v>
      </c>
      <c r="F3101" s="66">
        <f t="shared" ca="1" si="6060"/>
        <v>2002</v>
      </c>
      <c r="G3101" s="66">
        <f t="shared" ref="G3101" ca="1" si="6359">VLOOKUP(INDIRECT(CHAR(39)&amp;$A3101&amp;CHAR(39)&amp;"!r2c"&amp;$C3101,0),variables,2,0)</f>
        <v>9830</v>
      </c>
      <c r="H3101" s="71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67" t="s">
        <v>1429</v>
      </c>
      <c r="B3102" s="66">
        <f t="shared" si="6334"/>
        <v>4</v>
      </c>
      <c r="C3102" s="66">
        <f t="shared" si="6337"/>
        <v>15</v>
      </c>
      <c r="E3102" s="66">
        <f t="shared" ref="E3102" si="6360">plan_id</f>
        <v>1952</v>
      </c>
      <c r="F3102" s="66">
        <f t="shared" ca="1" si="6060"/>
        <v>2002</v>
      </c>
      <c r="G3102" s="66">
        <f t="shared" ref="G3102" ca="1" si="6361">VLOOKUP(INDIRECT(CHAR(39)&amp;$A3102&amp;CHAR(39)&amp;"!r2c"&amp;$C3102,0),variables,2,0)</f>
        <v>9833</v>
      </c>
      <c r="H3102" s="71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67" t="s">
        <v>1429</v>
      </c>
      <c r="B3103" s="66">
        <f t="shared" si="6334"/>
        <v>4</v>
      </c>
      <c r="C3103" s="66">
        <f t="shared" si="6337"/>
        <v>16</v>
      </c>
      <c r="E3103" s="66">
        <f t="shared" ref="E3103" si="6362">plan_id</f>
        <v>1952</v>
      </c>
      <c r="F3103" s="66">
        <f t="shared" ca="1" si="6060"/>
        <v>2002</v>
      </c>
      <c r="G3103" s="66">
        <f t="shared" ref="G3103" ca="1" si="6363">VLOOKUP(INDIRECT(CHAR(39)&amp;$A3103&amp;CHAR(39)&amp;"!r2c"&amp;$C3103,0),variables,2,0)</f>
        <v>9845</v>
      </c>
      <c r="H3103" s="71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67" t="s">
        <v>1429</v>
      </c>
      <c r="B3104" s="66">
        <f t="shared" si="6334"/>
        <v>4</v>
      </c>
      <c r="C3104" s="66">
        <f t="shared" si="6337"/>
        <v>17</v>
      </c>
      <c r="E3104" s="66">
        <f t="shared" ref="E3104" si="6364">plan_id</f>
        <v>1952</v>
      </c>
      <c r="F3104" s="66">
        <f t="shared" ca="1" si="6060"/>
        <v>2002</v>
      </c>
      <c r="G3104" s="66">
        <f t="shared" ref="G3104" ca="1" si="6365">VLOOKUP(INDIRECT(CHAR(39)&amp;$A3104&amp;CHAR(39)&amp;"!r2c"&amp;$C3104,0),variables,2,0)</f>
        <v>9872</v>
      </c>
      <c r="H3104" s="71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67" t="s">
        <v>1429</v>
      </c>
      <c r="B3105" s="66">
        <f t="shared" si="6334"/>
        <v>4</v>
      </c>
      <c r="C3105" s="66">
        <f t="shared" si="6337"/>
        <v>18</v>
      </c>
      <c r="E3105" s="66">
        <f t="shared" ref="E3105" si="6366">plan_id</f>
        <v>1952</v>
      </c>
      <c r="F3105" s="66">
        <f t="shared" ca="1" si="6060"/>
        <v>2002</v>
      </c>
      <c r="G3105" s="66">
        <f t="shared" ref="G3105" ca="1" si="6367">VLOOKUP(INDIRECT(CHAR(39)&amp;$A3105&amp;CHAR(39)&amp;"!r2c"&amp;$C3105,0),variables,2,0)</f>
        <v>9887</v>
      </c>
      <c r="H3105" s="71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67" t="s">
        <v>1429</v>
      </c>
      <c r="B3106" s="66">
        <f t="shared" si="6334"/>
        <v>4</v>
      </c>
      <c r="C3106" s="66">
        <f t="shared" si="6337"/>
        <v>19</v>
      </c>
      <c r="E3106" s="66">
        <f t="shared" ref="E3106" si="6368">plan_id</f>
        <v>1952</v>
      </c>
      <c r="F3106" s="66">
        <f t="shared" ca="1" si="6060"/>
        <v>2002</v>
      </c>
      <c r="G3106" s="66">
        <f t="shared" ref="G3106" ca="1" si="6369">VLOOKUP(INDIRECT(CHAR(39)&amp;$A3106&amp;CHAR(39)&amp;"!r2c"&amp;$C3106,0),variables,2,0)</f>
        <v>9914</v>
      </c>
      <c r="H3106" s="71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67" t="s">
        <v>1429</v>
      </c>
      <c r="B3107" s="66">
        <f t="shared" si="6334"/>
        <v>4</v>
      </c>
      <c r="C3107" s="66">
        <f t="shared" si="6337"/>
        <v>20</v>
      </c>
      <c r="E3107" s="66">
        <f t="shared" ref="E3107" si="6370">plan_id</f>
        <v>1952</v>
      </c>
      <c r="F3107" s="66">
        <f t="shared" ca="1" si="6060"/>
        <v>2002</v>
      </c>
      <c r="G3107" s="66">
        <f t="shared" ref="G3107" ca="1" si="6371">VLOOKUP(INDIRECT(CHAR(39)&amp;$A3107&amp;CHAR(39)&amp;"!r2c"&amp;$C3107,0),variables,2,0)</f>
        <v>9917</v>
      </c>
      <c r="H3107" s="71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67" t="s">
        <v>1429</v>
      </c>
      <c r="B3108" s="66">
        <f t="shared" si="6334"/>
        <v>4</v>
      </c>
      <c r="C3108" s="66">
        <f t="shared" si="6337"/>
        <v>21</v>
      </c>
      <c r="E3108" s="66">
        <f t="shared" ref="E3108" si="6372">plan_id</f>
        <v>1952</v>
      </c>
      <c r="F3108" s="66">
        <f t="shared" ca="1" si="6060"/>
        <v>2002</v>
      </c>
      <c r="G3108" s="66">
        <f t="shared" ref="G3108" ca="1" si="6373">VLOOKUP(INDIRECT(CHAR(39)&amp;$A3108&amp;CHAR(39)&amp;"!r2c"&amp;$C3108,0),variables,2,0)</f>
        <v>9920</v>
      </c>
      <c r="H3108" s="71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67" t="s">
        <v>1429</v>
      </c>
      <c r="B3109" s="66">
        <f t="shared" si="6334"/>
        <v>4</v>
      </c>
      <c r="C3109" s="66">
        <f t="shared" si="6337"/>
        <v>22</v>
      </c>
      <c r="E3109" s="66">
        <f t="shared" ref="E3109" si="6374">plan_id</f>
        <v>1952</v>
      </c>
      <c r="F3109" s="66">
        <f t="shared" ca="1" si="6060"/>
        <v>2002</v>
      </c>
      <c r="G3109" s="66">
        <f t="shared" ref="G3109" ca="1" si="6375">VLOOKUP(INDIRECT(CHAR(39)&amp;$A3109&amp;CHAR(39)&amp;"!r2c"&amp;$C3109,0),variables,2,0)</f>
        <v>9648</v>
      </c>
      <c r="H3109" s="71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67" t="s">
        <v>1429</v>
      </c>
      <c r="B3110" s="66">
        <f t="shared" si="6334"/>
        <v>4</v>
      </c>
      <c r="C3110" s="66">
        <f t="shared" si="6337"/>
        <v>23</v>
      </c>
      <c r="E3110" s="66">
        <f t="shared" ref="E3110" si="6376">plan_id</f>
        <v>1952</v>
      </c>
      <c r="F3110" s="66">
        <f t="shared" ca="1" si="6060"/>
        <v>2002</v>
      </c>
      <c r="G3110" s="66">
        <f t="shared" ref="G3110" ca="1" si="6377">VLOOKUP(INDIRECT(CHAR(39)&amp;$A3110&amp;CHAR(39)&amp;"!r2c"&amp;$C3110,0),variables,2,0)</f>
        <v>9713</v>
      </c>
      <c r="H3110" s="71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67" t="s">
        <v>1429</v>
      </c>
      <c r="B3111" s="66">
        <f t="shared" si="6334"/>
        <v>4</v>
      </c>
      <c r="C3111" s="66">
        <f t="shared" si="6337"/>
        <v>24</v>
      </c>
      <c r="E3111" s="66">
        <f t="shared" ref="E3111" si="6378">plan_id</f>
        <v>1952</v>
      </c>
      <c r="F3111" s="66">
        <f t="shared" ca="1" si="6060"/>
        <v>2002</v>
      </c>
      <c r="G3111" s="66">
        <f t="shared" ref="G3111" ca="1" si="6379">VLOOKUP(INDIRECT(CHAR(39)&amp;$A3111&amp;CHAR(39)&amp;"!r2c"&amp;$C3111,0),variables,2,0)</f>
        <v>9719</v>
      </c>
      <c r="H3111" s="71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67" t="s">
        <v>1429</v>
      </c>
      <c r="B3112" s="66">
        <f t="shared" si="6334"/>
        <v>4</v>
      </c>
      <c r="C3112" s="66">
        <f t="shared" si="6337"/>
        <v>25</v>
      </c>
      <c r="E3112" s="66">
        <f t="shared" ref="E3112" si="6380">plan_id</f>
        <v>1952</v>
      </c>
      <c r="F3112" s="66">
        <f t="shared" ca="1" si="6060"/>
        <v>2002</v>
      </c>
      <c r="G3112" s="66">
        <f t="shared" ref="G3112" ca="1" si="6381">VLOOKUP(INDIRECT(CHAR(39)&amp;$A3112&amp;CHAR(39)&amp;"!r2c"&amp;$C3112,0),variables,2,0)</f>
        <v>9725</v>
      </c>
      <c r="H3112" s="71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67" t="s">
        <v>1429</v>
      </c>
      <c r="B3113" s="66">
        <f t="shared" si="6334"/>
        <v>4</v>
      </c>
      <c r="C3113" s="66">
        <f t="shared" si="6337"/>
        <v>26</v>
      </c>
      <c r="E3113" s="66">
        <f t="shared" ref="E3113" si="6382">plan_id</f>
        <v>1952</v>
      </c>
      <c r="F3113" s="66">
        <f t="shared" ca="1" si="6060"/>
        <v>2002</v>
      </c>
      <c r="G3113" s="66">
        <f t="shared" ref="G3113" ca="1" si="6383">VLOOKUP(INDIRECT(CHAR(39)&amp;$A3113&amp;CHAR(39)&amp;"!r2c"&amp;$C3113,0),variables,2,0)</f>
        <v>9743</v>
      </c>
      <c r="H3113" s="71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67" t="s">
        <v>1429</v>
      </c>
      <c r="B3114" s="66">
        <f t="shared" si="6334"/>
        <v>4</v>
      </c>
      <c r="C3114" s="66">
        <f t="shared" si="6337"/>
        <v>27</v>
      </c>
      <c r="E3114" s="66">
        <f t="shared" ref="E3114" si="6384">plan_id</f>
        <v>1952</v>
      </c>
      <c r="F3114" s="66">
        <f t="shared" ca="1" si="6060"/>
        <v>2002</v>
      </c>
      <c r="G3114" s="66">
        <f t="shared" ref="G3114" ca="1" si="6385">VLOOKUP(INDIRECT(CHAR(39)&amp;$A3114&amp;CHAR(39)&amp;"!r2c"&amp;$C3114,0),variables,2,0)</f>
        <v>9746</v>
      </c>
      <c r="H3114" s="71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67" t="s">
        <v>1429</v>
      </c>
      <c r="B3115" s="66">
        <f t="shared" si="6334"/>
        <v>4</v>
      </c>
      <c r="C3115" s="66">
        <f t="shared" si="6337"/>
        <v>28</v>
      </c>
      <c r="E3115" s="66">
        <f t="shared" ref="E3115" si="6386">plan_id</f>
        <v>1952</v>
      </c>
      <c r="F3115" s="66">
        <f t="shared" ca="1" si="6060"/>
        <v>2002</v>
      </c>
      <c r="G3115" s="66">
        <f t="shared" ref="G3115" ca="1" si="6387">VLOOKUP(INDIRECT(CHAR(39)&amp;$A3115&amp;CHAR(39)&amp;"!r2c"&amp;$C3115,0),variables,2,0)</f>
        <v>9761</v>
      </c>
      <c r="H3115" s="71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67" t="s">
        <v>1429</v>
      </c>
      <c r="B3116" s="66">
        <f t="shared" si="6334"/>
        <v>4</v>
      </c>
      <c r="C3116" s="66">
        <f t="shared" si="6337"/>
        <v>29</v>
      </c>
      <c r="E3116" s="66">
        <f t="shared" ref="E3116" si="6388">plan_id</f>
        <v>1952</v>
      </c>
      <c r="F3116" s="66">
        <f t="shared" ca="1" si="6060"/>
        <v>2002</v>
      </c>
      <c r="G3116" s="66">
        <f t="shared" ref="G3116" ca="1" si="6389">VLOOKUP(INDIRECT(CHAR(39)&amp;$A3116&amp;CHAR(39)&amp;"!r2c"&amp;$C3116,0),variables,2,0)</f>
        <v>9764</v>
      </c>
      <c r="H3116" s="71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67" t="s">
        <v>1429</v>
      </c>
      <c r="B3117" s="66">
        <f t="shared" si="6334"/>
        <v>4</v>
      </c>
      <c r="C3117" s="66">
        <f t="shared" si="6337"/>
        <v>30</v>
      </c>
      <c r="E3117" s="66">
        <f t="shared" ref="E3117" si="6390">plan_id</f>
        <v>1952</v>
      </c>
      <c r="F3117" s="66">
        <f t="shared" ca="1" si="6060"/>
        <v>2002</v>
      </c>
      <c r="G3117" s="66">
        <f t="shared" ref="G3117" ca="1" si="6391">VLOOKUP(INDIRECT(CHAR(39)&amp;$A3117&amp;CHAR(39)&amp;"!r2c"&amp;$C3117,0),variables,2,0)</f>
        <v>9767</v>
      </c>
      <c r="H3117" s="71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67" t="s">
        <v>1429</v>
      </c>
      <c r="B3118" s="66">
        <f t="shared" si="6334"/>
        <v>4</v>
      </c>
      <c r="C3118" s="66">
        <f t="shared" si="6337"/>
        <v>31</v>
      </c>
      <c r="E3118" s="66">
        <f t="shared" ref="E3118" si="6392">plan_id</f>
        <v>1952</v>
      </c>
      <c r="F3118" s="66">
        <f t="shared" ca="1" si="6060"/>
        <v>2002</v>
      </c>
      <c r="G3118" s="66">
        <f t="shared" ref="G3118" ca="1" si="6393">VLOOKUP(INDIRECT(CHAR(39)&amp;$A3118&amp;CHAR(39)&amp;"!r2c"&amp;$C3118,0),variables,2,0)</f>
        <v>9770</v>
      </c>
      <c r="H3118" s="71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67" t="s">
        <v>1429</v>
      </c>
      <c r="B3119" s="66">
        <f t="shared" si="6334"/>
        <v>4</v>
      </c>
      <c r="C3119" s="66">
        <f t="shared" si="6337"/>
        <v>32</v>
      </c>
      <c r="E3119" s="66">
        <f t="shared" ref="E3119" si="6394">plan_id</f>
        <v>1952</v>
      </c>
      <c r="F3119" s="66">
        <f t="shared" ca="1" si="6060"/>
        <v>2002</v>
      </c>
      <c r="G3119" s="66">
        <f t="shared" ref="G3119" ca="1" si="6395">VLOOKUP(INDIRECT(CHAR(39)&amp;$A3119&amp;CHAR(39)&amp;"!r2c"&amp;$C3119,0),variables,2,0)</f>
        <v>9773</v>
      </c>
      <c r="H3119" s="71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67" t="s">
        <v>1429</v>
      </c>
      <c r="B3120" s="66">
        <f t="shared" si="6334"/>
        <v>4</v>
      </c>
      <c r="C3120" s="66">
        <f t="shared" si="6337"/>
        <v>33</v>
      </c>
      <c r="E3120" s="66">
        <f t="shared" ref="E3120" si="6396">plan_id</f>
        <v>1952</v>
      </c>
      <c r="F3120" s="66">
        <f t="shared" ca="1" si="6060"/>
        <v>2002</v>
      </c>
      <c r="G3120" s="66">
        <f t="shared" ref="G3120" ca="1" si="6397">VLOOKUP(INDIRECT(CHAR(39)&amp;$A3120&amp;CHAR(39)&amp;"!r2c"&amp;$C3120,0),variables,2,0)</f>
        <v>9776</v>
      </c>
      <c r="H3120" s="71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67" t="s">
        <v>1429</v>
      </c>
      <c r="B3121" s="66">
        <f t="shared" si="6334"/>
        <v>4</v>
      </c>
      <c r="C3121" s="66">
        <f t="shared" si="6337"/>
        <v>34</v>
      </c>
      <c r="E3121" s="66">
        <f t="shared" ref="E3121" si="6398">plan_id</f>
        <v>1952</v>
      </c>
      <c r="F3121" s="66">
        <f t="shared" ca="1" si="6060"/>
        <v>2002</v>
      </c>
      <c r="G3121" s="66">
        <f t="shared" ref="G3121" ca="1" si="6399">VLOOKUP(INDIRECT(CHAR(39)&amp;$A3121&amp;CHAR(39)&amp;"!r2c"&amp;$C3121,0),variables,2,0)</f>
        <v>9779</v>
      </c>
      <c r="H3121" s="71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67" t="s">
        <v>1429</v>
      </c>
      <c r="B3122" s="66">
        <f t="shared" si="6334"/>
        <v>4</v>
      </c>
      <c r="C3122" s="66">
        <f t="shared" si="6337"/>
        <v>35</v>
      </c>
      <c r="E3122" s="66">
        <f t="shared" ref="E3122" si="6400">plan_id</f>
        <v>1952</v>
      </c>
      <c r="F3122" s="66">
        <f t="shared" ca="1" si="6060"/>
        <v>2002</v>
      </c>
      <c r="G3122" s="66">
        <f t="shared" ref="G3122" ca="1" si="6401">VLOOKUP(INDIRECT(CHAR(39)&amp;$A3122&amp;CHAR(39)&amp;"!r2c"&amp;$C3122,0),variables,2,0)</f>
        <v>9785</v>
      </c>
      <c r="H3122" s="71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67" t="s">
        <v>1429</v>
      </c>
      <c r="B3123" s="66">
        <f t="shared" si="6334"/>
        <v>4</v>
      </c>
      <c r="C3123" s="66">
        <f t="shared" si="6337"/>
        <v>36</v>
      </c>
      <c r="E3123" s="66">
        <f t="shared" ref="E3123" si="6402">plan_id</f>
        <v>1952</v>
      </c>
      <c r="F3123" s="66">
        <f t="shared" ca="1" si="6060"/>
        <v>2002</v>
      </c>
      <c r="G3123" s="66">
        <f t="shared" ref="G3123" ca="1" si="6403">VLOOKUP(INDIRECT(CHAR(39)&amp;$A3123&amp;CHAR(39)&amp;"!r2c"&amp;$C3123,0),variables,2,0)</f>
        <v>9794</v>
      </c>
      <c r="H3123" s="71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67" t="s">
        <v>1429</v>
      </c>
      <c r="B3124" s="66">
        <f t="shared" si="6334"/>
        <v>4</v>
      </c>
      <c r="C3124" s="66">
        <f t="shared" si="6337"/>
        <v>37</v>
      </c>
      <c r="E3124" s="66">
        <f t="shared" ref="E3124" si="6404">plan_id</f>
        <v>1952</v>
      </c>
      <c r="F3124" s="66">
        <f t="shared" ca="1" si="6060"/>
        <v>2002</v>
      </c>
      <c r="G3124" s="66">
        <f t="shared" ref="G3124" ca="1" si="6405">VLOOKUP(INDIRECT(CHAR(39)&amp;$A3124&amp;CHAR(39)&amp;"!r2c"&amp;$C3124,0),variables,2,0)</f>
        <v>9797</v>
      </c>
      <c r="H3124" s="71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67" t="s">
        <v>1429</v>
      </c>
      <c r="B3125" s="66">
        <f t="shared" si="6334"/>
        <v>4</v>
      </c>
      <c r="C3125" s="66">
        <f t="shared" si="6337"/>
        <v>38</v>
      </c>
      <c r="E3125" s="66">
        <f t="shared" ref="E3125" si="6406">plan_id</f>
        <v>1952</v>
      </c>
      <c r="F3125" s="66">
        <f t="shared" ca="1" si="6060"/>
        <v>2002</v>
      </c>
      <c r="G3125" s="66">
        <f t="shared" ref="G3125" ca="1" si="6407">VLOOKUP(INDIRECT(CHAR(39)&amp;$A3125&amp;CHAR(39)&amp;"!r2c"&amp;$C3125,0),variables,2,0)</f>
        <v>9806</v>
      </c>
      <c r="H3125" s="71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67" t="s">
        <v>1429</v>
      </c>
      <c r="B3126" s="66">
        <f t="shared" si="6334"/>
        <v>4</v>
      </c>
      <c r="C3126" s="66">
        <f t="shared" si="6337"/>
        <v>39</v>
      </c>
      <c r="E3126" s="66">
        <f t="shared" ref="E3126" si="6408">plan_id</f>
        <v>1952</v>
      </c>
      <c r="F3126" s="66">
        <f t="shared" ca="1" si="6060"/>
        <v>2002</v>
      </c>
      <c r="G3126" s="66">
        <f t="shared" ref="G3126" ca="1" si="6409">VLOOKUP(INDIRECT(CHAR(39)&amp;$A3126&amp;CHAR(39)&amp;"!r2c"&amp;$C3126,0),variables,2,0)</f>
        <v>9809</v>
      </c>
      <c r="H3126" s="71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67" t="s">
        <v>1429</v>
      </c>
      <c r="B3127" s="66">
        <f t="shared" si="6334"/>
        <v>4</v>
      </c>
      <c r="C3127" s="66">
        <f t="shared" si="6337"/>
        <v>40</v>
      </c>
      <c r="E3127" s="66">
        <f t="shared" ref="E3127" si="6410">plan_id</f>
        <v>1952</v>
      </c>
      <c r="F3127" s="66">
        <f t="shared" ca="1" si="6060"/>
        <v>2002</v>
      </c>
      <c r="G3127" s="66">
        <f t="shared" ref="G3127" ca="1" si="6411">VLOOKUP(INDIRECT(CHAR(39)&amp;$A3127&amp;CHAR(39)&amp;"!r2c"&amp;$C3127,0),variables,2,0)</f>
        <v>9818</v>
      </c>
      <c r="H3127" s="71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67" t="s">
        <v>1429</v>
      </c>
      <c r="B3128" s="66">
        <f t="shared" si="6334"/>
        <v>4</v>
      </c>
      <c r="C3128" s="66">
        <f t="shared" si="6337"/>
        <v>41</v>
      </c>
      <c r="E3128" s="66">
        <f t="shared" ref="E3128" si="6412">plan_id</f>
        <v>1952</v>
      </c>
      <c r="F3128" s="66">
        <f t="shared" ca="1" si="6060"/>
        <v>2002</v>
      </c>
      <c r="G3128" s="66">
        <f t="shared" ref="G3128" ca="1" si="6413">VLOOKUP(INDIRECT(CHAR(39)&amp;$A3128&amp;CHAR(39)&amp;"!r2c"&amp;$C3128,0),variables,2,0)</f>
        <v>9839</v>
      </c>
      <c r="H3128" s="71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67" t="s">
        <v>1429</v>
      </c>
      <c r="B3129" s="66">
        <f t="shared" si="6334"/>
        <v>4</v>
      </c>
      <c r="C3129" s="66">
        <f t="shared" si="6337"/>
        <v>42</v>
      </c>
      <c r="E3129" s="66">
        <f t="shared" ref="E3129" si="6414">plan_id</f>
        <v>1952</v>
      </c>
      <c r="F3129" s="66">
        <f t="shared" ca="1" si="6060"/>
        <v>2002</v>
      </c>
      <c r="G3129" s="66">
        <f t="shared" ref="G3129" ca="1" si="6415">VLOOKUP(INDIRECT(CHAR(39)&amp;$A3129&amp;CHAR(39)&amp;"!r2c"&amp;$C3129,0),variables,2,0)</f>
        <v>9860</v>
      </c>
      <c r="H3129" s="71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67" t="s">
        <v>1429</v>
      </c>
      <c r="B3130" s="66">
        <f t="shared" si="6334"/>
        <v>4</v>
      </c>
      <c r="C3130" s="66">
        <f t="shared" si="6337"/>
        <v>43</v>
      </c>
      <c r="E3130" s="66">
        <f t="shared" ref="E3130" si="6416">plan_id</f>
        <v>1952</v>
      </c>
      <c r="F3130" s="66">
        <f t="shared" ca="1" si="6060"/>
        <v>2002</v>
      </c>
      <c r="G3130" s="66">
        <f t="shared" ref="G3130" ca="1" si="6417">VLOOKUP(INDIRECT(CHAR(39)&amp;$A3130&amp;CHAR(39)&amp;"!r2c"&amp;$C3130,0),variables,2,0)</f>
        <v>9863</v>
      </c>
      <c r="H3130" s="71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67" t="s">
        <v>1429</v>
      </c>
      <c r="B3131" s="66">
        <f t="shared" si="6334"/>
        <v>4</v>
      </c>
      <c r="C3131" s="66">
        <f t="shared" si="6337"/>
        <v>44</v>
      </c>
      <c r="E3131" s="66">
        <f t="shared" ref="E3131" si="6418">plan_id</f>
        <v>1952</v>
      </c>
      <c r="F3131" s="66">
        <f t="shared" ca="1" si="6060"/>
        <v>2002</v>
      </c>
      <c r="G3131" s="66">
        <f t="shared" ref="G3131" ca="1" si="6419">VLOOKUP(INDIRECT(CHAR(39)&amp;$A3131&amp;CHAR(39)&amp;"!r2c"&amp;$C3131,0),variables,2,0)</f>
        <v>9878</v>
      </c>
      <c r="H3131" s="71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67" t="s">
        <v>1429</v>
      </c>
      <c r="B3132" s="66">
        <f t="shared" si="6334"/>
        <v>4</v>
      </c>
      <c r="C3132" s="66">
        <f t="shared" si="6337"/>
        <v>45</v>
      </c>
      <c r="E3132" s="66">
        <f t="shared" ref="E3132" si="6420">plan_id</f>
        <v>1952</v>
      </c>
      <c r="F3132" s="66">
        <f t="shared" ca="1" si="6060"/>
        <v>2002</v>
      </c>
      <c r="G3132" s="66">
        <f t="shared" ref="G3132" ca="1" si="6421">VLOOKUP(INDIRECT(CHAR(39)&amp;$A3132&amp;CHAR(39)&amp;"!r2c"&amp;$C3132,0),variables,2,0)</f>
        <v>9923</v>
      </c>
      <c r="H3132" s="71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67" t="s">
        <v>1429</v>
      </c>
      <c r="B3133" s="66">
        <f t="shared" si="6334"/>
        <v>4</v>
      </c>
      <c r="C3133" s="66">
        <f t="shared" si="6337"/>
        <v>46</v>
      </c>
      <c r="E3133" s="66">
        <f t="shared" ref="E3133" si="6422">plan_id</f>
        <v>1952</v>
      </c>
      <c r="F3133" s="66">
        <f t="shared" ca="1" si="6060"/>
        <v>2002</v>
      </c>
      <c r="G3133" s="66">
        <f t="shared" ref="G3133" ca="1" si="6423">VLOOKUP(INDIRECT(CHAR(39)&amp;$A3133&amp;CHAR(39)&amp;"!r2c"&amp;$C3133,0),variables,2,0)</f>
        <v>9932</v>
      </c>
      <c r="H3133" s="71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67" t="s">
        <v>1429</v>
      </c>
      <c r="B3134" s="66">
        <f t="shared" si="6334"/>
        <v>4</v>
      </c>
      <c r="C3134" s="66">
        <f t="shared" si="6337"/>
        <v>47</v>
      </c>
      <c r="E3134" s="66">
        <f t="shared" ref="E3134" si="6424">plan_id</f>
        <v>1952</v>
      </c>
      <c r="F3134" s="66">
        <f t="shared" ca="1" si="6060"/>
        <v>2002</v>
      </c>
      <c r="G3134" s="66">
        <f t="shared" ref="G3134" ca="1" si="6425">VLOOKUP(INDIRECT(CHAR(39)&amp;$A3134&amp;CHAR(39)&amp;"!r2c"&amp;$C3134,0),variables,2,0)</f>
        <v>9935</v>
      </c>
      <c r="H3134" s="71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67" t="s">
        <v>1429</v>
      </c>
      <c r="B3135" s="66">
        <f t="shared" si="6334"/>
        <v>4</v>
      </c>
      <c r="C3135" s="66">
        <f t="shared" si="6337"/>
        <v>48</v>
      </c>
      <c r="E3135" s="66">
        <f t="shared" ref="E3135" si="6426">plan_id</f>
        <v>1952</v>
      </c>
      <c r="F3135" s="66">
        <f t="shared" ca="1" si="6060"/>
        <v>2002</v>
      </c>
      <c r="G3135" s="66">
        <f t="shared" ref="G3135" ca="1" si="6427">VLOOKUP(INDIRECT(CHAR(39)&amp;$A3135&amp;CHAR(39)&amp;"!r2c"&amp;$C3135,0),variables,2,0)</f>
        <v>9651</v>
      </c>
      <c r="H3135" s="71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67" t="s">
        <v>1429</v>
      </c>
      <c r="B3136" s="66">
        <f t="shared" si="6334"/>
        <v>4</v>
      </c>
      <c r="C3136" s="66">
        <f t="shared" si="6337"/>
        <v>49</v>
      </c>
      <c r="E3136" s="66">
        <f t="shared" ref="E3136" si="6428">plan_id</f>
        <v>1952</v>
      </c>
      <c r="F3136" s="66">
        <f t="shared" ca="1" si="6060"/>
        <v>2002</v>
      </c>
      <c r="G3136" s="66">
        <f t="shared" ref="G3136" ca="1" si="6429">VLOOKUP(INDIRECT(CHAR(39)&amp;$A3136&amp;CHAR(39)&amp;"!r2c"&amp;$C3136,0),variables,2,0)</f>
        <v>9722</v>
      </c>
      <c r="H3136" s="71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67" t="s">
        <v>1429</v>
      </c>
      <c r="B3137" s="66">
        <f t="shared" si="6334"/>
        <v>4</v>
      </c>
      <c r="C3137" s="66">
        <f t="shared" si="6337"/>
        <v>50</v>
      </c>
      <c r="E3137" s="66">
        <f t="shared" ref="E3137" si="6430">plan_id</f>
        <v>1952</v>
      </c>
      <c r="F3137" s="66">
        <f t="shared" ca="1" si="6060"/>
        <v>2002</v>
      </c>
      <c r="G3137" s="66">
        <f t="shared" ref="G3137" ca="1" si="6431">VLOOKUP(INDIRECT(CHAR(39)&amp;$A3137&amp;CHAR(39)&amp;"!r2c"&amp;$C3137,0),variables,2,0)</f>
        <v>9848</v>
      </c>
      <c r="H3137" s="71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67" t="s">
        <v>1429</v>
      </c>
      <c r="B3138" s="66">
        <f t="shared" si="6334"/>
        <v>4</v>
      </c>
      <c r="C3138" s="66">
        <f t="shared" si="6337"/>
        <v>51</v>
      </c>
      <c r="E3138" s="66">
        <f t="shared" ref="E3138" si="6432">plan_id</f>
        <v>1952</v>
      </c>
      <c r="F3138" s="66">
        <f t="shared" ca="1" si="6060"/>
        <v>2002</v>
      </c>
      <c r="G3138" s="66">
        <f t="shared" ref="G3138" ca="1" si="6433">VLOOKUP(INDIRECT(CHAR(39)&amp;$A3138&amp;CHAR(39)&amp;"!r2c"&amp;$C3138,0),variables,2,0)</f>
        <v>9866</v>
      </c>
      <c r="H3138" s="71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67" t="s">
        <v>1429</v>
      </c>
      <c r="B3139" s="66">
        <f t="shared" si="6334"/>
        <v>4</v>
      </c>
      <c r="C3139" s="66">
        <f t="shared" si="6337"/>
        <v>52</v>
      </c>
      <c r="E3139" s="66">
        <f t="shared" ref="E3139" si="6434">plan_id</f>
        <v>1952</v>
      </c>
      <c r="F3139" s="66">
        <f t="shared" ca="1" si="6060"/>
        <v>2002</v>
      </c>
      <c r="G3139" s="66">
        <f t="shared" ref="G3139" ca="1" si="6435">VLOOKUP(INDIRECT(CHAR(39)&amp;$A3139&amp;CHAR(39)&amp;"!r2c"&amp;$C3139,0),variables,2,0)</f>
        <v>9899</v>
      </c>
      <c r="H3139" s="71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67" t="s">
        <v>1429</v>
      </c>
      <c r="B3140" s="66">
        <f t="shared" si="6334"/>
        <v>4</v>
      </c>
      <c r="C3140" s="66">
        <f t="shared" si="6337"/>
        <v>53</v>
      </c>
      <c r="E3140" s="66">
        <f t="shared" ref="E3140" si="6436">plan_id</f>
        <v>1952</v>
      </c>
      <c r="F3140" s="66">
        <f t="shared" ca="1" si="6060"/>
        <v>2002</v>
      </c>
      <c r="G3140" s="66">
        <f t="shared" ref="G3140" ca="1" si="6437">VLOOKUP(INDIRECT(CHAR(39)&amp;$A3140&amp;CHAR(39)&amp;"!r2c"&amp;$C3140,0),variables,2,0)</f>
        <v>9905</v>
      </c>
      <c r="H3140" s="71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67" t="s">
        <v>1429</v>
      </c>
      <c r="B3141" s="66">
        <f t="shared" si="6334"/>
        <v>4</v>
      </c>
      <c r="C3141" s="66">
        <f t="shared" si="6337"/>
        <v>54</v>
      </c>
      <c r="E3141" s="66">
        <f t="shared" ref="E3141" si="6438">plan_id</f>
        <v>1952</v>
      </c>
      <c r="F3141" s="66">
        <f t="shared" ca="1" si="6060"/>
        <v>2002</v>
      </c>
      <c r="G3141" s="66">
        <f t="shared" ref="G3141" ca="1" si="6439">VLOOKUP(INDIRECT(CHAR(39)&amp;$A3141&amp;CHAR(39)&amp;"!r2c"&amp;$C3141,0),variables,2,0)</f>
        <v>9929</v>
      </c>
      <c r="H3141" s="71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67" t="s">
        <v>1429</v>
      </c>
      <c r="B3142" s="66">
        <f t="shared" si="6334"/>
        <v>4</v>
      </c>
      <c r="C3142" s="66">
        <f t="shared" si="6337"/>
        <v>55</v>
      </c>
      <c r="E3142" s="66">
        <f t="shared" ref="E3142" si="6440">plan_id</f>
        <v>1952</v>
      </c>
      <c r="F3142" s="66">
        <f t="shared" ca="1" si="6060"/>
        <v>2002</v>
      </c>
      <c r="G3142" s="66">
        <f t="shared" ref="G3142" ca="1" si="6441">VLOOKUP(INDIRECT(CHAR(39)&amp;$A3142&amp;CHAR(39)&amp;"!r2c"&amp;$C3142,0),variables,2,0)</f>
        <v>9654</v>
      </c>
      <c r="H3142" s="71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67" t="s">
        <v>1429</v>
      </c>
      <c r="B3143" s="66">
        <f t="shared" si="6334"/>
        <v>4</v>
      </c>
      <c r="C3143" s="66">
        <f t="shared" si="6337"/>
        <v>56</v>
      </c>
      <c r="E3143" s="66">
        <f t="shared" ref="E3143" si="6442">plan_id</f>
        <v>1952</v>
      </c>
      <c r="F3143" s="66">
        <f t="shared" ca="1" si="6060"/>
        <v>2002</v>
      </c>
      <c r="G3143" s="66">
        <f t="shared" ref="G3143" ca="1" si="6443">VLOOKUP(INDIRECT(CHAR(39)&amp;$A3143&amp;CHAR(39)&amp;"!r2c"&amp;$C3143,0),variables,2,0)</f>
        <v>9707</v>
      </c>
      <c r="H3143" s="71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67" t="s">
        <v>1429</v>
      </c>
      <c r="B3144" s="66">
        <f t="shared" si="6334"/>
        <v>4</v>
      </c>
      <c r="C3144" s="66">
        <f t="shared" si="6337"/>
        <v>57</v>
      </c>
      <c r="E3144" s="66">
        <f t="shared" ref="E3144" si="6444">plan_id</f>
        <v>1952</v>
      </c>
      <c r="F3144" s="66">
        <f t="shared" ca="1" si="6060"/>
        <v>2002</v>
      </c>
      <c r="G3144" s="66">
        <f t="shared" ref="G3144" ca="1" si="6445">VLOOKUP(INDIRECT(CHAR(39)&amp;$A3144&amp;CHAR(39)&amp;"!r2c"&amp;$C3144,0),variables,2,0)</f>
        <v>9669</v>
      </c>
      <c r="H3144" s="71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67" t="s">
        <v>1429</v>
      </c>
      <c r="B3145" s="66">
        <f t="shared" si="6334"/>
        <v>4</v>
      </c>
      <c r="C3145" s="66">
        <f t="shared" si="6337"/>
        <v>58</v>
      </c>
      <c r="E3145" s="66">
        <f t="shared" ref="E3145" si="6446">plan_id</f>
        <v>1952</v>
      </c>
      <c r="F3145" s="66">
        <f t="shared" ca="1" si="6060"/>
        <v>2002</v>
      </c>
      <c r="G3145" s="66">
        <f t="shared" ref="G3145" ca="1" si="6447">VLOOKUP(INDIRECT(CHAR(39)&amp;$A3145&amp;CHAR(39)&amp;"!r2c"&amp;$C3145,0),variables,2,0)</f>
        <v>9851</v>
      </c>
      <c r="H3145" s="71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67" t="s">
        <v>1429</v>
      </c>
      <c r="B3146" s="66">
        <f t="shared" si="6334"/>
        <v>4</v>
      </c>
      <c r="C3146" s="66">
        <f t="shared" si="6337"/>
        <v>59</v>
      </c>
      <c r="E3146" s="66">
        <f t="shared" ref="E3146" si="6448">plan_id</f>
        <v>1952</v>
      </c>
      <c r="F3146" s="66">
        <f t="shared" ca="1" si="6060"/>
        <v>2002</v>
      </c>
      <c r="G3146" s="66">
        <f t="shared" ref="G3146" ca="1" si="6449">VLOOKUP(INDIRECT(CHAR(39)&amp;$A3146&amp;CHAR(39)&amp;"!r2c"&amp;$C3146,0),variables,2,0)</f>
        <v>9890</v>
      </c>
      <c r="H3146" s="71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67" t="s">
        <v>1429</v>
      </c>
      <c r="B3147" s="66">
        <f t="shared" si="6334"/>
        <v>4</v>
      </c>
      <c r="C3147" s="66">
        <f t="shared" si="6337"/>
        <v>60</v>
      </c>
      <c r="E3147" s="66">
        <f t="shared" ref="E3147" si="6450">plan_id</f>
        <v>1952</v>
      </c>
      <c r="F3147" s="66">
        <f t="shared" ca="1" si="6060"/>
        <v>2002</v>
      </c>
      <c r="G3147" s="66">
        <f t="shared" ref="G3147" ca="1" si="6451">VLOOKUP(INDIRECT(CHAR(39)&amp;$A3147&amp;CHAR(39)&amp;"!r2c"&amp;$C3147,0),variables,2,0)</f>
        <v>9893</v>
      </c>
      <c r="H3147" s="71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67" t="s">
        <v>1429</v>
      </c>
      <c r="B3148" s="66">
        <f t="shared" si="6334"/>
        <v>4</v>
      </c>
      <c r="C3148" s="66">
        <f t="shared" si="6337"/>
        <v>61</v>
      </c>
      <c r="E3148" s="66">
        <f t="shared" ref="E3148" si="6452">plan_id</f>
        <v>1952</v>
      </c>
      <c r="F3148" s="66">
        <f t="shared" ca="1" si="6060"/>
        <v>2002</v>
      </c>
      <c r="G3148" s="66">
        <f t="shared" ref="G3148" ca="1" si="6453">VLOOKUP(INDIRECT(CHAR(39)&amp;$A3148&amp;CHAR(39)&amp;"!r2c"&amp;$C3148,0),variables,2,0)</f>
        <v>9896</v>
      </c>
      <c r="H3148" s="71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67" t="s">
        <v>1429</v>
      </c>
      <c r="B3149" s="66">
        <f t="shared" si="6334"/>
        <v>4</v>
      </c>
      <c r="C3149" s="66">
        <f t="shared" si="6337"/>
        <v>62</v>
      </c>
      <c r="E3149" s="66">
        <f t="shared" ref="E3149" si="6454">plan_id</f>
        <v>1952</v>
      </c>
      <c r="F3149" s="66">
        <f t="shared" ca="1" si="6060"/>
        <v>2002</v>
      </c>
      <c r="G3149" s="66">
        <f t="shared" ref="G3149" ca="1" si="6455">VLOOKUP(INDIRECT(CHAR(39)&amp;$A3149&amp;CHAR(39)&amp;"!r2c"&amp;$C3149,0),variables,2,0)</f>
        <v>9660</v>
      </c>
      <c r="H3149" s="71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67" t="s">
        <v>1429</v>
      </c>
      <c r="B3150" s="66">
        <f t="shared" si="6334"/>
        <v>4</v>
      </c>
      <c r="C3150" s="66">
        <f t="shared" si="6337"/>
        <v>63</v>
      </c>
      <c r="E3150" s="66">
        <f t="shared" ref="E3150" si="6456">plan_id</f>
        <v>1952</v>
      </c>
      <c r="F3150" s="66">
        <f t="shared" ca="1" si="6060"/>
        <v>2002</v>
      </c>
      <c r="G3150" s="66">
        <f t="shared" ref="G3150" ca="1" si="6457">VLOOKUP(INDIRECT(CHAR(39)&amp;$A3150&amp;CHAR(39)&amp;"!r2c"&amp;$C3150,0),variables,2,0)</f>
        <v>9701</v>
      </c>
      <c r="H3150" s="71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67" t="s">
        <v>1429</v>
      </c>
      <c r="B3151" s="66">
        <f t="shared" si="6334"/>
        <v>4</v>
      </c>
      <c r="C3151" s="66">
        <f t="shared" si="6337"/>
        <v>64</v>
      </c>
      <c r="E3151" s="66">
        <f t="shared" ref="E3151" si="6458">plan_id</f>
        <v>1952</v>
      </c>
      <c r="F3151" s="66">
        <f t="shared" ca="1" si="6060"/>
        <v>2002</v>
      </c>
      <c r="G3151" s="66">
        <f t="shared" ref="G3151" ca="1" si="6459">VLOOKUP(INDIRECT(CHAR(39)&amp;$A3151&amp;CHAR(39)&amp;"!r2c"&amp;$C3151,0),variables,2,0)</f>
        <v>9728</v>
      </c>
      <c r="H3151" s="71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67" t="s">
        <v>1429</v>
      </c>
      <c r="B3152" s="66">
        <f t="shared" si="6334"/>
        <v>4</v>
      </c>
      <c r="C3152" s="66">
        <f t="shared" si="6337"/>
        <v>65</v>
      </c>
      <c r="E3152" s="66">
        <f t="shared" ref="E3152" si="6460">plan_id</f>
        <v>1952</v>
      </c>
      <c r="F3152" s="66">
        <f t="shared" ca="1" si="6060"/>
        <v>2002</v>
      </c>
      <c r="G3152" s="66">
        <f t="shared" ref="G3152" ca="1" si="6461">VLOOKUP(INDIRECT(CHAR(39)&amp;$A3152&amp;CHAR(39)&amp;"!r2c"&amp;$C3152,0),variables,2,0)</f>
        <v>9731</v>
      </c>
      <c r="H3152" s="71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67" t="s">
        <v>1429</v>
      </c>
      <c r="B3153" s="66">
        <f t="shared" si="6334"/>
        <v>4</v>
      </c>
      <c r="C3153" s="66">
        <f t="shared" si="6337"/>
        <v>66</v>
      </c>
      <c r="E3153" s="66">
        <f t="shared" ref="E3153" si="6462">plan_id</f>
        <v>1952</v>
      </c>
      <c r="F3153" s="66">
        <f t="shared" ca="1" si="6060"/>
        <v>2002</v>
      </c>
      <c r="G3153" s="66">
        <f t="shared" ref="G3153" ca="1" si="6463">VLOOKUP(INDIRECT(CHAR(39)&amp;$A3153&amp;CHAR(39)&amp;"!r2c"&amp;$C3153,0),variables,2,0)</f>
        <v>9737</v>
      </c>
      <c r="H3153" s="71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67" t="s">
        <v>1429</v>
      </c>
      <c r="B3154" s="66">
        <f t="shared" ref="B3154:B3217" si="6464">B3066+1</f>
        <v>4</v>
      </c>
      <c r="C3154" s="66">
        <f t="shared" si="6337"/>
        <v>67</v>
      </c>
      <c r="E3154" s="66">
        <f t="shared" ref="E3154" si="6465">plan_id</f>
        <v>1952</v>
      </c>
      <c r="F3154" s="66">
        <f t="shared" ca="1" si="6060"/>
        <v>2002</v>
      </c>
      <c r="G3154" s="66">
        <f t="shared" ref="G3154" ca="1" si="6466">VLOOKUP(INDIRECT(CHAR(39)&amp;$A3154&amp;CHAR(39)&amp;"!r2c"&amp;$C3154,0),variables,2,0)</f>
        <v>9740</v>
      </c>
      <c r="H3154" s="71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67" t="s">
        <v>1429</v>
      </c>
      <c r="B3155" s="66">
        <f t="shared" si="6464"/>
        <v>4</v>
      </c>
      <c r="C3155" s="66">
        <f t="shared" ref="C3155:C3218" si="6467">C3067</f>
        <v>68</v>
      </c>
      <c r="E3155" s="66">
        <f t="shared" ref="E3155" si="6468">plan_id</f>
        <v>1952</v>
      </c>
      <c r="F3155" s="66">
        <f t="shared" ca="1" si="6060"/>
        <v>2002</v>
      </c>
      <c r="G3155" s="66">
        <f t="shared" ref="G3155" ca="1" si="6469">VLOOKUP(INDIRECT(CHAR(39)&amp;$A3155&amp;CHAR(39)&amp;"!r2c"&amp;$C3155,0),variables,2,0)</f>
        <v>9752</v>
      </c>
      <c r="H3155" s="71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67" t="s">
        <v>1429</v>
      </c>
      <c r="B3156" s="66">
        <f t="shared" si="6464"/>
        <v>4</v>
      </c>
      <c r="C3156" s="66">
        <f t="shared" si="6467"/>
        <v>69</v>
      </c>
      <c r="E3156" s="66">
        <f t="shared" ref="E3156" si="6470">plan_id</f>
        <v>1952</v>
      </c>
      <c r="F3156" s="66">
        <f t="shared" ca="1" si="6060"/>
        <v>2002</v>
      </c>
      <c r="G3156" s="66">
        <f t="shared" ref="G3156" ca="1" si="6471">VLOOKUP(INDIRECT(CHAR(39)&amp;$A3156&amp;CHAR(39)&amp;"!r2c"&amp;$C3156,0),variables,2,0)</f>
        <v>9791</v>
      </c>
      <c r="H3156" s="71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67" t="s">
        <v>1429</v>
      </c>
      <c r="B3157" s="66">
        <f t="shared" si="6464"/>
        <v>4</v>
      </c>
      <c r="C3157" s="66">
        <f t="shared" si="6467"/>
        <v>70</v>
      </c>
      <c r="E3157" s="66">
        <f t="shared" ref="E3157" si="6472">plan_id</f>
        <v>1952</v>
      </c>
      <c r="F3157" s="66">
        <f t="shared" ca="1" si="6060"/>
        <v>2002</v>
      </c>
      <c r="G3157" s="66">
        <f t="shared" ref="G3157" ca="1" si="6473">VLOOKUP(INDIRECT(CHAR(39)&amp;$A3157&amp;CHAR(39)&amp;"!r2c"&amp;$C3157,0),variables,2,0)</f>
        <v>9800</v>
      </c>
      <c r="H3157" s="71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67" t="s">
        <v>1429</v>
      </c>
      <c r="B3158" s="66">
        <f t="shared" si="6464"/>
        <v>4</v>
      </c>
      <c r="C3158" s="66">
        <f t="shared" si="6467"/>
        <v>71</v>
      </c>
      <c r="E3158" s="66">
        <f t="shared" ref="E3158" si="6474">plan_id</f>
        <v>1952</v>
      </c>
      <c r="F3158" s="66">
        <f t="shared" ca="1" si="6060"/>
        <v>2002</v>
      </c>
      <c r="G3158" s="66">
        <f t="shared" ref="G3158" ca="1" si="6475">VLOOKUP(INDIRECT(CHAR(39)&amp;$A3158&amp;CHAR(39)&amp;"!r2c"&amp;$C3158,0),variables,2,0)</f>
        <v>9842</v>
      </c>
      <c r="H3158" s="71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67" t="s">
        <v>1429</v>
      </c>
      <c r="B3159" s="66">
        <f t="shared" si="6464"/>
        <v>4</v>
      </c>
      <c r="C3159" s="66">
        <f t="shared" si="6467"/>
        <v>72</v>
      </c>
      <c r="E3159" s="66">
        <f t="shared" ref="E3159" si="6476">plan_id</f>
        <v>1952</v>
      </c>
      <c r="F3159" s="66">
        <f t="shared" ca="1" si="6060"/>
        <v>2002</v>
      </c>
      <c r="G3159" s="66">
        <f t="shared" ref="G3159" ca="1" si="6477">VLOOKUP(INDIRECT(CHAR(39)&amp;$A3159&amp;CHAR(39)&amp;"!r2c"&amp;$C3159,0),variables,2,0)</f>
        <v>9854</v>
      </c>
      <c r="H3159" s="71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67" t="s">
        <v>1429</v>
      </c>
      <c r="B3160" s="66">
        <f t="shared" si="6464"/>
        <v>4</v>
      </c>
      <c r="C3160" s="66">
        <f t="shared" si="6467"/>
        <v>73</v>
      </c>
      <c r="E3160" s="66">
        <f t="shared" ref="E3160" si="6478">plan_id</f>
        <v>1952</v>
      </c>
      <c r="F3160" s="66">
        <f t="shared" ca="1" si="6060"/>
        <v>2002</v>
      </c>
      <c r="G3160" s="66">
        <f t="shared" ref="G3160" ca="1" si="6479">VLOOKUP(INDIRECT(CHAR(39)&amp;$A3160&amp;CHAR(39)&amp;"!r2c"&amp;$C3160,0),variables,2,0)</f>
        <v>9869</v>
      </c>
      <c r="H3160" s="71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67" t="s">
        <v>1429</v>
      </c>
      <c r="B3161" s="66">
        <f t="shared" si="6464"/>
        <v>4</v>
      </c>
      <c r="C3161" s="66">
        <f t="shared" si="6467"/>
        <v>74</v>
      </c>
      <c r="E3161" s="66">
        <f t="shared" ref="E3161" si="6480">plan_id</f>
        <v>1952</v>
      </c>
      <c r="F3161" s="66">
        <f t="shared" ca="1" si="6060"/>
        <v>2002</v>
      </c>
      <c r="G3161" s="66">
        <f t="shared" ref="G3161" ca="1" si="6481">VLOOKUP(INDIRECT(CHAR(39)&amp;$A3161&amp;CHAR(39)&amp;"!r2c"&amp;$C3161,0),variables,2,0)</f>
        <v>9873</v>
      </c>
      <c r="H3161" s="71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67" t="s">
        <v>1429</v>
      </c>
      <c r="B3162" s="66">
        <f t="shared" si="6464"/>
        <v>4</v>
      </c>
      <c r="C3162" s="66">
        <f t="shared" si="6467"/>
        <v>75</v>
      </c>
      <c r="E3162" s="66">
        <f t="shared" ref="E3162" si="6482">plan_id</f>
        <v>1952</v>
      </c>
      <c r="F3162" s="66">
        <f t="shared" ca="1" si="6060"/>
        <v>2002</v>
      </c>
      <c r="G3162" s="66">
        <f t="shared" ref="G3162" ca="1" si="6483">VLOOKUP(INDIRECT(CHAR(39)&amp;$A3162&amp;CHAR(39)&amp;"!r2c"&amp;$C3162,0),variables,2,0)</f>
        <v>9881</v>
      </c>
      <c r="H3162" s="71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67" t="s">
        <v>1429</v>
      </c>
      <c r="B3163" s="66">
        <f t="shared" si="6464"/>
        <v>4</v>
      </c>
      <c r="C3163" s="66">
        <f t="shared" si="6467"/>
        <v>76</v>
      </c>
      <c r="E3163" s="66">
        <f t="shared" ref="E3163" si="6484">plan_id</f>
        <v>1952</v>
      </c>
      <c r="F3163" s="66">
        <f t="shared" ca="1" si="6060"/>
        <v>2002</v>
      </c>
      <c r="G3163" s="66">
        <f t="shared" ref="G3163" ca="1" si="6485">VLOOKUP(INDIRECT(CHAR(39)&amp;$A3163&amp;CHAR(39)&amp;"!r2c"&amp;$C3163,0),variables,2,0)</f>
        <v>9908</v>
      </c>
      <c r="H3163" s="71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67" t="s">
        <v>1429</v>
      </c>
      <c r="B3164" s="66">
        <f t="shared" si="6464"/>
        <v>4</v>
      </c>
      <c r="C3164" s="66">
        <f t="shared" si="6467"/>
        <v>77</v>
      </c>
      <c r="E3164" s="66">
        <f t="shared" ref="E3164" si="6486">plan_id</f>
        <v>1952</v>
      </c>
      <c r="F3164" s="66">
        <f t="shared" ca="1" si="6060"/>
        <v>2002</v>
      </c>
      <c r="G3164" s="66">
        <f t="shared" ref="G3164" ca="1" si="6487">VLOOKUP(INDIRECT(CHAR(39)&amp;$A3164&amp;CHAR(39)&amp;"!r2c"&amp;$C3164,0),variables,2,0)</f>
        <v>9911</v>
      </c>
      <c r="H3164" s="71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67" t="s">
        <v>1429</v>
      </c>
      <c r="B3165" s="66">
        <f t="shared" si="6464"/>
        <v>4</v>
      </c>
      <c r="C3165" s="66">
        <f t="shared" si="6467"/>
        <v>78</v>
      </c>
      <c r="E3165" s="66">
        <f t="shared" ref="E3165" si="6488">plan_id</f>
        <v>1952</v>
      </c>
      <c r="F3165" s="66">
        <f t="shared" ca="1" si="6060"/>
        <v>2002</v>
      </c>
      <c r="G3165" s="66">
        <f t="shared" ref="G3165" ca="1" si="6489">VLOOKUP(INDIRECT(CHAR(39)&amp;$A3165&amp;CHAR(39)&amp;"!r2c"&amp;$C3165,0),variables,2,0)</f>
        <v>9663</v>
      </c>
      <c r="H3165" s="71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67" t="s">
        <v>1429</v>
      </c>
      <c r="B3166" s="66">
        <f t="shared" si="6464"/>
        <v>4</v>
      </c>
      <c r="C3166" s="66">
        <f t="shared" si="6467"/>
        <v>79</v>
      </c>
      <c r="E3166" s="66">
        <f t="shared" ref="E3166" si="6490">plan_id</f>
        <v>1952</v>
      </c>
      <c r="F3166" s="66">
        <f t="shared" ca="1" si="6060"/>
        <v>2002</v>
      </c>
      <c r="G3166" s="66">
        <f t="shared" ref="G3166" ca="1" si="6491">VLOOKUP(INDIRECT(CHAR(39)&amp;$A3166&amp;CHAR(39)&amp;"!r2c"&amp;$C3166,0),variables,2,0)</f>
        <v>9710</v>
      </c>
      <c r="H3166" s="71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67" t="s">
        <v>1429</v>
      </c>
      <c r="B3167" s="66">
        <f t="shared" si="6464"/>
        <v>4</v>
      </c>
      <c r="C3167" s="66">
        <f t="shared" si="6467"/>
        <v>80</v>
      </c>
      <c r="E3167" s="66">
        <f t="shared" ref="E3167" si="6492">plan_id</f>
        <v>1952</v>
      </c>
      <c r="F3167" s="66">
        <f t="shared" ca="1" si="6060"/>
        <v>2002</v>
      </c>
      <c r="G3167" s="66">
        <f t="shared" ref="G3167" ca="1" si="6493">VLOOKUP(INDIRECT(CHAR(39)&amp;$A3167&amp;CHAR(39)&amp;"!r2c"&amp;$C3167,0),variables,2,0)</f>
        <v>9758</v>
      </c>
      <c r="H3167" s="71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67" t="s">
        <v>1429</v>
      </c>
      <c r="B3168" s="66">
        <f t="shared" si="6464"/>
        <v>4</v>
      </c>
      <c r="C3168" s="66">
        <f t="shared" si="6467"/>
        <v>81</v>
      </c>
      <c r="E3168" s="66">
        <f t="shared" ref="E3168" si="6494">plan_id</f>
        <v>1952</v>
      </c>
      <c r="F3168" s="66">
        <f t="shared" ca="1" si="6060"/>
        <v>2002</v>
      </c>
      <c r="G3168" s="66">
        <f t="shared" ref="G3168" ca="1" si="6495">VLOOKUP(INDIRECT(CHAR(39)&amp;$A3168&amp;CHAR(39)&amp;"!r2c"&amp;$C3168,0),variables,2,0)</f>
        <v>9803</v>
      </c>
      <c r="H3168" s="71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67" t="s">
        <v>1429</v>
      </c>
      <c r="B3169" s="66">
        <f t="shared" si="6464"/>
        <v>4</v>
      </c>
      <c r="C3169" s="66">
        <f t="shared" si="6467"/>
        <v>82</v>
      </c>
      <c r="E3169" s="66">
        <f t="shared" ref="E3169" si="6496">plan_id</f>
        <v>1952</v>
      </c>
      <c r="F3169" s="66">
        <f t="shared" ca="1" si="6060"/>
        <v>2002</v>
      </c>
      <c r="G3169" s="66">
        <f t="shared" ref="G3169" ca="1" si="6497">VLOOKUP(INDIRECT(CHAR(39)&amp;$A3169&amp;CHAR(39)&amp;"!r2c"&amp;$C3169,0),variables,2,0)</f>
        <v>9857</v>
      </c>
      <c r="H3169" s="71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67" t="s">
        <v>1429</v>
      </c>
      <c r="B3170" s="66">
        <f t="shared" si="6464"/>
        <v>4</v>
      </c>
      <c r="C3170" s="66">
        <f t="shared" si="6467"/>
        <v>83</v>
      </c>
      <c r="E3170" s="66">
        <f t="shared" ref="E3170" si="6498">plan_id</f>
        <v>1952</v>
      </c>
      <c r="F3170" s="66">
        <f t="shared" ca="1" si="6060"/>
        <v>2002</v>
      </c>
      <c r="G3170" s="66">
        <f t="shared" ref="G3170" ca="1" si="6499">VLOOKUP(INDIRECT(CHAR(39)&amp;$A3170&amp;CHAR(39)&amp;"!r2c"&amp;$C3170,0),variables,2,0)</f>
        <v>9902</v>
      </c>
      <c r="H3170" s="71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67" t="s">
        <v>1429</v>
      </c>
      <c r="B3171" s="66">
        <f t="shared" si="6464"/>
        <v>4</v>
      </c>
      <c r="C3171" s="66">
        <f t="shared" si="6467"/>
        <v>84</v>
      </c>
      <c r="E3171" s="66">
        <f t="shared" ref="E3171" si="6500">plan_id</f>
        <v>1952</v>
      </c>
      <c r="F3171" s="66">
        <f t="shared" ca="1" si="6060"/>
        <v>2002</v>
      </c>
      <c r="G3171" s="66">
        <f t="shared" ref="G3171" ca="1" si="6501">VLOOKUP(INDIRECT(CHAR(39)&amp;$A3171&amp;CHAR(39)&amp;"!r2c"&amp;$C3171,0),variables,2,0)</f>
        <v>9926</v>
      </c>
      <c r="H3171" s="71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67" t="s">
        <v>1429</v>
      </c>
      <c r="B3172" s="66">
        <f t="shared" si="6464"/>
        <v>4</v>
      </c>
      <c r="C3172" s="66">
        <f t="shared" si="6467"/>
        <v>85</v>
      </c>
      <c r="E3172" s="66">
        <f t="shared" ref="E3172" si="6502">plan_id</f>
        <v>1952</v>
      </c>
      <c r="F3172" s="66">
        <f t="shared" ca="1" si="6060"/>
        <v>2002</v>
      </c>
      <c r="G3172" s="66">
        <f t="shared" ref="G3172" ca="1" si="6503">VLOOKUP(INDIRECT(CHAR(39)&amp;$A3172&amp;CHAR(39)&amp;"!r2c"&amp;$C3172,0),variables,2,0)</f>
        <v>9666</v>
      </c>
      <c r="H3172" s="71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67" t="s">
        <v>1429</v>
      </c>
      <c r="B3173" s="66">
        <f t="shared" si="6464"/>
        <v>4</v>
      </c>
      <c r="C3173" s="66">
        <f t="shared" si="6467"/>
        <v>86</v>
      </c>
      <c r="E3173" s="66">
        <f t="shared" ref="E3173" si="6504">plan_id</f>
        <v>1952</v>
      </c>
      <c r="F3173" s="66">
        <f t="shared" ca="1" si="6060"/>
        <v>2002</v>
      </c>
      <c r="G3173" s="66">
        <f t="shared" ref="G3173" ca="1" si="6505">VLOOKUP(INDIRECT(CHAR(39)&amp;$A3173&amp;CHAR(39)&amp;"!r2c"&amp;$C3173,0),variables,2,0)</f>
        <v>9827</v>
      </c>
      <c r="H3173" s="71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67" t="s">
        <v>1429</v>
      </c>
      <c r="B3174" s="66">
        <f t="shared" si="6464"/>
        <v>4</v>
      </c>
      <c r="C3174" s="66">
        <f t="shared" si="6467"/>
        <v>87</v>
      </c>
      <c r="E3174" s="66">
        <f t="shared" ref="E3174" si="6506">plan_id</f>
        <v>1952</v>
      </c>
      <c r="F3174" s="66">
        <f t="shared" ca="1" si="6060"/>
        <v>2002</v>
      </c>
      <c r="G3174" s="66">
        <f t="shared" ref="G3174" ca="1" si="6507">VLOOKUP(INDIRECT(CHAR(39)&amp;$A3174&amp;CHAR(39)&amp;"!r2c"&amp;$C3174,0),variables,2,0)</f>
        <v>9657</v>
      </c>
      <c r="H3174" s="71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67" t="s">
        <v>1429</v>
      </c>
      <c r="B3175" s="66">
        <f t="shared" si="6464"/>
        <v>4</v>
      </c>
      <c r="C3175" s="66">
        <f t="shared" si="6467"/>
        <v>88</v>
      </c>
      <c r="E3175" s="66">
        <f t="shared" ref="E3175" si="6508">plan_id</f>
        <v>1952</v>
      </c>
      <c r="F3175" s="66">
        <f t="shared" ca="1" si="6060"/>
        <v>2002</v>
      </c>
      <c r="G3175" s="66">
        <f t="shared" ref="G3175" ca="1" si="6509">VLOOKUP(INDIRECT(CHAR(39)&amp;$A3175&amp;CHAR(39)&amp;"!r2c"&amp;$C3175,0),variables,2,0)</f>
        <v>9834</v>
      </c>
      <c r="H3175" s="71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67" t="s">
        <v>1429</v>
      </c>
      <c r="B3176" s="66">
        <f t="shared" si="6464"/>
        <v>4</v>
      </c>
      <c r="C3176" s="66">
        <f t="shared" si="6467"/>
        <v>89</v>
      </c>
      <c r="E3176" s="66">
        <f t="shared" ref="E3176" si="6510">plan_id</f>
        <v>1952</v>
      </c>
      <c r="F3176" s="66">
        <f t="shared" ca="1" si="6060"/>
        <v>2002</v>
      </c>
      <c r="G3176" s="66">
        <f t="shared" ref="G3176" ca="1" si="6511">VLOOKUP(INDIRECT(CHAR(39)&amp;$A3176&amp;CHAR(39)&amp;"!r2c"&amp;$C3176,0),variables,2,0)</f>
        <v>9884</v>
      </c>
      <c r="H3176" s="71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67" t="s">
        <v>1429</v>
      </c>
      <c r="B3177" s="66">
        <f t="shared" si="6464"/>
        <v>4</v>
      </c>
      <c r="C3177" s="66">
        <f t="shared" si="6467"/>
        <v>90</v>
      </c>
      <c r="E3177" s="66">
        <f t="shared" ref="E3177" si="6512">plan_id</f>
        <v>1952</v>
      </c>
      <c r="F3177" s="66">
        <f t="shared" ca="1" si="6060"/>
        <v>2002</v>
      </c>
      <c r="G3177" s="66">
        <f t="shared" ref="G3177" ca="1" si="6513">VLOOKUP(INDIRECT(CHAR(39)&amp;$A3177&amp;CHAR(39)&amp;"!r2c"&amp;$C3177,0),variables,2,0)</f>
        <v>9672</v>
      </c>
      <c r="H3177" s="71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67" t="s">
        <v>1429</v>
      </c>
      <c r="B3178" s="66">
        <f t="shared" si="6464"/>
        <v>5</v>
      </c>
      <c r="C3178" s="66">
        <f t="shared" si="6467"/>
        <v>3</v>
      </c>
      <c r="E3178" s="66">
        <f t="shared" ref="E3178" si="6514">plan_id</f>
        <v>1952</v>
      </c>
      <c r="F3178" s="66">
        <f t="shared" ca="1" si="6060"/>
        <v>2003</v>
      </c>
      <c r="G3178" s="66">
        <f t="shared" ref="G3178" ca="1" si="6515">VLOOKUP(INDIRECT(CHAR(39)&amp;$A3178&amp;CHAR(39)&amp;"!r2c"&amp;$C3178,0),variables,2,0)</f>
        <v>9704</v>
      </c>
      <c r="H3178" s="71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67" t="s">
        <v>1429</v>
      </c>
      <c r="B3179" s="66">
        <f t="shared" si="6464"/>
        <v>5</v>
      </c>
      <c r="C3179" s="66">
        <f t="shared" si="6467"/>
        <v>4</v>
      </c>
      <c r="E3179" s="66">
        <f t="shared" ref="E3179" si="6516">plan_id</f>
        <v>1952</v>
      </c>
      <c r="F3179" s="66">
        <f t="shared" ca="1" si="6060"/>
        <v>2003</v>
      </c>
      <c r="G3179" s="66">
        <f t="shared" ref="G3179" ca="1" si="6517">VLOOKUP(INDIRECT(CHAR(39)&amp;$A3179&amp;CHAR(39)&amp;"!r2c"&amp;$C3179,0),variables,2,0)</f>
        <v>9716</v>
      </c>
      <c r="H3179" s="71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67" t="s">
        <v>1429</v>
      </c>
      <c r="B3180" s="66">
        <f t="shared" si="6464"/>
        <v>5</v>
      </c>
      <c r="C3180" s="66">
        <f t="shared" si="6467"/>
        <v>5</v>
      </c>
      <c r="E3180" s="66">
        <f t="shared" ref="E3180" si="6518">plan_id</f>
        <v>1952</v>
      </c>
      <c r="F3180" s="66">
        <f t="shared" ca="1" si="6060"/>
        <v>2003</v>
      </c>
      <c r="G3180" s="66">
        <f t="shared" ref="G3180" ca="1" si="6519">VLOOKUP(INDIRECT(CHAR(39)&amp;$A3180&amp;CHAR(39)&amp;"!r2c"&amp;$C3180,0),variables,2,0)</f>
        <v>9734</v>
      </c>
      <c r="H3180" s="71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67" t="s">
        <v>1429</v>
      </c>
      <c r="B3181" s="66">
        <f t="shared" si="6464"/>
        <v>5</v>
      </c>
      <c r="C3181" s="66">
        <f t="shared" si="6467"/>
        <v>6</v>
      </c>
      <c r="E3181" s="66">
        <f t="shared" ref="E3181" si="6520">plan_id</f>
        <v>1952</v>
      </c>
      <c r="F3181" s="66">
        <f t="shared" ca="1" si="6060"/>
        <v>2003</v>
      </c>
      <c r="G3181" s="66">
        <f t="shared" ref="G3181" ca="1" si="6521">VLOOKUP(INDIRECT(CHAR(39)&amp;$A3181&amp;CHAR(39)&amp;"!r2c"&amp;$C3181,0),variables,2,0)</f>
        <v>9749</v>
      </c>
      <c r="H3181" s="71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67" t="s">
        <v>1429</v>
      </c>
      <c r="B3182" s="66">
        <f t="shared" si="6464"/>
        <v>5</v>
      </c>
      <c r="C3182" s="66">
        <f t="shared" si="6467"/>
        <v>7</v>
      </c>
      <c r="E3182" s="66">
        <f t="shared" ref="E3182" si="6522">plan_id</f>
        <v>1952</v>
      </c>
      <c r="F3182" s="66">
        <f t="shared" ca="1" si="6060"/>
        <v>2003</v>
      </c>
      <c r="G3182" s="66">
        <f t="shared" ref="G3182" ca="1" si="6523">VLOOKUP(INDIRECT(CHAR(39)&amp;$A3182&amp;CHAR(39)&amp;"!r2c"&amp;$C3182,0),variables,2,0)</f>
        <v>9755</v>
      </c>
      <c r="H3182" s="71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67" t="s">
        <v>1429</v>
      </c>
      <c r="B3183" s="66">
        <f t="shared" si="6464"/>
        <v>5</v>
      </c>
      <c r="C3183" s="66">
        <f t="shared" si="6467"/>
        <v>8</v>
      </c>
      <c r="E3183" s="66">
        <f t="shared" ref="E3183" si="6524">plan_id</f>
        <v>1952</v>
      </c>
      <c r="F3183" s="66">
        <f t="shared" ca="1" si="6060"/>
        <v>2003</v>
      </c>
      <c r="G3183" s="66">
        <f t="shared" ref="G3183" ca="1" si="6525">VLOOKUP(INDIRECT(CHAR(39)&amp;$A3183&amp;CHAR(39)&amp;"!r2c"&amp;$C3183,0),variables,2,0)</f>
        <v>9782</v>
      </c>
      <c r="H3183" s="71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67" t="s">
        <v>1429</v>
      </c>
      <c r="B3184" s="66">
        <f t="shared" si="6464"/>
        <v>5</v>
      </c>
      <c r="C3184" s="66">
        <f t="shared" si="6467"/>
        <v>9</v>
      </c>
      <c r="E3184" s="66">
        <f t="shared" ref="E3184" si="6526">plan_id</f>
        <v>1952</v>
      </c>
      <c r="F3184" s="66">
        <f t="shared" ca="1" si="6060"/>
        <v>2003</v>
      </c>
      <c r="G3184" s="66">
        <f t="shared" ref="G3184" ca="1" si="6527">VLOOKUP(INDIRECT(CHAR(39)&amp;$A3184&amp;CHAR(39)&amp;"!r2c"&amp;$C3184,0),variables,2,0)</f>
        <v>9788</v>
      </c>
      <c r="H3184" s="71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67" t="s">
        <v>1429</v>
      </c>
      <c r="B3185" s="66">
        <f t="shared" si="6464"/>
        <v>5</v>
      </c>
      <c r="C3185" s="66">
        <f t="shared" si="6467"/>
        <v>10</v>
      </c>
      <c r="E3185" s="66">
        <f t="shared" ref="E3185" si="6528">plan_id</f>
        <v>1952</v>
      </c>
      <c r="F3185" s="66">
        <f t="shared" ca="1" si="6060"/>
        <v>2003</v>
      </c>
      <c r="G3185" s="66">
        <f t="shared" ref="G3185" ca="1" si="6529">VLOOKUP(INDIRECT(CHAR(39)&amp;$A3185&amp;CHAR(39)&amp;"!r2c"&amp;$C3185,0),variables,2,0)</f>
        <v>9812</v>
      </c>
      <c r="H3185" s="71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67" t="s">
        <v>1429</v>
      </c>
      <c r="B3186" s="66">
        <f t="shared" si="6464"/>
        <v>5</v>
      </c>
      <c r="C3186" s="66">
        <f t="shared" si="6467"/>
        <v>11</v>
      </c>
      <c r="E3186" s="66">
        <f t="shared" ref="E3186" si="6530">plan_id</f>
        <v>1952</v>
      </c>
      <c r="F3186" s="66">
        <f t="shared" ca="1" si="6060"/>
        <v>2003</v>
      </c>
      <c r="G3186" s="66">
        <f t="shared" ref="G3186" ca="1" si="6531">VLOOKUP(INDIRECT(CHAR(39)&amp;$A3186&amp;CHAR(39)&amp;"!r2c"&amp;$C3186,0),variables,2,0)</f>
        <v>9815</v>
      </c>
      <c r="H3186" s="71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67" t="s">
        <v>1429</v>
      </c>
      <c r="B3187" s="66">
        <f t="shared" si="6464"/>
        <v>5</v>
      </c>
      <c r="C3187" s="66">
        <f t="shared" si="6467"/>
        <v>12</v>
      </c>
      <c r="E3187" s="66">
        <f t="shared" ref="E3187" si="6532">plan_id</f>
        <v>1952</v>
      </c>
      <c r="F3187" s="66">
        <f t="shared" ca="1" si="6060"/>
        <v>2003</v>
      </c>
      <c r="G3187" s="66">
        <f t="shared" ref="G3187" ca="1" si="6533">VLOOKUP(INDIRECT(CHAR(39)&amp;$A3187&amp;CHAR(39)&amp;"!r2c"&amp;$C3187,0),variables,2,0)</f>
        <v>9821</v>
      </c>
      <c r="H3187" s="71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67" t="s">
        <v>1429</v>
      </c>
      <c r="B3188" s="66">
        <f t="shared" si="6464"/>
        <v>5</v>
      </c>
      <c r="C3188" s="66">
        <f t="shared" si="6467"/>
        <v>13</v>
      </c>
      <c r="E3188" s="66">
        <f t="shared" ref="E3188" si="6534">plan_id</f>
        <v>1952</v>
      </c>
      <c r="F3188" s="66">
        <f t="shared" ca="1" si="6060"/>
        <v>2003</v>
      </c>
      <c r="G3188" s="66">
        <f t="shared" ref="G3188" ca="1" si="6535">VLOOKUP(INDIRECT(CHAR(39)&amp;$A3188&amp;CHAR(39)&amp;"!r2c"&amp;$C3188,0),variables,2,0)</f>
        <v>9824</v>
      </c>
      <c r="H3188" s="71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67" t="s">
        <v>1429</v>
      </c>
      <c r="B3189" s="66">
        <f t="shared" si="6464"/>
        <v>5</v>
      </c>
      <c r="C3189" s="66">
        <f t="shared" si="6467"/>
        <v>14</v>
      </c>
      <c r="E3189" s="66">
        <f t="shared" ref="E3189" si="6536">plan_id</f>
        <v>1952</v>
      </c>
      <c r="F3189" s="66">
        <f t="shared" ca="1" si="6060"/>
        <v>2003</v>
      </c>
      <c r="G3189" s="66">
        <f t="shared" ref="G3189" ca="1" si="6537">VLOOKUP(INDIRECT(CHAR(39)&amp;$A3189&amp;CHAR(39)&amp;"!r2c"&amp;$C3189,0),variables,2,0)</f>
        <v>9830</v>
      </c>
      <c r="H3189" s="71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67" t="s">
        <v>1429</v>
      </c>
      <c r="B3190" s="66">
        <f t="shared" si="6464"/>
        <v>5</v>
      </c>
      <c r="C3190" s="66">
        <f t="shared" si="6467"/>
        <v>15</v>
      </c>
      <c r="E3190" s="66">
        <f t="shared" ref="E3190" si="6538">plan_id</f>
        <v>1952</v>
      </c>
      <c r="F3190" s="66">
        <f t="shared" ca="1" si="6060"/>
        <v>2003</v>
      </c>
      <c r="G3190" s="66">
        <f t="shared" ref="G3190" ca="1" si="6539">VLOOKUP(INDIRECT(CHAR(39)&amp;$A3190&amp;CHAR(39)&amp;"!r2c"&amp;$C3190,0),variables,2,0)</f>
        <v>9833</v>
      </c>
      <c r="H3190" s="71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67" t="s">
        <v>1429</v>
      </c>
      <c r="B3191" s="66">
        <f t="shared" si="6464"/>
        <v>5</v>
      </c>
      <c r="C3191" s="66">
        <f t="shared" si="6467"/>
        <v>16</v>
      </c>
      <c r="E3191" s="66">
        <f t="shared" ref="E3191" si="6540">plan_id</f>
        <v>1952</v>
      </c>
      <c r="F3191" s="66">
        <f t="shared" ca="1" si="6060"/>
        <v>2003</v>
      </c>
      <c r="G3191" s="66">
        <f t="shared" ref="G3191" ca="1" si="6541">VLOOKUP(INDIRECT(CHAR(39)&amp;$A3191&amp;CHAR(39)&amp;"!r2c"&amp;$C3191,0),variables,2,0)</f>
        <v>9845</v>
      </c>
      <c r="H3191" s="71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67" t="s">
        <v>1429</v>
      </c>
      <c r="B3192" s="66">
        <f t="shared" si="6464"/>
        <v>5</v>
      </c>
      <c r="C3192" s="66">
        <f t="shared" si="6467"/>
        <v>17</v>
      </c>
      <c r="E3192" s="66">
        <f t="shared" ref="E3192" si="6542">plan_id</f>
        <v>1952</v>
      </c>
      <c r="F3192" s="66">
        <f t="shared" ca="1" si="6060"/>
        <v>2003</v>
      </c>
      <c r="G3192" s="66">
        <f t="shared" ref="G3192" ca="1" si="6543">VLOOKUP(INDIRECT(CHAR(39)&amp;$A3192&amp;CHAR(39)&amp;"!r2c"&amp;$C3192,0),variables,2,0)</f>
        <v>9872</v>
      </c>
      <c r="H3192" s="71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67" t="s">
        <v>1429</v>
      </c>
      <c r="B3193" s="66">
        <f t="shared" si="6464"/>
        <v>5</v>
      </c>
      <c r="C3193" s="66">
        <f t="shared" si="6467"/>
        <v>18</v>
      </c>
      <c r="E3193" s="66">
        <f t="shared" ref="E3193" si="6544">plan_id</f>
        <v>1952</v>
      </c>
      <c r="F3193" s="66">
        <f t="shared" ca="1" si="6060"/>
        <v>2003</v>
      </c>
      <c r="G3193" s="66">
        <f t="shared" ref="G3193" ca="1" si="6545">VLOOKUP(INDIRECT(CHAR(39)&amp;$A3193&amp;CHAR(39)&amp;"!r2c"&amp;$C3193,0),variables,2,0)</f>
        <v>9887</v>
      </c>
      <c r="H3193" s="71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67" t="s">
        <v>1429</v>
      </c>
      <c r="B3194" s="66">
        <f t="shared" si="6464"/>
        <v>5</v>
      </c>
      <c r="C3194" s="66">
        <f t="shared" si="6467"/>
        <v>19</v>
      </c>
      <c r="E3194" s="66">
        <f t="shared" ref="E3194" si="6546">plan_id</f>
        <v>1952</v>
      </c>
      <c r="F3194" s="66">
        <f t="shared" ca="1" si="6060"/>
        <v>2003</v>
      </c>
      <c r="G3194" s="66">
        <f t="shared" ref="G3194" ca="1" si="6547">VLOOKUP(INDIRECT(CHAR(39)&amp;$A3194&amp;CHAR(39)&amp;"!r2c"&amp;$C3194,0),variables,2,0)</f>
        <v>9914</v>
      </c>
      <c r="H3194" s="71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67" t="s">
        <v>1429</v>
      </c>
      <c r="B3195" s="66">
        <f t="shared" si="6464"/>
        <v>5</v>
      </c>
      <c r="C3195" s="66">
        <f t="shared" si="6467"/>
        <v>20</v>
      </c>
      <c r="E3195" s="66">
        <f t="shared" ref="E3195" si="6548">plan_id</f>
        <v>1952</v>
      </c>
      <c r="F3195" s="66">
        <f t="shared" ca="1" si="6060"/>
        <v>2003</v>
      </c>
      <c r="G3195" s="66">
        <f t="shared" ref="G3195" ca="1" si="6549">VLOOKUP(INDIRECT(CHAR(39)&amp;$A3195&amp;CHAR(39)&amp;"!r2c"&amp;$C3195,0),variables,2,0)</f>
        <v>9917</v>
      </c>
      <c r="H3195" s="71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67" t="s">
        <v>1429</v>
      </c>
      <c r="B3196" s="66">
        <f t="shared" si="6464"/>
        <v>5</v>
      </c>
      <c r="C3196" s="66">
        <f t="shared" si="6467"/>
        <v>21</v>
      </c>
      <c r="E3196" s="66">
        <f t="shared" ref="E3196" si="6550">plan_id</f>
        <v>1952</v>
      </c>
      <c r="F3196" s="66">
        <f t="shared" ca="1" si="6060"/>
        <v>2003</v>
      </c>
      <c r="G3196" s="66">
        <f t="shared" ref="G3196" ca="1" si="6551">VLOOKUP(INDIRECT(CHAR(39)&amp;$A3196&amp;CHAR(39)&amp;"!r2c"&amp;$C3196,0),variables,2,0)</f>
        <v>9920</v>
      </c>
      <c r="H3196" s="71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67" t="s">
        <v>1429</v>
      </c>
      <c r="B3197" s="66">
        <f t="shared" si="6464"/>
        <v>5</v>
      </c>
      <c r="C3197" s="66">
        <f t="shared" si="6467"/>
        <v>22</v>
      </c>
      <c r="E3197" s="66">
        <f t="shared" ref="E3197" si="6552">plan_id</f>
        <v>1952</v>
      </c>
      <c r="F3197" s="66">
        <f t="shared" ca="1" si="6060"/>
        <v>2003</v>
      </c>
      <c r="G3197" s="66">
        <f t="shared" ref="G3197" ca="1" si="6553">VLOOKUP(INDIRECT(CHAR(39)&amp;$A3197&amp;CHAR(39)&amp;"!r2c"&amp;$C3197,0),variables,2,0)</f>
        <v>9648</v>
      </c>
      <c r="H3197" s="71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67" t="s">
        <v>1429</v>
      </c>
      <c r="B3198" s="66">
        <f t="shared" si="6464"/>
        <v>5</v>
      </c>
      <c r="C3198" s="66">
        <f t="shared" si="6467"/>
        <v>23</v>
      </c>
      <c r="E3198" s="66">
        <f t="shared" ref="E3198" si="6554">plan_id</f>
        <v>1952</v>
      </c>
      <c r="F3198" s="66">
        <f t="shared" ca="1" si="6060"/>
        <v>2003</v>
      </c>
      <c r="G3198" s="66">
        <f t="shared" ref="G3198" ca="1" si="6555">VLOOKUP(INDIRECT(CHAR(39)&amp;$A3198&amp;CHAR(39)&amp;"!r2c"&amp;$C3198,0),variables,2,0)</f>
        <v>9713</v>
      </c>
      <c r="H3198" s="71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67" t="s">
        <v>1429</v>
      </c>
      <c r="B3199" s="66">
        <f t="shared" si="6464"/>
        <v>5</v>
      </c>
      <c r="C3199" s="66">
        <f t="shared" si="6467"/>
        <v>24</v>
      </c>
      <c r="E3199" s="66">
        <f t="shared" ref="E3199" si="6556">plan_id</f>
        <v>1952</v>
      </c>
      <c r="F3199" s="66">
        <f t="shared" ca="1" si="6060"/>
        <v>2003</v>
      </c>
      <c r="G3199" s="66">
        <f t="shared" ref="G3199" ca="1" si="6557">VLOOKUP(INDIRECT(CHAR(39)&amp;$A3199&amp;CHAR(39)&amp;"!r2c"&amp;$C3199,0),variables,2,0)</f>
        <v>9719</v>
      </c>
      <c r="H3199" s="71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67" t="s">
        <v>1429</v>
      </c>
      <c r="B3200" s="66">
        <f t="shared" si="6464"/>
        <v>5</v>
      </c>
      <c r="C3200" s="66">
        <f t="shared" si="6467"/>
        <v>25</v>
      </c>
      <c r="E3200" s="66">
        <f t="shared" ref="E3200" si="6558">plan_id</f>
        <v>1952</v>
      </c>
      <c r="F3200" s="66">
        <f t="shared" ca="1" si="6060"/>
        <v>2003</v>
      </c>
      <c r="G3200" s="66">
        <f t="shared" ref="G3200" ca="1" si="6559">VLOOKUP(INDIRECT(CHAR(39)&amp;$A3200&amp;CHAR(39)&amp;"!r2c"&amp;$C3200,0),variables,2,0)</f>
        <v>9725</v>
      </c>
      <c r="H3200" s="71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67" t="s">
        <v>1429</v>
      </c>
      <c r="B3201" s="66">
        <f t="shared" si="6464"/>
        <v>5</v>
      </c>
      <c r="C3201" s="66">
        <f t="shared" si="6467"/>
        <v>26</v>
      </c>
      <c r="E3201" s="66">
        <f t="shared" ref="E3201" si="6560">plan_id</f>
        <v>1952</v>
      </c>
      <c r="F3201" s="66">
        <f t="shared" ref="F3201:F3264" ca="1" si="6561">INDIRECT(CHAR(39)&amp;$A3201&amp;CHAR(39)&amp;"!r"&amp;$B3201&amp;"c2",0)</f>
        <v>2003</v>
      </c>
      <c r="G3201" s="66">
        <f t="shared" ref="G3201" ca="1" si="6562">VLOOKUP(INDIRECT(CHAR(39)&amp;$A3201&amp;CHAR(39)&amp;"!r2c"&amp;$C3201,0),variables,2,0)</f>
        <v>9743</v>
      </c>
      <c r="H3201" s="71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67" t="s">
        <v>1429</v>
      </c>
      <c r="B3202" s="66">
        <f t="shared" si="6464"/>
        <v>5</v>
      </c>
      <c r="C3202" s="66">
        <f t="shared" si="6467"/>
        <v>27</v>
      </c>
      <c r="E3202" s="66">
        <f t="shared" ref="E3202" si="6563">plan_id</f>
        <v>1952</v>
      </c>
      <c r="F3202" s="66">
        <f t="shared" ca="1" si="6561"/>
        <v>2003</v>
      </c>
      <c r="G3202" s="66">
        <f t="shared" ref="G3202" ca="1" si="6564">VLOOKUP(INDIRECT(CHAR(39)&amp;$A3202&amp;CHAR(39)&amp;"!r2c"&amp;$C3202,0),variables,2,0)</f>
        <v>9746</v>
      </c>
      <c r="H3202" s="71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67" t="s">
        <v>1429</v>
      </c>
      <c r="B3203" s="66">
        <f t="shared" si="6464"/>
        <v>5</v>
      </c>
      <c r="C3203" s="66">
        <f t="shared" si="6467"/>
        <v>28</v>
      </c>
      <c r="E3203" s="66">
        <f t="shared" ref="E3203" si="6565">plan_id</f>
        <v>1952</v>
      </c>
      <c r="F3203" s="66">
        <f t="shared" ca="1" si="6561"/>
        <v>2003</v>
      </c>
      <c r="G3203" s="66">
        <f t="shared" ref="G3203" ca="1" si="6566">VLOOKUP(INDIRECT(CHAR(39)&amp;$A3203&amp;CHAR(39)&amp;"!r2c"&amp;$C3203,0),variables,2,0)</f>
        <v>9761</v>
      </c>
      <c r="H3203" s="71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67" t="s">
        <v>1429</v>
      </c>
      <c r="B3204" s="66">
        <f t="shared" si="6464"/>
        <v>5</v>
      </c>
      <c r="C3204" s="66">
        <f t="shared" si="6467"/>
        <v>29</v>
      </c>
      <c r="E3204" s="66">
        <f t="shared" ref="E3204" si="6567">plan_id</f>
        <v>1952</v>
      </c>
      <c r="F3204" s="66">
        <f t="shared" ca="1" si="6561"/>
        <v>2003</v>
      </c>
      <c r="G3204" s="66">
        <f t="shared" ref="G3204" ca="1" si="6568">VLOOKUP(INDIRECT(CHAR(39)&amp;$A3204&amp;CHAR(39)&amp;"!r2c"&amp;$C3204,0),variables,2,0)</f>
        <v>9764</v>
      </c>
      <c r="H3204" s="71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67" t="s">
        <v>1429</v>
      </c>
      <c r="B3205" s="66">
        <f t="shared" si="6464"/>
        <v>5</v>
      </c>
      <c r="C3205" s="66">
        <f t="shared" si="6467"/>
        <v>30</v>
      </c>
      <c r="E3205" s="66">
        <f t="shared" ref="E3205" si="6569">plan_id</f>
        <v>1952</v>
      </c>
      <c r="F3205" s="66">
        <f t="shared" ca="1" si="6561"/>
        <v>2003</v>
      </c>
      <c r="G3205" s="66">
        <f t="shared" ref="G3205" ca="1" si="6570">VLOOKUP(INDIRECT(CHAR(39)&amp;$A3205&amp;CHAR(39)&amp;"!r2c"&amp;$C3205,0),variables,2,0)</f>
        <v>9767</v>
      </c>
      <c r="H3205" s="71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67" t="s">
        <v>1429</v>
      </c>
      <c r="B3206" s="66">
        <f t="shared" si="6464"/>
        <v>5</v>
      </c>
      <c r="C3206" s="66">
        <f t="shared" si="6467"/>
        <v>31</v>
      </c>
      <c r="E3206" s="66">
        <f t="shared" ref="E3206" si="6571">plan_id</f>
        <v>1952</v>
      </c>
      <c r="F3206" s="66">
        <f t="shared" ca="1" si="6561"/>
        <v>2003</v>
      </c>
      <c r="G3206" s="66">
        <f t="shared" ref="G3206" ca="1" si="6572">VLOOKUP(INDIRECT(CHAR(39)&amp;$A3206&amp;CHAR(39)&amp;"!r2c"&amp;$C3206,0),variables,2,0)</f>
        <v>9770</v>
      </c>
      <c r="H3206" s="71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67" t="s">
        <v>1429</v>
      </c>
      <c r="B3207" s="66">
        <f t="shared" si="6464"/>
        <v>5</v>
      </c>
      <c r="C3207" s="66">
        <f t="shared" si="6467"/>
        <v>32</v>
      </c>
      <c r="E3207" s="66">
        <f t="shared" ref="E3207" si="6573">plan_id</f>
        <v>1952</v>
      </c>
      <c r="F3207" s="66">
        <f t="shared" ca="1" si="6561"/>
        <v>2003</v>
      </c>
      <c r="G3207" s="66">
        <f t="shared" ref="G3207" ca="1" si="6574">VLOOKUP(INDIRECT(CHAR(39)&amp;$A3207&amp;CHAR(39)&amp;"!r2c"&amp;$C3207,0),variables,2,0)</f>
        <v>9773</v>
      </c>
      <c r="H3207" s="71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67" t="s">
        <v>1429</v>
      </c>
      <c r="B3208" s="66">
        <f t="shared" si="6464"/>
        <v>5</v>
      </c>
      <c r="C3208" s="66">
        <f t="shared" si="6467"/>
        <v>33</v>
      </c>
      <c r="E3208" s="66">
        <f t="shared" ref="E3208" si="6575">plan_id</f>
        <v>1952</v>
      </c>
      <c r="F3208" s="66">
        <f t="shared" ca="1" si="6561"/>
        <v>2003</v>
      </c>
      <c r="G3208" s="66">
        <f t="shared" ref="G3208" ca="1" si="6576">VLOOKUP(INDIRECT(CHAR(39)&amp;$A3208&amp;CHAR(39)&amp;"!r2c"&amp;$C3208,0),variables,2,0)</f>
        <v>9776</v>
      </c>
      <c r="H3208" s="71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67" t="s">
        <v>1429</v>
      </c>
      <c r="B3209" s="66">
        <f t="shared" si="6464"/>
        <v>5</v>
      </c>
      <c r="C3209" s="66">
        <f t="shared" si="6467"/>
        <v>34</v>
      </c>
      <c r="E3209" s="66">
        <f t="shared" ref="E3209" si="6577">plan_id</f>
        <v>1952</v>
      </c>
      <c r="F3209" s="66">
        <f t="shared" ca="1" si="6561"/>
        <v>2003</v>
      </c>
      <c r="G3209" s="66">
        <f t="shared" ref="G3209" ca="1" si="6578">VLOOKUP(INDIRECT(CHAR(39)&amp;$A3209&amp;CHAR(39)&amp;"!r2c"&amp;$C3209,0),variables,2,0)</f>
        <v>9779</v>
      </c>
      <c r="H3209" s="71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67" t="s">
        <v>1429</v>
      </c>
      <c r="B3210" s="66">
        <f t="shared" si="6464"/>
        <v>5</v>
      </c>
      <c r="C3210" s="66">
        <f t="shared" si="6467"/>
        <v>35</v>
      </c>
      <c r="E3210" s="66">
        <f t="shared" ref="E3210" si="6579">plan_id</f>
        <v>1952</v>
      </c>
      <c r="F3210" s="66">
        <f t="shared" ca="1" si="6561"/>
        <v>2003</v>
      </c>
      <c r="G3210" s="66">
        <f t="shared" ref="G3210" ca="1" si="6580">VLOOKUP(INDIRECT(CHAR(39)&amp;$A3210&amp;CHAR(39)&amp;"!r2c"&amp;$C3210,0),variables,2,0)</f>
        <v>9785</v>
      </c>
      <c r="H3210" s="71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67" t="s">
        <v>1429</v>
      </c>
      <c r="B3211" s="66">
        <f t="shared" si="6464"/>
        <v>5</v>
      </c>
      <c r="C3211" s="66">
        <f t="shared" si="6467"/>
        <v>36</v>
      </c>
      <c r="E3211" s="66">
        <f t="shared" ref="E3211" si="6581">plan_id</f>
        <v>1952</v>
      </c>
      <c r="F3211" s="66">
        <f t="shared" ca="1" si="6561"/>
        <v>2003</v>
      </c>
      <c r="G3211" s="66">
        <f t="shared" ref="G3211" ca="1" si="6582">VLOOKUP(INDIRECT(CHAR(39)&amp;$A3211&amp;CHAR(39)&amp;"!r2c"&amp;$C3211,0),variables,2,0)</f>
        <v>9794</v>
      </c>
      <c r="H3211" s="71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67" t="s">
        <v>1429</v>
      </c>
      <c r="B3212" s="66">
        <f t="shared" si="6464"/>
        <v>5</v>
      </c>
      <c r="C3212" s="66">
        <f t="shared" si="6467"/>
        <v>37</v>
      </c>
      <c r="E3212" s="66">
        <f t="shared" ref="E3212" si="6583">plan_id</f>
        <v>1952</v>
      </c>
      <c r="F3212" s="66">
        <f t="shared" ca="1" si="6561"/>
        <v>2003</v>
      </c>
      <c r="G3212" s="66">
        <f t="shared" ref="G3212" ca="1" si="6584">VLOOKUP(INDIRECT(CHAR(39)&amp;$A3212&amp;CHAR(39)&amp;"!r2c"&amp;$C3212,0),variables,2,0)</f>
        <v>9797</v>
      </c>
      <c r="H3212" s="71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67" t="s">
        <v>1429</v>
      </c>
      <c r="B3213" s="66">
        <f t="shared" si="6464"/>
        <v>5</v>
      </c>
      <c r="C3213" s="66">
        <f t="shared" si="6467"/>
        <v>38</v>
      </c>
      <c r="E3213" s="66">
        <f t="shared" ref="E3213" si="6585">plan_id</f>
        <v>1952</v>
      </c>
      <c r="F3213" s="66">
        <f t="shared" ca="1" si="6561"/>
        <v>2003</v>
      </c>
      <c r="G3213" s="66">
        <f t="shared" ref="G3213" ca="1" si="6586">VLOOKUP(INDIRECT(CHAR(39)&amp;$A3213&amp;CHAR(39)&amp;"!r2c"&amp;$C3213,0),variables,2,0)</f>
        <v>9806</v>
      </c>
      <c r="H3213" s="71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67" t="s">
        <v>1429</v>
      </c>
      <c r="B3214" s="66">
        <f t="shared" si="6464"/>
        <v>5</v>
      </c>
      <c r="C3214" s="66">
        <f t="shared" si="6467"/>
        <v>39</v>
      </c>
      <c r="E3214" s="66">
        <f t="shared" ref="E3214" si="6587">plan_id</f>
        <v>1952</v>
      </c>
      <c r="F3214" s="66">
        <f t="shared" ca="1" si="6561"/>
        <v>2003</v>
      </c>
      <c r="G3214" s="66">
        <f t="shared" ref="G3214" ca="1" si="6588">VLOOKUP(INDIRECT(CHAR(39)&amp;$A3214&amp;CHAR(39)&amp;"!r2c"&amp;$C3214,0),variables,2,0)</f>
        <v>9809</v>
      </c>
      <c r="H3214" s="71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67" t="s">
        <v>1429</v>
      </c>
      <c r="B3215" s="66">
        <f t="shared" si="6464"/>
        <v>5</v>
      </c>
      <c r="C3215" s="66">
        <f t="shared" si="6467"/>
        <v>40</v>
      </c>
      <c r="E3215" s="66">
        <f t="shared" ref="E3215" si="6589">plan_id</f>
        <v>1952</v>
      </c>
      <c r="F3215" s="66">
        <f t="shared" ca="1" si="6561"/>
        <v>2003</v>
      </c>
      <c r="G3215" s="66">
        <f t="shared" ref="G3215" ca="1" si="6590">VLOOKUP(INDIRECT(CHAR(39)&amp;$A3215&amp;CHAR(39)&amp;"!r2c"&amp;$C3215,0),variables,2,0)</f>
        <v>9818</v>
      </c>
      <c r="H3215" s="71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67" t="s">
        <v>1429</v>
      </c>
      <c r="B3216" s="66">
        <f t="shared" si="6464"/>
        <v>5</v>
      </c>
      <c r="C3216" s="66">
        <f t="shared" si="6467"/>
        <v>41</v>
      </c>
      <c r="E3216" s="66">
        <f t="shared" ref="E3216" si="6591">plan_id</f>
        <v>1952</v>
      </c>
      <c r="F3216" s="66">
        <f t="shared" ca="1" si="6561"/>
        <v>2003</v>
      </c>
      <c r="G3216" s="66">
        <f t="shared" ref="G3216" ca="1" si="6592">VLOOKUP(INDIRECT(CHAR(39)&amp;$A3216&amp;CHAR(39)&amp;"!r2c"&amp;$C3216,0),variables,2,0)</f>
        <v>9839</v>
      </c>
      <c r="H3216" s="71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67" t="s">
        <v>1429</v>
      </c>
      <c r="B3217" s="66">
        <f t="shared" si="6464"/>
        <v>5</v>
      </c>
      <c r="C3217" s="66">
        <f t="shared" si="6467"/>
        <v>42</v>
      </c>
      <c r="E3217" s="66">
        <f t="shared" ref="E3217" si="6593">plan_id</f>
        <v>1952</v>
      </c>
      <c r="F3217" s="66">
        <f t="shared" ca="1" si="6561"/>
        <v>2003</v>
      </c>
      <c r="G3217" s="66">
        <f t="shared" ref="G3217" ca="1" si="6594">VLOOKUP(INDIRECT(CHAR(39)&amp;$A3217&amp;CHAR(39)&amp;"!r2c"&amp;$C3217,0),variables,2,0)</f>
        <v>9860</v>
      </c>
      <c r="H3217" s="71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67" t="s">
        <v>1429</v>
      </c>
      <c r="B3218" s="66">
        <f t="shared" ref="B3218:B3281" si="6595">B3130+1</f>
        <v>5</v>
      </c>
      <c r="C3218" s="66">
        <f t="shared" si="6467"/>
        <v>43</v>
      </c>
      <c r="E3218" s="66">
        <f t="shared" ref="E3218" si="6596">plan_id</f>
        <v>1952</v>
      </c>
      <c r="F3218" s="66">
        <f t="shared" ca="1" si="6561"/>
        <v>2003</v>
      </c>
      <c r="G3218" s="66">
        <f t="shared" ref="G3218" ca="1" si="6597">VLOOKUP(INDIRECT(CHAR(39)&amp;$A3218&amp;CHAR(39)&amp;"!r2c"&amp;$C3218,0),variables,2,0)</f>
        <v>9863</v>
      </c>
      <c r="H3218" s="71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67" t="s">
        <v>1429</v>
      </c>
      <c r="B3219" s="66">
        <f t="shared" si="6595"/>
        <v>5</v>
      </c>
      <c r="C3219" s="66">
        <f t="shared" ref="C3219:C3282" si="6598">C3131</f>
        <v>44</v>
      </c>
      <c r="E3219" s="66">
        <f t="shared" ref="E3219" si="6599">plan_id</f>
        <v>1952</v>
      </c>
      <c r="F3219" s="66">
        <f t="shared" ca="1" si="6561"/>
        <v>2003</v>
      </c>
      <c r="G3219" s="66">
        <f t="shared" ref="G3219" ca="1" si="6600">VLOOKUP(INDIRECT(CHAR(39)&amp;$A3219&amp;CHAR(39)&amp;"!r2c"&amp;$C3219,0),variables,2,0)</f>
        <v>9878</v>
      </c>
      <c r="H3219" s="71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67" t="s">
        <v>1429</v>
      </c>
      <c r="B3220" s="66">
        <f t="shared" si="6595"/>
        <v>5</v>
      </c>
      <c r="C3220" s="66">
        <f t="shared" si="6598"/>
        <v>45</v>
      </c>
      <c r="E3220" s="66">
        <f t="shared" ref="E3220" si="6601">plan_id</f>
        <v>1952</v>
      </c>
      <c r="F3220" s="66">
        <f t="shared" ca="1" si="6561"/>
        <v>2003</v>
      </c>
      <c r="G3220" s="66">
        <f t="shared" ref="G3220" ca="1" si="6602">VLOOKUP(INDIRECT(CHAR(39)&amp;$A3220&amp;CHAR(39)&amp;"!r2c"&amp;$C3220,0),variables,2,0)</f>
        <v>9923</v>
      </c>
      <c r="H3220" s="71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67" t="s">
        <v>1429</v>
      </c>
      <c r="B3221" s="66">
        <f t="shared" si="6595"/>
        <v>5</v>
      </c>
      <c r="C3221" s="66">
        <f t="shared" si="6598"/>
        <v>46</v>
      </c>
      <c r="E3221" s="66">
        <f t="shared" ref="E3221" si="6603">plan_id</f>
        <v>1952</v>
      </c>
      <c r="F3221" s="66">
        <f t="shared" ca="1" si="6561"/>
        <v>2003</v>
      </c>
      <c r="G3221" s="66">
        <f t="shared" ref="G3221" ca="1" si="6604">VLOOKUP(INDIRECT(CHAR(39)&amp;$A3221&amp;CHAR(39)&amp;"!r2c"&amp;$C3221,0),variables,2,0)</f>
        <v>9932</v>
      </c>
      <c r="H3221" s="71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67" t="s">
        <v>1429</v>
      </c>
      <c r="B3222" s="66">
        <f t="shared" si="6595"/>
        <v>5</v>
      </c>
      <c r="C3222" s="66">
        <f t="shared" si="6598"/>
        <v>47</v>
      </c>
      <c r="E3222" s="66">
        <f t="shared" ref="E3222" si="6605">plan_id</f>
        <v>1952</v>
      </c>
      <c r="F3222" s="66">
        <f t="shared" ca="1" si="6561"/>
        <v>2003</v>
      </c>
      <c r="G3222" s="66">
        <f t="shared" ref="G3222" ca="1" si="6606">VLOOKUP(INDIRECT(CHAR(39)&amp;$A3222&amp;CHAR(39)&amp;"!r2c"&amp;$C3222,0),variables,2,0)</f>
        <v>9935</v>
      </c>
      <c r="H3222" s="71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67" t="s">
        <v>1429</v>
      </c>
      <c r="B3223" s="66">
        <f t="shared" si="6595"/>
        <v>5</v>
      </c>
      <c r="C3223" s="66">
        <f t="shared" si="6598"/>
        <v>48</v>
      </c>
      <c r="E3223" s="66">
        <f t="shared" ref="E3223" si="6607">plan_id</f>
        <v>1952</v>
      </c>
      <c r="F3223" s="66">
        <f t="shared" ca="1" si="6561"/>
        <v>2003</v>
      </c>
      <c r="G3223" s="66">
        <f t="shared" ref="G3223" ca="1" si="6608">VLOOKUP(INDIRECT(CHAR(39)&amp;$A3223&amp;CHAR(39)&amp;"!r2c"&amp;$C3223,0),variables,2,0)</f>
        <v>9651</v>
      </c>
      <c r="H3223" s="71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67" t="s">
        <v>1429</v>
      </c>
      <c r="B3224" s="66">
        <f t="shared" si="6595"/>
        <v>5</v>
      </c>
      <c r="C3224" s="66">
        <f t="shared" si="6598"/>
        <v>49</v>
      </c>
      <c r="E3224" s="66">
        <f t="shared" ref="E3224" si="6609">plan_id</f>
        <v>1952</v>
      </c>
      <c r="F3224" s="66">
        <f t="shared" ca="1" si="6561"/>
        <v>2003</v>
      </c>
      <c r="G3224" s="66">
        <f t="shared" ref="G3224" ca="1" si="6610">VLOOKUP(INDIRECT(CHAR(39)&amp;$A3224&amp;CHAR(39)&amp;"!r2c"&amp;$C3224,0),variables,2,0)</f>
        <v>9722</v>
      </c>
      <c r="H3224" s="71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67" t="s">
        <v>1429</v>
      </c>
      <c r="B3225" s="66">
        <f t="shared" si="6595"/>
        <v>5</v>
      </c>
      <c r="C3225" s="66">
        <f t="shared" si="6598"/>
        <v>50</v>
      </c>
      <c r="E3225" s="66">
        <f t="shared" ref="E3225" si="6611">plan_id</f>
        <v>1952</v>
      </c>
      <c r="F3225" s="66">
        <f t="shared" ca="1" si="6561"/>
        <v>2003</v>
      </c>
      <c r="G3225" s="66">
        <f t="shared" ref="G3225" ca="1" si="6612">VLOOKUP(INDIRECT(CHAR(39)&amp;$A3225&amp;CHAR(39)&amp;"!r2c"&amp;$C3225,0),variables,2,0)</f>
        <v>9848</v>
      </c>
      <c r="H3225" s="71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67" t="s">
        <v>1429</v>
      </c>
      <c r="B3226" s="66">
        <f t="shared" si="6595"/>
        <v>5</v>
      </c>
      <c r="C3226" s="66">
        <f t="shared" si="6598"/>
        <v>51</v>
      </c>
      <c r="E3226" s="66">
        <f t="shared" ref="E3226" si="6613">plan_id</f>
        <v>1952</v>
      </c>
      <c r="F3226" s="66">
        <f t="shared" ca="1" si="6561"/>
        <v>2003</v>
      </c>
      <c r="G3226" s="66">
        <f t="shared" ref="G3226" ca="1" si="6614">VLOOKUP(INDIRECT(CHAR(39)&amp;$A3226&amp;CHAR(39)&amp;"!r2c"&amp;$C3226,0),variables,2,0)</f>
        <v>9866</v>
      </c>
      <c r="H3226" s="71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67" t="s">
        <v>1429</v>
      </c>
      <c r="B3227" s="66">
        <f t="shared" si="6595"/>
        <v>5</v>
      </c>
      <c r="C3227" s="66">
        <f t="shared" si="6598"/>
        <v>52</v>
      </c>
      <c r="E3227" s="66">
        <f t="shared" ref="E3227" si="6615">plan_id</f>
        <v>1952</v>
      </c>
      <c r="F3227" s="66">
        <f t="shared" ca="1" si="6561"/>
        <v>2003</v>
      </c>
      <c r="G3227" s="66">
        <f t="shared" ref="G3227" ca="1" si="6616">VLOOKUP(INDIRECT(CHAR(39)&amp;$A3227&amp;CHAR(39)&amp;"!r2c"&amp;$C3227,0),variables,2,0)</f>
        <v>9899</v>
      </c>
      <c r="H3227" s="71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67" t="s">
        <v>1429</v>
      </c>
      <c r="B3228" s="66">
        <f t="shared" si="6595"/>
        <v>5</v>
      </c>
      <c r="C3228" s="66">
        <f t="shared" si="6598"/>
        <v>53</v>
      </c>
      <c r="E3228" s="66">
        <f t="shared" ref="E3228" si="6617">plan_id</f>
        <v>1952</v>
      </c>
      <c r="F3228" s="66">
        <f t="shared" ca="1" si="6561"/>
        <v>2003</v>
      </c>
      <c r="G3228" s="66">
        <f t="shared" ref="G3228" ca="1" si="6618">VLOOKUP(INDIRECT(CHAR(39)&amp;$A3228&amp;CHAR(39)&amp;"!r2c"&amp;$C3228,0),variables,2,0)</f>
        <v>9905</v>
      </c>
      <c r="H3228" s="71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67" t="s">
        <v>1429</v>
      </c>
      <c r="B3229" s="66">
        <f t="shared" si="6595"/>
        <v>5</v>
      </c>
      <c r="C3229" s="66">
        <f t="shared" si="6598"/>
        <v>54</v>
      </c>
      <c r="E3229" s="66">
        <f t="shared" ref="E3229" si="6619">plan_id</f>
        <v>1952</v>
      </c>
      <c r="F3229" s="66">
        <f t="shared" ca="1" si="6561"/>
        <v>2003</v>
      </c>
      <c r="G3229" s="66">
        <f t="shared" ref="G3229" ca="1" si="6620">VLOOKUP(INDIRECT(CHAR(39)&amp;$A3229&amp;CHAR(39)&amp;"!r2c"&amp;$C3229,0),variables,2,0)</f>
        <v>9929</v>
      </c>
      <c r="H3229" s="71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67" t="s">
        <v>1429</v>
      </c>
      <c r="B3230" s="66">
        <f t="shared" si="6595"/>
        <v>5</v>
      </c>
      <c r="C3230" s="66">
        <f t="shared" si="6598"/>
        <v>55</v>
      </c>
      <c r="E3230" s="66">
        <f t="shared" ref="E3230" si="6621">plan_id</f>
        <v>1952</v>
      </c>
      <c r="F3230" s="66">
        <f t="shared" ca="1" si="6561"/>
        <v>2003</v>
      </c>
      <c r="G3230" s="66">
        <f t="shared" ref="G3230" ca="1" si="6622">VLOOKUP(INDIRECT(CHAR(39)&amp;$A3230&amp;CHAR(39)&amp;"!r2c"&amp;$C3230,0),variables,2,0)</f>
        <v>9654</v>
      </c>
      <c r="H3230" s="71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67" t="s">
        <v>1429</v>
      </c>
      <c r="B3231" s="66">
        <f t="shared" si="6595"/>
        <v>5</v>
      </c>
      <c r="C3231" s="66">
        <f t="shared" si="6598"/>
        <v>56</v>
      </c>
      <c r="E3231" s="66">
        <f t="shared" ref="E3231" si="6623">plan_id</f>
        <v>1952</v>
      </c>
      <c r="F3231" s="66">
        <f t="shared" ca="1" si="6561"/>
        <v>2003</v>
      </c>
      <c r="G3231" s="66">
        <f t="shared" ref="G3231" ca="1" si="6624">VLOOKUP(INDIRECT(CHAR(39)&amp;$A3231&amp;CHAR(39)&amp;"!r2c"&amp;$C3231,0),variables,2,0)</f>
        <v>9707</v>
      </c>
      <c r="H3231" s="71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67" t="s">
        <v>1429</v>
      </c>
      <c r="B3232" s="66">
        <f t="shared" si="6595"/>
        <v>5</v>
      </c>
      <c r="C3232" s="66">
        <f t="shared" si="6598"/>
        <v>57</v>
      </c>
      <c r="E3232" s="66">
        <f t="shared" ref="E3232" si="6625">plan_id</f>
        <v>1952</v>
      </c>
      <c r="F3232" s="66">
        <f t="shared" ca="1" si="6561"/>
        <v>2003</v>
      </c>
      <c r="G3232" s="66">
        <f t="shared" ref="G3232" ca="1" si="6626">VLOOKUP(INDIRECT(CHAR(39)&amp;$A3232&amp;CHAR(39)&amp;"!r2c"&amp;$C3232,0),variables,2,0)</f>
        <v>9669</v>
      </c>
      <c r="H3232" s="71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67" t="s">
        <v>1429</v>
      </c>
      <c r="B3233" s="66">
        <f t="shared" si="6595"/>
        <v>5</v>
      </c>
      <c r="C3233" s="66">
        <f t="shared" si="6598"/>
        <v>58</v>
      </c>
      <c r="E3233" s="66">
        <f t="shared" ref="E3233" si="6627">plan_id</f>
        <v>1952</v>
      </c>
      <c r="F3233" s="66">
        <f t="shared" ca="1" si="6561"/>
        <v>2003</v>
      </c>
      <c r="G3233" s="66">
        <f t="shared" ref="G3233" ca="1" si="6628">VLOOKUP(INDIRECT(CHAR(39)&amp;$A3233&amp;CHAR(39)&amp;"!r2c"&amp;$C3233,0),variables,2,0)</f>
        <v>9851</v>
      </c>
      <c r="H3233" s="71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67" t="s">
        <v>1429</v>
      </c>
      <c r="B3234" s="66">
        <f t="shared" si="6595"/>
        <v>5</v>
      </c>
      <c r="C3234" s="66">
        <f t="shared" si="6598"/>
        <v>59</v>
      </c>
      <c r="E3234" s="66">
        <f t="shared" ref="E3234" si="6629">plan_id</f>
        <v>1952</v>
      </c>
      <c r="F3234" s="66">
        <f t="shared" ca="1" si="6561"/>
        <v>2003</v>
      </c>
      <c r="G3234" s="66">
        <f t="shared" ref="G3234" ca="1" si="6630">VLOOKUP(INDIRECT(CHAR(39)&amp;$A3234&amp;CHAR(39)&amp;"!r2c"&amp;$C3234,0),variables,2,0)</f>
        <v>9890</v>
      </c>
      <c r="H3234" s="71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67" t="s">
        <v>1429</v>
      </c>
      <c r="B3235" s="66">
        <f t="shared" si="6595"/>
        <v>5</v>
      </c>
      <c r="C3235" s="66">
        <f t="shared" si="6598"/>
        <v>60</v>
      </c>
      <c r="E3235" s="66">
        <f t="shared" ref="E3235" si="6631">plan_id</f>
        <v>1952</v>
      </c>
      <c r="F3235" s="66">
        <f t="shared" ca="1" si="6561"/>
        <v>2003</v>
      </c>
      <c r="G3235" s="66">
        <f t="shared" ref="G3235" ca="1" si="6632">VLOOKUP(INDIRECT(CHAR(39)&amp;$A3235&amp;CHAR(39)&amp;"!r2c"&amp;$C3235,0),variables,2,0)</f>
        <v>9893</v>
      </c>
      <c r="H3235" s="71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67" t="s">
        <v>1429</v>
      </c>
      <c r="B3236" s="66">
        <f t="shared" si="6595"/>
        <v>5</v>
      </c>
      <c r="C3236" s="66">
        <f t="shared" si="6598"/>
        <v>61</v>
      </c>
      <c r="E3236" s="66">
        <f t="shared" ref="E3236" si="6633">plan_id</f>
        <v>1952</v>
      </c>
      <c r="F3236" s="66">
        <f t="shared" ca="1" si="6561"/>
        <v>2003</v>
      </c>
      <c r="G3236" s="66">
        <f t="shared" ref="G3236" ca="1" si="6634">VLOOKUP(INDIRECT(CHAR(39)&amp;$A3236&amp;CHAR(39)&amp;"!r2c"&amp;$C3236,0),variables,2,0)</f>
        <v>9896</v>
      </c>
      <c r="H3236" s="71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67" t="s">
        <v>1429</v>
      </c>
      <c r="B3237" s="66">
        <f t="shared" si="6595"/>
        <v>5</v>
      </c>
      <c r="C3237" s="66">
        <f t="shared" si="6598"/>
        <v>62</v>
      </c>
      <c r="E3237" s="66">
        <f t="shared" ref="E3237" si="6635">plan_id</f>
        <v>1952</v>
      </c>
      <c r="F3237" s="66">
        <f t="shared" ca="1" si="6561"/>
        <v>2003</v>
      </c>
      <c r="G3237" s="66">
        <f t="shared" ref="G3237" ca="1" si="6636">VLOOKUP(INDIRECT(CHAR(39)&amp;$A3237&amp;CHAR(39)&amp;"!r2c"&amp;$C3237,0),variables,2,0)</f>
        <v>9660</v>
      </c>
      <c r="H3237" s="71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67" t="s">
        <v>1429</v>
      </c>
      <c r="B3238" s="66">
        <f t="shared" si="6595"/>
        <v>5</v>
      </c>
      <c r="C3238" s="66">
        <f t="shared" si="6598"/>
        <v>63</v>
      </c>
      <c r="E3238" s="66">
        <f t="shared" ref="E3238" si="6637">plan_id</f>
        <v>1952</v>
      </c>
      <c r="F3238" s="66">
        <f t="shared" ca="1" si="6561"/>
        <v>2003</v>
      </c>
      <c r="G3238" s="66">
        <f t="shared" ref="G3238" ca="1" si="6638">VLOOKUP(INDIRECT(CHAR(39)&amp;$A3238&amp;CHAR(39)&amp;"!r2c"&amp;$C3238,0),variables,2,0)</f>
        <v>9701</v>
      </c>
      <c r="H3238" s="71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67" t="s">
        <v>1429</v>
      </c>
      <c r="B3239" s="66">
        <f t="shared" si="6595"/>
        <v>5</v>
      </c>
      <c r="C3239" s="66">
        <f t="shared" si="6598"/>
        <v>64</v>
      </c>
      <c r="E3239" s="66">
        <f t="shared" ref="E3239" si="6639">plan_id</f>
        <v>1952</v>
      </c>
      <c r="F3239" s="66">
        <f t="shared" ca="1" si="6561"/>
        <v>2003</v>
      </c>
      <c r="G3239" s="66">
        <f t="shared" ref="G3239" ca="1" si="6640">VLOOKUP(INDIRECT(CHAR(39)&amp;$A3239&amp;CHAR(39)&amp;"!r2c"&amp;$C3239,0),variables,2,0)</f>
        <v>9728</v>
      </c>
      <c r="H3239" s="71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67" t="s">
        <v>1429</v>
      </c>
      <c r="B3240" s="66">
        <f t="shared" si="6595"/>
        <v>5</v>
      </c>
      <c r="C3240" s="66">
        <f t="shared" si="6598"/>
        <v>65</v>
      </c>
      <c r="E3240" s="66">
        <f t="shared" ref="E3240" si="6641">plan_id</f>
        <v>1952</v>
      </c>
      <c r="F3240" s="66">
        <f t="shared" ca="1" si="6561"/>
        <v>2003</v>
      </c>
      <c r="G3240" s="66">
        <f t="shared" ref="G3240" ca="1" si="6642">VLOOKUP(INDIRECT(CHAR(39)&amp;$A3240&amp;CHAR(39)&amp;"!r2c"&amp;$C3240,0),variables,2,0)</f>
        <v>9731</v>
      </c>
      <c r="H3240" s="71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67" t="s">
        <v>1429</v>
      </c>
      <c r="B3241" s="66">
        <f t="shared" si="6595"/>
        <v>5</v>
      </c>
      <c r="C3241" s="66">
        <f t="shared" si="6598"/>
        <v>66</v>
      </c>
      <c r="E3241" s="66">
        <f t="shared" ref="E3241" si="6643">plan_id</f>
        <v>1952</v>
      </c>
      <c r="F3241" s="66">
        <f t="shared" ca="1" si="6561"/>
        <v>2003</v>
      </c>
      <c r="G3241" s="66">
        <f t="shared" ref="G3241" ca="1" si="6644">VLOOKUP(INDIRECT(CHAR(39)&amp;$A3241&amp;CHAR(39)&amp;"!r2c"&amp;$C3241,0),variables,2,0)</f>
        <v>9737</v>
      </c>
      <c r="H3241" s="71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67" t="s">
        <v>1429</v>
      </c>
      <c r="B3242" s="66">
        <f t="shared" si="6595"/>
        <v>5</v>
      </c>
      <c r="C3242" s="66">
        <f t="shared" si="6598"/>
        <v>67</v>
      </c>
      <c r="E3242" s="66">
        <f t="shared" ref="E3242" si="6645">plan_id</f>
        <v>1952</v>
      </c>
      <c r="F3242" s="66">
        <f t="shared" ca="1" si="6561"/>
        <v>2003</v>
      </c>
      <c r="G3242" s="66">
        <f t="shared" ref="G3242" ca="1" si="6646">VLOOKUP(INDIRECT(CHAR(39)&amp;$A3242&amp;CHAR(39)&amp;"!r2c"&amp;$C3242,0),variables,2,0)</f>
        <v>9740</v>
      </c>
      <c r="H3242" s="71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67" t="s">
        <v>1429</v>
      </c>
      <c r="B3243" s="66">
        <f t="shared" si="6595"/>
        <v>5</v>
      </c>
      <c r="C3243" s="66">
        <f t="shared" si="6598"/>
        <v>68</v>
      </c>
      <c r="E3243" s="66">
        <f t="shared" ref="E3243" si="6647">plan_id</f>
        <v>1952</v>
      </c>
      <c r="F3243" s="66">
        <f t="shared" ca="1" si="6561"/>
        <v>2003</v>
      </c>
      <c r="G3243" s="66">
        <f t="shared" ref="G3243" ca="1" si="6648">VLOOKUP(INDIRECT(CHAR(39)&amp;$A3243&amp;CHAR(39)&amp;"!r2c"&amp;$C3243,0),variables,2,0)</f>
        <v>9752</v>
      </c>
      <c r="H3243" s="71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67" t="s">
        <v>1429</v>
      </c>
      <c r="B3244" s="66">
        <f t="shared" si="6595"/>
        <v>5</v>
      </c>
      <c r="C3244" s="66">
        <f t="shared" si="6598"/>
        <v>69</v>
      </c>
      <c r="E3244" s="66">
        <f t="shared" ref="E3244" si="6649">plan_id</f>
        <v>1952</v>
      </c>
      <c r="F3244" s="66">
        <f t="shared" ca="1" si="6561"/>
        <v>2003</v>
      </c>
      <c r="G3244" s="66">
        <f t="shared" ref="G3244" ca="1" si="6650">VLOOKUP(INDIRECT(CHAR(39)&amp;$A3244&amp;CHAR(39)&amp;"!r2c"&amp;$C3244,0),variables,2,0)</f>
        <v>9791</v>
      </c>
      <c r="H3244" s="71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67" t="s">
        <v>1429</v>
      </c>
      <c r="B3245" s="66">
        <f t="shared" si="6595"/>
        <v>5</v>
      </c>
      <c r="C3245" s="66">
        <f t="shared" si="6598"/>
        <v>70</v>
      </c>
      <c r="E3245" s="66">
        <f t="shared" ref="E3245" si="6651">plan_id</f>
        <v>1952</v>
      </c>
      <c r="F3245" s="66">
        <f t="shared" ca="1" si="6561"/>
        <v>2003</v>
      </c>
      <c r="G3245" s="66">
        <f t="shared" ref="G3245" ca="1" si="6652">VLOOKUP(INDIRECT(CHAR(39)&amp;$A3245&amp;CHAR(39)&amp;"!r2c"&amp;$C3245,0),variables,2,0)</f>
        <v>9800</v>
      </c>
      <c r="H3245" s="71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67" t="s">
        <v>1429</v>
      </c>
      <c r="B3246" s="66">
        <f t="shared" si="6595"/>
        <v>5</v>
      </c>
      <c r="C3246" s="66">
        <f t="shared" si="6598"/>
        <v>71</v>
      </c>
      <c r="E3246" s="66">
        <f t="shared" ref="E3246" si="6653">plan_id</f>
        <v>1952</v>
      </c>
      <c r="F3246" s="66">
        <f t="shared" ca="1" si="6561"/>
        <v>2003</v>
      </c>
      <c r="G3246" s="66">
        <f t="shared" ref="G3246" ca="1" si="6654">VLOOKUP(INDIRECT(CHAR(39)&amp;$A3246&amp;CHAR(39)&amp;"!r2c"&amp;$C3246,0),variables,2,0)</f>
        <v>9842</v>
      </c>
      <c r="H3246" s="71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67" t="s">
        <v>1429</v>
      </c>
      <c r="B3247" s="66">
        <f t="shared" si="6595"/>
        <v>5</v>
      </c>
      <c r="C3247" s="66">
        <f t="shared" si="6598"/>
        <v>72</v>
      </c>
      <c r="E3247" s="66">
        <f t="shared" ref="E3247" si="6655">plan_id</f>
        <v>1952</v>
      </c>
      <c r="F3247" s="66">
        <f t="shared" ca="1" si="6561"/>
        <v>2003</v>
      </c>
      <c r="G3247" s="66">
        <f t="shared" ref="G3247" ca="1" si="6656">VLOOKUP(INDIRECT(CHAR(39)&amp;$A3247&amp;CHAR(39)&amp;"!r2c"&amp;$C3247,0),variables,2,0)</f>
        <v>9854</v>
      </c>
      <c r="H3247" s="71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67" t="s">
        <v>1429</v>
      </c>
      <c r="B3248" s="66">
        <f t="shared" si="6595"/>
        <v>5</v>
      </c>
      <c r="C3248" s="66">
        <f t="shared" si="6598"/>
        <v>73</v>
      </c>
      <c r="E3248" s="66">
        <f t="shared" ref="E3248" si="6657">plan_id</f>
        <v>1952</v>
      </c>
      <c r="F3248" s="66">
        <f t="shared" ca="1" si="6561"/>
        <v>2003</v>
      </c>
      <c r="G3248" s="66">
        <f t="shared" ref="G3248" ca="1" si="6658">VLOOKUP(INDIRECT(CHAR(39)&amp;$A3248&amp;CHAR(39)&amp;"!r2c"&amp;$C3248,0),variables,2,0)</f>
        <v>9869</v>
      </c>
      <c r="H3248" s="71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67" t="s">
        <v>1429</v>
      </c>
      <c r="B3249" s="66">
        <f t="shared" si="6595"/>
        <v>5</v>
      </c>
      <c r="C3249" s="66">
        <f t="shared" si="6598"/>
        <v>74</v>
      </c>
      <c r="E3249" s="66">
        <f t="shared" ref="E3249" si="6659">plan_id</f>
        <v>1952</v>
      </c>
      <c r="F3249" s="66">
        <f t="shared" ca="1" si="6561"/>
        <v>2003</v>
      </c>
      <c r="G3249" s="66">
        <f t="shared" ref="G3249" ca="1" si="6660">VLOOKUP(INDIRECT(CHAR(39)&amp;$A3249&amp;CHAR(39)&amp;"!r2c"&amp;$C3249,0),variables,2,0)</f>
        <v>9873</v>
      </c>
      <c r="H3249" s="71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67" t="s">
        <v>1429</v>
      </c>
      <c r="B3250" s="66">
        <f t="shared" si="6595"/>
        <v>5</v>
      </c>
      <c r="C3250" s="66">
        <f t="shared" si="6598"/>
        <v>75</v>
      </c>
      <c r="E3250" s="66">
        <f t="shared" ref="E3250" si="6661">plan_id</f>
        <v>1952</v>
      </c>
      <c r="F3250" s="66">
        <f t="shared" ca="1" si="6561"/>
        <v>2003</v>
      </c>
      <c r="G3250" s="66">
        <f t="shared" ref="G3250" ca="1" si="6662">VLOOKUP(INDIRECT(CHAR(39)&amp;$A3250&amp;CHAR(39)&amp;"!r2c"&amp;$C3250,0),variables,2,0)</f>
        <v>9881</v>
      </c>
      <c r="H3250" s="71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67" t="s">
        <v>1429</v>
      </c>
      <c r="B3251" s="66">
        <f t="shared" si="6595"/>
        <v>5</v>
      </c>
      <c r="C3251" s="66">
        <f t="shared" si="6598"/>
        <v>76</v>
      </c>
      <c r="E3251" s="66">
        <f t="shared" ref="E3251" si="6663">plan_id</f>
        <v>1952</v>
      </c>
      <c r="F3251" s="66">
        <f t="shared" ca="1" si="6561"/>
        <v>2003</v>
      </c>
      <c r="G3251" s="66">
        <f t="shared" ref="G3251" ca="1" si="6664">VLOOKUP(INDIRECT(CHAR(39)&amp;$A3251&amp;CHAR(39)&amp;"!r2c"&amp;$C3251,0),variables,2,0)</f>
        <v>9908</v>
      </c>
      <c r="H3251" s="71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67" t="s">
        <v>1429</v>
      </c>
      <c r="B3252" s="66">
        <f t="shared" si="6595"/>
        <v>5</v>
      </c>
      <c r="C3252" s="66">
        <f t="shared" si="6598"/>
        <v>77</v>
      </c>
      <c r="E3252" s="66">
        <f t="shared" ref="E3252" si="6665">plan_id</f>
        <v>1952</v>
      </c>
      <c r="F3252" s="66">
        <f t="shared" ca="1" si="6561"/>
        <v>2003</v>
      </c>
      <c r="G3252" s="66">
        <f t="shared" ref="G3252" ca="1" si="6666">VLOOKUP(INDIRECT(CHAR(39)&amp;$A3252&amp;CHAR(39)&amp;"!r2c"&amp;$C3252,0),variables,2,0)</f>
        <v>9911</v>
      </c>
      <c r="H3252" s="71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67" t="s">
        <v>1429</v>
      </c>
      <c r="B3253" s="66">
        <f t="shared" si="6595"/>
        <v>5</v>
      </c>
      <c r="C3253" s="66">
        <f t="shared" si="6598"/>
        <v>78</v>
      </c>
      <c r="E3253" s="66">
        <f t="shared" ref="E3253" si="6667">plan_id</f>
        <v>1952</v>
      </c>
      <c r="F3253" s="66">
        <f t="shared" ca="1" si="6561"/>
        <v>2003</v>
      </c>
      <c r="G3253" s="66">
        <f t="shared" ref="G3253" ca="1" si="6668">VLOOKUP(INDIRECT(CHAR(39)&amp;$A3253&amp;CHAR(39)&amp;"!r2c"&amp;$C3253,0),variables,2,0)</f>
        <v>9663</v>
      </c>
      <c r="H3253" s="71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67" t="s">
        <v>1429</v>
      </c>
      <c r="B3254" s="66">
        <f t="shared" si="6595"/>
        <v>5</v>
      </c>
      <c r="C3254" s="66">
        <f t="shared" si="6598"/>
        <v>79</v>
      </c>
      <c r="E3254" s="66">
        <f t="shared" ref="E3254" si="6669">plan_id</f>
        <v>1952</v>
      </c>
      <c r="F3254" s="66">
        <f t="shared" ca="1" si="6561"/>
        <v>2003</v>
      </c>
      <c r="G3254" s="66">
        <f t="shared" ref="G3254" ca="1" si="6670">VLOOKUP(INDIRECT(CHAR(39)&amp;$A3254&amp;CHAR(39)&amp;"!r2c"&amp;$C3254,0),variables,2,0)</f>
        <v>9710</v>
      </c>
      <c r="H3254" s="71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67" t="s">
        <v>1429</v>
      </c>
      <c r="B3255" s="66">
        <f t="shared" si="6595"/>
        <v>5</v>
      </c>
      <c r="C3255" s="66">
        <f t="shared" si="6598"/>
        <v>80</v>
      </c>
      <c r="E3255" s="66">
        <f t="shared" ref="E3255" si="6671">plan_id</f>
        <v>1952</v>
      </c>
      <c r="F3255" s="66">
        <f t="shared" ca="1" si="6561"/>
        <v>2003</v>
      </c>
      <c r="G3255" s="66">
        <f t="shared" ref="G3255" ca="1" si="6672">VLOOKUP(INDIRECT(CHAR(39)&amp;$A3255&amp;CHAR(39)&amp;"!r2c"&amp;$C3255,0),variables,2,0)</f>
        <v>9758</v>
      </c>
      <c r="H3255" s="71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67" t="s">
        <v>1429</v>
      </c>
      <c r="B3256" s="66">
        <f t="shared" si="6595"/>
        <v>5</v>
      </c>
      <c r="C3256" s="66">
        <f t="shared" si="6598"/>
        <v>81</v>
      </c>
      <c r="E3256" s="66">
        <f t="shared" ref="E3256" si="6673">plan_id</f>
        <v>1952</v>
      </c>
      <c r="F3256" s="66">
        <f t="shared" ca="1" si="6561"/>
        <v>2003</v>
      </c>
      <c r="G3256" s="66">
        <f t="shared" ref="G3256" ca="1" si="6674">VLOOKUP(INDIRECT(CHAR(39)&amp;$A3256&amp;CHAR(39)&amp;"!r2c"&amp;$C3256,0),variables,2,0)</f>
        <v>9803</v>
      </c>
      <c r="H3256" s="71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67" t="s">
        <v>1429</v>
      </c>
      <c r="B3257" s="66">
        <f t="shared" si="6595"/>
        <v>5</v>
      </c>
      <c r="C3257" s="66">
        <f t="shared" si="6598"/>
        <v>82</v>
      </c>
      <c r="E3257" s="66">
        <f t="shared" ref="E3257" si="6675">plan_id</f>
        <v>1952</v>
      </c>
      <c r="F3257" s="66">
        <f t="shared" ca="1" si="6561"/>
        <v>2003</v>
      </c>
      <c r="G3257" s="66">
        <f t="shared" ref="G3257" ca="1" si="6676">VLOOKUP(INDIRECT(CHAR(39)&amp;$A3257&amp;CHAR(39)&amp;"!r2c"&amp;$C3257,0),variables,2,0)</f>
        <v>9857</v>
      </c>
      <c r="H3257" s="71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67" t="s">
        <v>1429</v>
      </c>
      <c r="B3258" s="66">
        <f t="shared" si="6595"/>
        <v>5</v>
      </c>
      <c r="C3258" s="66">
        <f t="shared" si="6598"/>
        <v>83</v>
      </c>
      <c r="E3258" s="66">
        <f t="shared" ref="E3258" si="6677">plan_id</f>
        <v>1952</v>
      </c>
      <c r="F3258" s="66">
        <f t="shared" ca="1" si="6561"/>
        <v>2003</v>
      </c>
      <c r="G3258" s="66">
        <f t="shared" ref="G3258" ca="1" si="6678">VLOOKUP(INDIRECT(CHAR(39)&amp;$A3258&amp;CHAR(39)&amp;"!r2c"&amp;$C3258,0),variables,2,0)</f>
        <v>9902</v>
      </c>
      <c r="H3258" s="71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67" t="s">
        <v>1429</v>
      </c>
      <c r="B3259" s="66">
        <f t="shared" si="6595"/>
        <v>5</v>
      </c>
      <c r="C3259" s="66">
        <f t="shared" si="6598"/>
        <v>84</v>
      </c>
      <c r="E3259" s="66">
        <f t="shared" ref="E3259" si="6679">plan_id</f>
        <v>1952</v>
      </c>
      <c r="F3259" s="66">
        <f t="shared" ca="1" si="6561"/>
        <v>2003</v>
      </c>
      <c r="G3259" s="66">
        <f t="shared" ref="G3259" ca="1" si="6680">VLOOKUP(INDIRECT(CHAR(39)&amp;$A3259&amp;CHAR(39)&amp;"!r2c"&amp;$C3259,0),variables,2,0)</f>
        <v>9926</v>
      </c>
      <c r="H3259" s="71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67" t="s">
        <v>1429</v>
      </c>
      <c r="B3260" s="66">
        <f t="shared" si="6595"/>
        <v>5</v>
      </c>
      <c r="C3260" s="66">
        <f t="shared" si="6598"/>
        <v>85</v>
      </c>
      <c r="E3260" s="66">
        <f t="shared" ref="E3260" si="6681">plan_id</f>
        <v>1952</v>
      </c>
      <c r="F3260" s="66">
        <f t="shared" ca="1" si="6561"/>
        <v>2003</v>
      </c>
      <c r="G3260" s="66">
        <f t="shared" ref="G3260" ca="1" si="6682">VLOOKUP(INDIRECT(CHAR(39)&amp;$A3260&amp;CHAR(39)&amp;"!r2c"&amp;$C3260,0),variables,2,0)</f>
        <v>9666</v>
      </c>
      <c r="H3260" s="71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67" t="s">
        <v>1429</v>
      </c>
      <c r="B3261" s="66">
        <f t="shared" si="6595"/>
        <v>5</v>
      </c>
      <c r="C3261" s="66">
        <f t="shared" si="6598"/>
        <v>86</v>
      </c>
      <c r="E3261" s="66">
        <f t="shared" ref="E3261" si="6683">plan_id</f>
        <v>1952</v>
      </c>
      <c r="F3261" s="66">
        <f t="shared" ca="1" si="6561"/>
        <v>2003</v>
      </c>
      <c r="G3261" s="66">
        <f t="shared" ref="G3261" ca="1" si="6684">VLOOKUP(INDIRECT(CHAR(39)&amp;$A3261&amp;CHAR(39)&amp;"!r2c"&amp;$C3261,0),variables,2,0)</f>
        <v>9827</v>
      </c>
      <c r="H3261" s="71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67" t="s">
        <v>1429</v>
      </c>
      <c r="B3262" s="66">
        <f t="shared" si="6595"/>
        <v>5</v>
      </c>
      <c r="C3262" s="66">
        <f t="shared" si="6598"/>
        <v>87</v>
      </c>
      <c r="E3262" s="66">
        <f t="shared" ref="E3262" si="6685">plan_id</f>
        <v>1952</v>
      </c>
      <c r="F3262" s="66">
        <f t="shared" ca="1" si="6561"/>
        <v>2003</v>
      </c>
      <c r="G3262" s="66">
        <f t="shared" ref="G3262" ca="1" si="6686">VLOOKUP(INDIRECT(CHAR(39)&amp;$A3262&amp;CHAR(39)&amp;"!r2c"&amp;$C3262,0),variables,2,0)</f>
        <v>9657</v>
      </c>
      <c r="H3262" s="71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67" t="s">
        <v>1429</v>
      </c>
      <c r="B3263" s="66">
        <f t="shared" si="6595"/>
        <v>5</v>
      </c>
      <c r="C3263" s="66">
        <f t="shared" si="6598"/>
        <v>88</v>
      </c>
      <c r="E3263" s="66">
        <f t="shared" ref="E3263" si="6687">plan_id</f>
        <v>1952</v>
      </c>
      <c r="F3263" s="66">
        <f t="shared" ca="1" si="6561"/>
        <v>2003</v>
      </c>
      <c r="G3263" s="66">
        <f t="shared" ref="G3263" ca="1" si="6688">VLOOKUP(INDIRECT(CHAR(39)&amp;$A3263&amp;CHAR(39)&amp;"!r2c"&amp;$C3263,0),variables,2,0)</f>
        <v>9834</v>
      </c>
      <c r="H3263" s="71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67" t="s">
        <v>1429</v>
      </c>
      <c r="B3264" s="66">
        <f t="shared" si="6595"/>
        <v>5</v>
      </c>
      <c r="C3264" s="66">
        <f t="shared" si="6598"/>
        <v>89</v>
      </c>
      <c r="E3264" s="66">
        <f t="shared" ref="E3264" si="6689">plan_id</f>
        <v>1952</v>
      </c>
      <c r="F3264" s="66">
        <f t="shared" ca="1" si="6561"/>
        <v>2003</v>
      </c>
      <c r="G3264" s="66">
        <f t="shared" ref="G3264" ca="1" si="6690">VLOOKUP(INDIRECT(CHAR(39)&amp;$A3264&amp;CHAR(39)&amp;"!r2c"&amp;$C3264,0),variables,2,0)</f>
        <v>9884</v>
      </c>
      <c r="H3264" s="71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67" t="s">
        <v>1429</v>
      </c>
      <c r="B3265" s="66">
        <f t="shared" si="6595"/>
        <v>5</v>
      </c>
      <c r="C3265" s="66">
        <f t="shared" si="6598"/>
        <v>90</v>
      </c>
      <c r="E3265" s="66">
        <f t="shared" ref="E3265" si="6691">plan_id</f>
        <v>1952</v>
      </c>
      <c r="F3265" s="66">
        <f t="shared" ref="F3265:F3328" ca="1" si="6692">INDIRECT(CHAR(39)&amp;$A3265&amp;CHAR(39)&amp;"!r"&amp;$B3265&amp;"c2",0)</f>
        <v>2003</v>
      </c>
      <c r="G3265" s="66">
        <f t="shared" ref="G3265" ca="1" si="6693">VLOOKUP(INDIRECT(CHAR(39)&amp;$A3265&amp;CHAR(39)&amp;"!r2c"&amp;$C3265,0),variables,2,0)</f>
        <v>9672</v>
      </c>
      <c r="H3265" s="71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67" t="s">
        <v>1429</v>
      </c>
      <c r="B3266" s="66">
        <f t="shared" si="6595"/>
        <v>6</v>
      </c>
      <c r="C3266" s="66">
        <f t="shared" si="6598"/>
        <v>3</v>
      </c>
      <c r="E3266" s="66">
        <f t="shared" ref="E3266" si="6694">plan_id</f>
        <v>1952</v>
      </c>
      <c r="F3266" s="66">
        <f t="shared" ca="1" si="6692"/>
        <v>2004</v>
      </c>
      <c r="G3266" s="66">
        <f t="shared" ref="G3266" ca="1" si="6695">VLOOKUP(INDIRECT(CHAR(39)&amp;$A3266&amp;CHAR(39)&amp;"!r2c"&amp;$C3266,0),variables,2,0)</f>
        <v>9704</v>
      </c>
      <c r="H3266" s="71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67" t="s">
        <v>1429</v>
      </c>
      <c r="B3267" s="66">
        <f t="shared" si="6595"/>
        <v>6</v>
      </c>
      <c r="C3267" s="66">
        <f t="shared" si="6598"/>
        <v>4</v>
      </c>
      <c r="E3267" s="66">
        <f t="shared" ref="E3267" si="6696">plan_id</f>
        <v>1952</v>
      </c>
      <c r="F3267" s="66">
        <f t="shared" ca="1" si="6692"/>
        <v>2004</v>
      </c>
      <c r="G3267" s="66">
        <f t="shared" ref="G3267" ca="1" si="6697">VLOOKUP(INDIRECT(CHAR(39)&amp;$A3267&amp;CHAR(39)&amp;"!r2c"&amp;$C3267,0),variables,2,0)</f>
        <v>9716</v>
      </c>
      <c r="H3267" s="71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67" t="s">
        <v>1429</v>
      </c>
      <c r="B3268" s="66">
        <f t="shared" si="6595"/>
        <v>6</v>
      </c>
      <c r="C3268" s="66">
        <f t="shared" si="6598"/>
        <v>5</v>
      </c>
      <c r="E3268" s="66">
        <f t="shared" ref="E3268" si="6698">plan_id</f>
        <v>1952</v>
      </c>
      <c r="F3268" s="66">
        <f t="shared" ca="1" si="6692"/>
        <v>2004</v>
      </c>
      <c r="G3268" s="66">
        <f t="shared" ref="G3268" ca="1" si="6699">VLOOKUP(INDIRECT(CHAR(39)&amp;$A3268&amp;CHAR(39)&amp;"!r2c"&amp;$C3268,0),variables,2,0)</f>
        <v>9734</v>
      </c>
      <c r="H3268" s="71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67" t="s">
        <v>1429</v>
      </c>
      <c r="B3269" s="66">
        <f t="shared" si="6595"/>
        <v>6</v>
      </c>
      <c r="C3269" s="66">
        <f t="shared" si="6598"/>
        <v>6</v>
      </c>
      <c r="E3269" s="66">
        <f t="shared" ref="E3269" si="6700">plan_id</f>
        <v>1952</v>
      </c>
      <c r="F3269" s="66">
        <f t="shared" ca="1" si="6692"/>
        <v>2004</v>
      </c>
      <c r="G3269" s="66">
        <f t="shared" ref="G3269" ca="1" si="6701">VLOOKUP(INDIRECT(CHAR(39)&amp;$A3269&amp;CHAR(39)&amp;"!r2c"&amp;$C3269,0),variables,2,0)</f>
        <v>9749</v>
      </c>
      <c r="H3269" s="71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67" t="s">
        <v>1429</v>
      </c>
      <c r="B3270" s="66">
        <f t="shared" si="6595"/>
        <v>6</v>
      </c>
      <c r="C3270" s="66">
        <f t="shared" si="6598"/>
        <v>7</v>
      </c>
      <c r="E3270" s="66">
        <f t="shared" ref="E3270" si="6702">plan_id</f>
        <v>1952</v>
      </c>
      <c r="F3270" s="66">
        <f t="shared" ca="1" si="6692"/>
        <v>2004</v>
      </c>
      <c r="G3270" s="66">
        <f t="shared" ref="G3270" ca="1" si="6703">VLOOKUP(INDIRECT(CHAR(39)&amp;$A3270&amp;CHAR(39)&amp;"!r2c"&amp;$C3270,0),variables,2,0)</f>
        <v>9755</v>
      </c>
      <c r="H3270" s="71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67" t="s">
        <v>1429</v>
      </c>
      <c r="B3271" s="66">
        <f t="shared" si="6595"/>
        <v>6</v>
      </c>
      <c r="C3271" s="66">
        <f t="shared" si="6598"/>
        <v>8</v>
      </c>
      <c r="E3271" s="66">
        <f t="shared" ref="E3271" si="6704">plan_id</f>
        <v>1952</v>
      </c>
      <c r="F3271" s="66">
        <f t="shared" ca="1" si="6692"/>
        <v>2004</v>
      </c>
      <c r="G3271" s="66">
        <f t="shared" ref="G3271" ca="1" si="6705">VLOOKUP(INDIRECT(CHAR(39)&amp;$A3271&amp;CHAR(39)&amp;"!r2c"&amp;$C3271,0),variables,2,0)</f>
        <v>9782</v>
      </c>
      <c r="H3271" s="71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67" t="s">
        <v>1429</v>
      </c>
      <c r="B3272" s="66">
        <f t="shared" si="6595"/>
        <v>6</v>
      </c>
      <c r="C3272" s="66">
        <f t="shared" si="6598"/>
        <v>9</v>
      </c>
      <c r="E3272" s="66">
        <f t="shared" ref="E3272" si="6706">plan_id</f>
        <v>1952</v>
      </c>
      <c r="F3272" s="66">
        <f t="shared" ca="1" si="6692"/>
        <v>2004</v>
      </c>
      <c r="G3272" s="66">
        <f t="shared" ref="G3272" ca="1" si="6707">VLOOKUP(INDIRECT(CHAR(39)&amp;$A3272&amp;CHAR(39)&amp;"!r2c"&amp;$C3272,0),variables,2,0)</f>
        <v>9788</v>
      </c>
      <c r="H3272" s="71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67" t="s">
        <v>1429</v>
      </c>
      <c r="B3273" s="66">
        <f t="shared" si="6595"/>
        <v>6</v>
      </c>
      <c r="C3273" s="66">
        <f t="shared" si="6598"/>
        <v>10</v>
      </c>
      <c r="E3273" s="66">
        <f t="shared" ref="E3273" si="6708">plan_id</f>
        <v>1952</v>
      </c>
      <c r="F3273" s="66">
        <f t="shared" ca="1" si="6692"/>
        <v>2004</v>
      </c>
      <c r="G3273" s="66">
        <f t="shared" ref="G3273" ca="1" si="6709">VLOOKUP(INDIRECT(CHAR(39)&amp;$A3273&amp;CHAR(39)&amp;"!r2c"&amp;$C3273,0),variables,2,0)</f>
        <v>9812</v>
      </c>
      <c r="H3273" s="71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67" t="s">
        <v>1429</v>
      </c>
      <c r="B3274" s="66">
        <f t="shared" si="6595"/>
        <v>6</v>
      </c>
      <c r="C3274" s="66">
        <f t="shared" si="6598"/>
        <v>11</v>
      </c>
      <c r="E3274" s="66">
        <f t="shared" ref="E3274" si="6710">plan_id</f>
        <v>1952</v>
      </c>
      <c r="F3274" s="66">
        <f t="shared" ca="1" si="6692"/>
        <v>2004</v>
      </c>
      <c r="G3274" s="66">
        <f t="shared" ref="G3274" ca="1" si="6711">VLOOKUP(INDIRECT(CHAR(39)&amp;$A3274&amp;CHAR(39)&amp;"!r2c"&amp;$C3274,0),variables,2,0)</f>
        <v>9815</v>
      </c>
      <c r="H3274" s="71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67" t="s">
        <v>1429</v>
      </c>
      <c r="B3275" s="66">
        <f t="shared" si="6595"/>
        <v>6</v>
      </c>
      <c r="C3275" s="66">
        <f t="shared" si="6598"/>
        <v>12</v>
      </c>
      <c r="E3275" s="66">
        <f t="shared" ref="E3275" si="6712">plan_id</f>
        <v>1952</v>
      </c>
      <c r="F3275" s="66">
        <f t="shared" ca="1" si="6692"/>
        <v>2004</v>
      </c>
      <c r="G3275" s="66">
        <f t="shared" ref="G3275" ca="1" si="6713">VLOOKUP(INDIRECT(CHAR(39)&amp;$A3275&amp;CHAR(39)&amp;"!r2c"&amp;$C3275,0),variables,2,0)</f>
        <v>9821</v>
      </c>
      <c r="H3275" s="71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67" t="s">
        <v>1429</v>
      </c>
      <c r="B3276" s="66">
        <f t="shared" si="6595"/>
        <v>6</v>
      </c>
      <c r="C3276" s="66">
        <f t="shared" si="6598"/>
        <v>13</v>
      </c>
      <c r="E3276" s="66">
        <f t="shared" ref="E3276" si="6714">plan_id</f>
        <v>1952</v>
      </c>
      <c r="F3276" s="66">
        <f t="shared" ca="1" si="6692"/>
        <v>2004</v>
      </c>
      <c r="G3276" s="66">
        <f t="shared" ref="G3276" ca="1" si="6715">VLOOKUP(INDIRECT(CHAR(39)&amp;$A3276&amp;CHAR(39)&amp;"!r2c"&amp;$C3276,0),variables,2,0)</f>
        <v>9824</v>
      </c>
      <c r="H3276" s="71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67" t="s">
        <v>1429</v>
      </c>
      <c r="B3277" s="66">
        <f t="shared" si="6595"/>
        <v>6</v>
      </c>
      <c r="C3277" s="66">
        <f t="shared" si="6598"/>
        <v>14</v>
      </c>
      <c r="E3277" s="66">
        <f t="shared" ref="E3277" si="6716">plan_id</f>
        <v>1952</v>
      </c>
      <c r="F3277" s="66">
        <f t="shared" ca="1" si="6692"/>
        <v>2004</v>
      </c>
      <c r="G3277" s="66">
        <f t="shared" ref="G3277" ca="1" si="6717">VLOOKUP(INDIRECT(CHAR(39)&amp;$A3277&amp;CHAR(39)&amp;"!r2c"&amp;$C3277,0),variables,2,0)</f>
        <v>9830</v>
      </c>
      <c r="H3277" s="71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67" t="s">
        <v>1429</v>
      </c>
      <c r="B3278" s="66">
        <f t="shared" si="6595"/>
        <v>6</v>
      </c>
      <c r="C3278" s="66">
        <f t="shared" si="6598"/>
        <v>15</v>
      </c>
      <c r="E3278" s="66">
        <f t="shared" ref="E3278" si="6718">plan_id</f>
        <v>1952</v>
      </c>
      <c r="F3278" s="66">
        <f t="shared" ca="1" si="6692"/>
        <v>2004</v>
      </c>
      <c r="G3278" s="66">
        <f t="shared" ref="G3278" ca="1" si="6719">VLOOKUP(INDIRECT(CHAR(39)&amp;$A3278&amp;CHAR(39)&amp;"!r2c"&amp;$C3278,0),variables,2,0)</f>
        <v>9833</v>
      </c>
      <c r="H3278" s="71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67" t="s">
        <v>1429</v>
      </c>
      <c r="B3279" s="66">
        <f t="shared" si="6595"/>
        <v>6</v>
      </c>
      <c r="C3279" s="66">
        <f t="shared" si="6598"/>
        <v>16</v>
      </c>
      <c r="E3279" s="66">
        <f t="shared" ref="E3279" si="6720">plan_id</f>
        <v>1952</v>
      </c>
      <c r="F3279" s="66">
        <f t="shared" ca="1" si="6692"/>
        <v>2004</v>
      </c>
      <c r="G3279" s="66">
        <f t="shared" ref="G3279" ca="1" si="6721">VLOOKUP(INDIRECT(CHAR(39)&amp;$A3279&amp;CHAR(39)&amp;"!r2c"&amp;$C3279,0),variables,2,0)</f>
        <v>9845</v>
      </c>
      <c r="H3279" s="71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67" t="s">
        <v>1429</v>
      </c>
      <c r="B3280" s="66">
        <f t="shared" si="6595"/>
        <v>6</v>
      </c>
      <c r="C3280" s="66">
        <f t="shared" si="6598"/>
        <v>17</v>
      </c>
      <c r="E3280" s="66">
        <f t="shared" ref="E3280" si="6722">plan_id</f>
        <v>1952</v>
      </c>
      <c r="F3280" s="66">
        <f t="shared" ca="1" si="6692"/>
        <v>2004</v>
      </c>
      <c r="G3280" s="66">
        <f t="shared" ref="G3280" ca="1" si="6723">VLOOKUP(INDIRECT(CHAR(39)&amp;$A3280&amp;CHAR(39)&amp;"!r2c"&amp;$C3280,0),variables,2,0)</f>
        <v>9872</v>
      </c>
      <c r="H3280" s="71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67" t="s">
        <v>1429</v>
      </c>
      <c r="B3281" s="66">
        <f t="shared" si="6595"/>
        <v>6</v>
      </c>
      <c r="C3281" s="66">
        <f t="shared" si="6598"/>
        <v>18</v>
      </c>
      <c r="E3281" s="66">
        <f t="shared" ref="E3281" si="6724">plan_id</f>
        <v>1952</v>
      </c>
      <c r="F3281" s="66">
        <f t="shared" ca="1" si="6692"/>
        <v>2004</v>
      </c>
      <c r="G3281" s="66">
        <f t="shared" ref="G3281" ca="1" si="6725">VLOOKUP(INDIRECT(CHAR(39)&amp;$A3281&amp;CHAR(39)&amp;"!r2c"&amp;$C3281,0),variables,2,0)</f>
        <v>9887</v>
      </c>
      <c r="H3281" s="71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67" t="s">
        <v>1429</v>
      </c>
      <c r="B3282" s="66">
        <f t="shared" ref="B3282:B3345" si="6726">B3194+1</f>
        <v>6</v>
      </c>
      <c r="C3282" s="66">
        <f t="shared" si="6598"/>
        <v>19</v>
      </c>
      <c r="E3282" s="66">
        <f t="shared" ref="E3282" si="6727">plan_id</f>
        <v>1952</v>
      </c>
      <c r="F3282" s="66">
        <f t="shared" ca="1" si="6692"/>
        <v>2004</v>
      </c>
      <c r="G3282" s="66">
        <f t="shared" ref="G3282" ca="1" si="6728">VLOOKUP(INDIRECT(CHAR(39)&amp;$A3282&amp;CHAR(39)&amp;"!r2c"&amp;$C3282,0),variables,2,0)</f>
        <v>9914</v>
      </c>
      <c r="H3282" s="71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67" t="s">
        <v>1429</v>
      </c>
      <c r="B3283" s="66">
        <f t="shared" si="6726"/>
        <v>6</v>
      </c>
      <c r="C3283" s="66">
        <f t="shared" ref="C3283:C3346" si="6729">C3195</f>
        <v>20</v>
      </c>
      <c r="E3283" s="66">
        <f t="shared" ref="E3283" si="6730">plan_id</f>
        <v>1952</v>
      </c>
      <c r="F3283" s="66">
        <f t="shared" ca="1" si="6692"/>
        <v>2004</v>
      </c>
      <c r="G3283" s="66">
        <f t="shared" ref="G3283" ca="1" si="6731">VLOOKUP(INDIRECT(CHAR(39)&amp;$A3283&amp;CHAR(39)&amp;"!r2c"&amp;$C3283,0),variables,2,0)</f>
        <v>9917</v>
      </c>
      <c r="H3283" s="71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67" t="s">
        <v>1429</v>
      </c>
      <c r="B3284" s="66">
        <f t="shared" si="6726"/>
        <v>6</v>
      </c>
      <c r="C3284" s="66">
        <f t="shared" si="6729"/>
        <v>21</v>
      </c>
      <c r="E3284" s="66">
        <f t="shared" ref="E3284" si="6732">plan_id</f>
        <v>1952</v>
      </c>
      <c r="F3284" s="66">
        <f t="shared" ca="1" si="6692"/>
        <v>2004</v>
      </c>
      <c r="G3284" s="66">
        <f t="shared" ref="G3284" ca="1" si="6733">VLOOKUP(INDIRECT(CHAR(39)&amp;$A3284&amp;CHAR(39)&amp;"!r2c"&amp;$C3284,0),variables,2,0)</f>
        <v>9920</v>
      </c>
      <c r="H3284" s="71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67" t="s">
        <v>1429</v>
      </c>
      <c r="B3285" s="66">
        <f t="shared" si="6726"/>
        <v>6</v>
      </c>
      <c r="C3285" s="66">
        <f t="shared" si="6729"/>
        <v>22</v>
      </c>
      <c r="E3285" s="66">
        <f t="shared" ref="E3285" si="6734">plan_id</f>
        <v>1952</v>
      </c>
      <c r="F3285" s="66">
        <f t="shared" ca="1" si="6692"/>
        <v>2004</v>
      </c>
      <c r="G3285" s="66">
        <f t="shared" ref="G3285" ca="1" si="6735">VLOOKUP(INDIRECT(CHAR(39)&amp;$A3285&amp;CHAR(39)&amp;"!r2c"&amp;$C3285,0),variables,2,0)</f>
        <v>9648</v>
      </c>
      <c r="H3285" s="71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67" t="s">
        <v>1429</v>
      </c>
      <c r="B3286" s="66">
        <f t="shared" si="6726"/>
        <v>6</v>
      </c>
      <c r="C3286" s="66">
        <f t="shared" si="6729"/>
        <v>23</v>
      </c>
      <c r="E3286" s="66">
        <f t="shared" ref="E3286" si="6736">plan_id</f>
        <v>1952</v>
      </c>
      <c r="F3286" s="66">
        <f t="shared" ca="1" si="6692"/>
        <v>2004</v>
      </c>
      <c r="G3286" s="66">
        <f t="shared" ref="G3286" ca="1" si="6737">VLOOKUP(INDIRECT(CHAR(39)&amp;$A3286&amp;CHAR(39)&amp;"!r2c"&amp;$C3286,0),variables,2,0)</f>
        <v>9713</v>
      </c>
      <c r="H3286" s="71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67" t="s">
        <v>1429</v>
      </c>
      <c r="B3287" s="66">
        <f t="shared" si="6726"/>
        <v>6</v>
      </c>
      <c r="C3287" s="66">
        <f t="shared" si="6729"/>
        <v>24</v>
      </c>
      <c r="E3287" s="66">
        <f t="shared" ref="E3287" si="6738">plan_id</f>
        <v>1952</v>
      </c>
      <c r="F3287" s="66">
        <f t="shared" ca="1" si="6692"/>
        <v>2004</v>
      </c>
      <c r="G3287" s="66">
        <f t="shared" ref="G3287" ca="1" si="6739">VLOOKUP(INDIRECT(CHAR(39)&amp;$A3287&amp;CHAR(39)&amp;"!r2c"&amp;$C3287,0),variables,2,0)</f>
        <v>9719</v>
      </c>
      <c r="H3287" s="71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67" t="s">
        <v>1429</v>
      </c>
      <c r="B3288" s="66">
        <f t="shared" si="6726"/>
        <v>6</v>
      </c>
      <c r="C3288" s="66">
        <f t="shared" si="6729"/>
        <v>25</v>
      </c>
      <c r="E3288" s="66">
        <f t="shared" ref="E3288" si="6740">plan_id</f>
        <v>1952</v>
      </c>
      <c r="F3288" s="66">
        <f t="shared" ca="1" si="6692"/>
        <v>2004</v>
      </c>
      <c r="G3288" s="66">
        <f t="shared" ref="G3288" ca="1" si="6741">VLOOKUP(INDIRECT(CHAR(39)&amp;$A3288&amp;CHAR(39)&amp;"!r2c"&amp;$C3288,0),variables,2,0)</f>
        <v>9725</v>
      </c>
      <c r="H3288" s="71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67" t="s">
        <v>1429</v>
      </c>
      <c r="B3289" s="66">
        <f t="shared" si="6726"/>
        <v>6</v>
      </c>
      <c r="C3289" s="66">
        <f t="shared" si="6729"/>
        <v>26</v>
      </c>
      <c r="E3289" s="66">
        <f t="shared" ref="E3289" si="6742">plan_id</f>
        <v>1952</v>
      </c>
      <c r="F3289" s="66">
        <f t="shared" ca="1" si="6692"/>
        <v>2004</v>
      </c>
      <c r="G3289" s="66">
        <f t="shared" ref="G3289" ca="1" si="6743">VLOOKUP(INDIRECT(CHAR(39)&amp;$A3289&amp;CHAR(39)&amp;"!r2c"&amp;$C3289,0),variables,2,0)</f>
        <v>9743</v>
      </c>
      <c r="H3289" s="71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67" t="s">
        <v>1429</v>
      </c>
      <c r="B3290" s="66">
        <f t="shared" si="6726"/>
        <v>6</v>
      </c>
      <c r="C3290" s="66">
        <f t="shared" si="6729"/>
        <v>27</v>
      </c>
      <c r="E3290" s="66">
        <f t="shared" ref="E3290" si="6744">plan_id</f>
        <v>1952</v>
      </c>
      <c r="F3290" s="66">
        <f t="shared" ca="1" si="6692"/>
        <v>2004</v>
      </c>
      <c r="G3290" s="66">
        <f t="shared" ref="G3290" ca="1" si="6745">VLOOKUP(INDIRECT(CHAR(39)&amp;$A3290&amp;CHAR(39)&amp;"!r2c"&amp;$C3290,0),variables,2,0)</f>
        <v>9746</v>
      </c>
      <c r="H3290" s="71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67" t="s">
        <v>1429</v>
      </c>
      <c r="B3291" s="66">
        <f t="shared" si="6726"/>
        <v>6</v>
      </c>
      <c r="C3291" s="66">
        <f t="shared" si="6729"/>
        <v>28</v>
      </c>
      <c r="E3291" s="66">
        <f t="shared" ref="E3291" si="6746">plan_id</f>
        <v>1952</v>
      </c>
      <c r="F3291" s="66">
        <f t="shared" ca="1" si="6692"/>
        <v>2004</v>
      </c>
      <c r="G3291" s="66">
        <f t="shared" ref="G3291" ca="1" si="6747">VLOOKUP(INDIRECT(CHAR(39)&amp;$A3291&amp;CHAR(39)&amp;"!r2c"&amp;$C3291,0),variables,2,0)</f>
        <v>9761</v>
      </c>
      <c r="H3291" s="71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67" t="s">
        <v>1429</v>
      </c>
      <c r="B3292" s="66">
        <f t="shared" si="6726"/>
        <v>6</v>
      </c>
      <c r="C3292" s="66">
        <f t="shared" si="6729"/>
        <v>29</v>
      </c>
      <c r="E3292" s="66">
        <f t="shared" ref="E3292" si="6748">plan_id</f>
        <v>1952</v>
      </c>
      <c r="F3292" s="66">
        <f t="shared" ca="1" si="6692"/>
        <v>2004</v>
      </c>
      <c r="G3292" s="66">
        <f t="shared" ref="G3292" ca="1" si="6749">VLOOKUP(INDIRECT(CHAR(39)&amp;$A3292&amp;CHAR(39)&amp;"!r2c"&amp;$C3292,0),variables,2,0)</f>
        <v>9764</v>
      </c>
      <c r="H3292" s="71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67" t="s">
        <v>1429</v>
      </c>
      <c r="B3293" s="66">
        <f t="shared" si="6726"/>
        <v>6</v>
      </c>
      <c r="C3293" s="66">
        <f t="shared" si="6729"/>
        <v>30</v>
      </c>
      <c r="E3293" s="66">
        <f t="shared" ref="E3293" si="6750">plan_id</f>
        <v>1952</v>
      </c>
      <c r="F3293" s="66">
        <f t="shared" ca="1" si="6692"/>
        <v>2004</v>
      </c>
      <c r="G3293" s="66">
        <f t="shared" ref="G3293" ca="1" si="6751">VLOOKUP(INDIRECT(CHAR(39)&amp;$A3293&amp;CHAR(39)&amp;"!r2c"&amp;$C3293,0),variables,2,0)</f>
        <v>9767</v>
      </c>
      <c r="H3293" s="71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67" t="s">
        <v>1429</v>
      </c>
      <c r="B3294" s="66">
        <f t="shared" si="6726"/>
        <v>6</v>
      </c>
      <c r="C3294" s="66">
        <f t="shared" si="6729"/>
        <v>31</v>
      </c>
      <c r="E3294" s="66">
        <f t="shared" ref="E3294" si="6752">plan_id</f>
        <v>1952</v>
      </c>
      <c r="F3294" s="66">
        <f t="shared" ca="1" si="6692"/>
        <v>2004</v>
      </c>
      <c r="G3294" s="66">
        <f t="shared" ref="G3294" ca="1" si="6753">VLOOKUP(INDIRECT(CHAR(39)&amp;$A3294&amp;CHAR(39)&amp;"!r2c"&amp;$C3294,0),variables,2,0)</f>
        <v>9770</v>
      </c>
      <c r="H3294" s="71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67" t="s">
        <v>1429</v>
      </c>
      <c r="B3295" s="66">
        <f t="shared" si="6726"/>
        <v>6</v>
      </c>
      <c r="C3295" s="66">
        <f t="shared" si="6729"/>
        <v>32</v>
      </c>
      <c r="E3295" s="66">
        <f t="shared" ref="E3295" si="6754">plan_id</f>
        <v>1952</v>
      </c>
      <c r="F3295" s="66">
        <f t="shared" ca="1" si="6692"/>
        <v>2004</v>
      </c>
      <c r="G3295" s="66">
        <f t="shared" ref="G3295" ca="1" si="6755">VLOOKUP(INDIRECT(CHAR(39)&amp;$A3295&amp;CHAR(39)&amp;"!r2c"&amp;$C3295,0),variables,2,0)</f>
        <v>9773</v>
      </c>
      <c r="H3295" s="71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67" t="s">
        <v>1429</v>
      </c>
      <c r="B3296" s="66">
        <f t="shared" si="6726"/>
        <v>6</v>
      </c>
      <c r="C3296" s="66">
        <f t="shared" si="6729"/>
        <v>33</v>
      </c>
      <c r="E3296" s="66">
        <f t="shared" ref="E3296" si="6756">plan_id</f>
        <v>1952</v>
      </c>
      <c r="F3296" s="66">
        <f t="shared" ca="1" si="6692"/>
        <v>2004</v>
      </c>
      <c r="G3296" s="66">
        <f t="shared" ref="G3296" ca="1" si="6757">VLOOKUP(INDIRECT(CHAR(39)&amp;$A3296&amp;CHAR(39)&amp;"!r2c"&amp;$C3296,0),variables,2,0)</f>
        <v>9776</v>
      </c>
      <c r="H3296" s="71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67" t="s">
        <v>1429</v>
      </c>
      <c r="B3297" s="66">
        <f t="shared" si="6726"/>
        <v>6</v>
      </c>
      <c r="C3297" s="66">
        <f t="shared" si="6729"/>
        <v>34</v>
      </c>
      <c r="E3297" s="66">
        <f t="shared" ref="E3297" si="6758">plan_id</f>
        <v>1952</v>
      </c>
      <c r="F3297" s="66">
        <f t="shared" ca="1" si="6692"/>
        <v>2004</v>
      </c>
      <c r="G3297" s="66">
        <f t="shared" ref="G3297" ca="1" si="6759">VLOOKUP(INDIRECT(CHAR(39)&amp;$A3297&amp;CHAR(39)&amp;"!r2c"&amp;$C3297,0),variables,2,0)</f>
        <v>9779</v>
      </c>
      <c r="H3297" s="71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67" t="s">
        <v>1429</v>
      </c>
      <c r="B3298" s="66">
        <f t="shared" si="6726"/>
        <v>6</v>
      </c>
      <c r="C3298" s="66">
        <f t="shared" si="6729"/>
        <v>35</v>
      </c>
      <c r="E3298" s="66">
        <f t="shared" ref="E3298" si="6760">plan_id</f>
        <v>1952</v>
      </c>
      <c r="F3298" s="66">
        <f t="shared" ca="1" si="6692"/>
        <v>2004</v>
      </c>
      <c r="G3298" s="66">
        <f t="shared" ref="G3298" ca="1" si="6761">VLOOKUP(INDIRECT(CHAR(39)&amp;$A3298&amp;CHAR(39)&amp;"!r2c"&amp;$C3298,0),variables,2,0)</f>
        <v>9785</v>
      </c>
      <c r="H3298" s="71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67" t="s">
        <v>1429</v>
      </c>
      <c r="B3299" s="66">
        <f t="shared" si="6726"/>
        <v>6</v>
      </c>
      <c r="C3299" s="66">
        <f t="shared" si="6729"/>
        <v>36</v>
      </c>
      <c r="E3299" s="66">
        <f t="shared" ref="E3299" si="6762">plan_id</f>
        <v>1952</v>
      </c>
      <c r="F3299" s="66">
        <f t="shared" ca="1" si="6692"/>
        <v>2004</v>
      </c>
      <c r="G3299" s="66">
        <f t="shared" ref="G3299" ca="1" si="6763">VLOOKUP(INDIRECT(CHAR(39)&amp;$A3299&amp;CHAR(39)&amp;"!r2c"&amp;$C3299,0),variables,2,0)</f>
        <v>9794</v>
      </c>
      <c r="H3299" s="71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67" t="s">
        <v>1429</v>
      </c>
      <c r="B3300" s="66">
        <f t="shared" si="6726"/>
        <v>6</v>
      </c>
      <c r="C3300" s="66">
        <f t="shared" si="6729"/>
        <v>37</v>
      </c>
      <c r="E3300" s="66">
        <f t="shared" ref="E3300" si="6764">plan_id</f>
        <v>1952</v>
      </c>
      <c r="F3300" s="66">
        <f t="shared" ca="1" si="6692"/>
        <v>2004</v>
      </c>
      <c r="G3300" s="66">
        <f t="shared" ref="G3300" ca="1" si="6765">VLOOKUP(INDIRECT(CHAR(39)&amp;$A3300&amp;CHAR(39)&amp;"!r2c"&amp;$C3300,0),variables,2,0)</f>
        <v>9797</v>
      </c>
      <c r="H3300" s="71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67" t="s">
        <v>1429</v>
      </c>
      <c r="B3301" s="66">
        <f t="shared" si="6726"/>
        <v>6</v>
      </c>
      <c r="C3301" s="66">
        <f t="shared" si="6729"/>
        <v>38</v>
      </c>
      <c r="E3301" s="66">
        <f t="shared" ref="E3301" si="6766">plan_id</f>
        <v>1952</v>
      </c>
      <c r="F3301" s="66">
        <f t="shared" ca="1" si="6692"/>
        <v>2004</v>
      </c>
      <c r="G3301" s="66">
        <f t="shared" ref="G3301" ca="1" si="6767">VLOOKUP(INDIRECT(CHAR(39)&amp;$A3301&amp;CHAR(39)&amp;"!r2c"&amp;$C3301,0),variables,2,0)</f>
        <v>9806</v>
      </c>
      <c r="H3301" s="71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67" t="s">
        <v>1429</v>
      </c>
      <c r="B3302" s="66">
        <f t="shared" si="6726"/>
        <v>6</v>
      </c>
      <c r="C3302" s="66">
        <f t="shared" si="6729"/>
        <v>39</v>
      </c>
      <c r="E3302" s="66">
        <f t="shared" ref="E3302" si="6768">plan_id</f>
        <v>1952</v>
      </c>
      <c r="F3302" s="66">
        <f t="shared" ca="1" si="6692"/>
        <v>2004</v>
      </c>
      <c r="G3302" s="66">
        <f t="shared" ref="G3302" ca="1" si="6769">VLOOKUP(INDIRECT(CHAR(39)&amp;$A3302&amp;CHAR(39)&amp;"!r2c"&amp;$C3302,0),variables,2,0)</f>
        <v>9809</v>
      </c>
      <c r="H3302" s="71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67" t="s">
        <v>1429</v>
      </c>
      <c r="B3303" s="66">
        <f t="shared" si="6726"/>
        <v>6</v>
      </c>
      <c r="C3303" s="66">
        <f t="shared" si="6729"/>
        <v>40</v>
      </c>
      <c r="E3303" s="66">
        <f t="shared" ref="E3303" si="6770">plan_id</f>
        <v>1952</v>
      </c>
      <c r="F3303" s="66">
        <f t="shared" ca="1" si="6692"/>
        <v>2004</v>
      </c>
      <c r="G3303" s="66">
        <f t="shared" ref="G3303" ca="1" si="6771">VLOOKUP(INDIRECT(CHAR(39)&amp;$A3303&amp;CHAR(39)&amp;"!r2c"&amp;$C3303,0),variables,2,0)</f>
        <v>9818</v>
      </c>
      <c r="H3303" s="71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67" t="s">
        <v>1429</v>
      </c>
      <c r="B3304" s="66">
        <f t="shared" si="6726"/>
        <v>6</v>
      </c>
      <c r="C3304" s="66">
        <f t="shared" si="6729"/>
        <v>41</v>
      </c>
      <c r="E3304" s="66">
        <f t="shared" ref="E3304" si="6772">plan_id</f>
        <v>1952</v>
      </c>
      <c r="F3304" s="66">
        <f t="shared" ca="1" si="6692"/>
        <v>2004</v>
      </c>
      <c r="G3304" s="66">
        <f t="shared" ref="G3304" ca="1" si="6773">VLOOKUP(INDIRECT(CHAR(39)&amp;$A3304&amp;CHAR(39)&amp;"!r2c"&amp;$C3304,0),variables,2,0)</f>
        <v>9839</v>
      </c>
      <c r="H3304" s="71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67" t="s">
        <v>1429</v>
      </c>
      <c r="B3305" s="66">
        <f t="shared" si="6726"/>
        <v>6</v>
      </c>
      <c r="C3305" s="66">
        <f t="shared" si="6729"/>
        <v>42</v>
      </c>
      <c r="E3305" s="66">
        <f t="shared" ref="E3305" si="6774">plan_id</f>
        <v>1952</v>
      </c>
      <c r="F3305" s="66">
        <f t="shared" ca="1" si="6692"/>
        <v>2004</v>
      </c>
      <c r="G3305" s="66">
        <f t="shared" ref="G3305" ca="1" si="6775">VLOOKUP(INDIRECT(CHAR(39)&amp;$A3305&amp;CHAR(39)&amp;"!r2c"&amp;$C3305,0),variables,2,0)</f>
        <v>9860</v>
      </c>
      <c r="H3305" s="71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67" t="s">
        <v>1429</v>
      </c>
      <c r="B3306" s="66">
        <f t="shared" si="6726"/>
        <v>6</v>
      </c>
      <c r="C3306" s="66">
        <f t="shared" si="6729"/>
        <v>43</v>
      </c>
      <c r="E3306" s="66">
        <f t="shared" ref="E3306" si="6776">plan_id</f>
        <v>1952</v>
      </c>
      <c r="F3306" s="66">
        <f t="shared" ca="1" si="6692"/>
        <v>2004</v>
      </c>
      <c r="G3306" s="66">
        <f t="shared" ref="G3306" ca="1" si="6777">VLOOKUP(INDIRECT(CHAR(39)&amp;$A3306&amp;CHAR(39)&amp;"!r2c"&amp;$C3306,0),variables,2,0)</f>
        <v>9863</v>
      </c>
      <c r="H3306" s="71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67" t="s">
        <v>1429</v>
      </c>
      <c r="B3307" s="66">
        <f t="shared" si="6726"/>
        <v>6</v>
      </c>
      <c r="C3307" s="66">
        <f t="shared" si="6729"/>
        <v>44</v>
      </c>
      <c r="E3307" s="66">
        <f t="shared" ref="E3307" si="6778">plan_id</f>
        <v>1952</v>
      </c>
      <c r="F3307" s="66">
        <f t="shared" ca="1" si="6692"/>
        <v>2004</v>
      </c>
      <c r="G3307" s="66">
        <f t="shared" ref="G3307" ca="1" si="6779">VLOOKUP(INDIRECT(CHAR(39)&amp;$A3307&amp;CHAR(39)&amp;"!r2c"&amp;$C3307,0),variables,2,0)</f>
        <v>9878</v>
      </c>
      <c r="H3307" s="71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67" t="s">
        <v>1429</v>
      </c>
      <c r="B3308" s="66">
        <f t="shared" si="6726"/>
        <v>6</v>
      </c>
      <c r="C3308" s="66">
        <f t="shared" si="6729"/>
        <v>45</v>
      </c>
      <c r="E3308" s="66">
        <f t="shared" ref="E3308" si="6780">plan_id</f>
        <v>1952</v>
      </c>
      <c r="F3308" s="66">
        <f t="shared" ca="1" si="6692"/>
        <v>2004</v>
      </c>
      <c r="G3308" s="66">
        <f t="shared" ref="G3308" ca="1" si="6781">VLOOKUP(INDIRECT(CHAR(39)&amp;$A3308&amp;CHAR(39)&amp;"!r2c"&amp;$C3308,0),variables,2,0)</f>
        <v>9923</v>
      </c>
      <c r="H3308" s="71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67" t="s">
        <v>1429</v>
      </c>
      <c r="B3309" s="66">
        <f t="shared" si="6726"/>
        <v>6</v>
      </c>
      <c r="C3309" s="66">
        <f t="shared" si="6729"/>
        <v>46</v>
      </c>
      <c r="E3309" s="66">
        <f t="shared" ref="E3309" si="6782">plan_id</f>
        <v>1952</v>
      </c>
      <c r="F3309" s="66">
        <f t="shared" ca="1" si="6692"/>
        <v>2004</v>
      </c>
      <c r="G3309" s="66">
        <f t="shared" ref="G3309" ca="1" si="6783">VLOOKUP(INDIRECT(CHAR(39)&amp;$A3309&amp;CHAR(39)&amp;"!r2c"&amp;$C3309,0),variables,2,0)</f>
        <v>9932</v>
      </c>
      <c r="H3309" s="71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67" t="s">
        <v>1429</v>
      </c>
      <c r="B3310" s="66">
        <f t="shared" si="6726"/>
        <v>6</v>
      </c>
      <c r="C3310" s="66">
        <f t="shared" si="6729"/>
        <v>47</v>
      </c>
      <c r="E3310" s="66">
        <f t="shared" ref="E3310" si="6784">plan_id</f>
        <v>1952</v>
      </c>
      <c r="F3310" s="66">
        <f t="shared" ca="1" si="6692"/>
        <v>2004</v>
      </c>
      <c r="G3310" s="66">
        <f t="shared" ref="G3310" ca="1" si="6785">VLOOKUP(INDIRECT(CHAR(39)&amp;$A3310&amp;CHAR(39)&amp;"!r2c"&amp;$C3310,0),variables,2,0)</f>
        <v>9935</v>
      </c>
      <c r="H3310" s="71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67" t="s">
        <v>1429</v>
      </c>
      <c r="B3311" s="66">
        <f t="shared" si="6726"/>
        <v>6</v>
      </c>
      <c r="C3311" s="66">
        <f t="shared" si="6729"/>
        <v>48</v>
      </c>
      <c r="E3311" s="66">
        <f t="shared" ref="E3311" si="6786">plan_id</f>
        <v>1952</v>
      </c>
      <c r="F3311" s="66">
        <f t="shared" ca="1" si="6692"/>
        <v>2004</v>
      </c>
      <c r="G3311" s="66">
        <f t="shared" ref="G3311" ca="1" si="6787">VLOOKUP(INDIRECT(CHAR(39)&amp;$A3311&amp;CHAR(39)&amp;"!r2c"&amp;$C3311,0),variables,2,0)</f>
        <v>9651</v>
      </c>
      <c r="H3311" s="71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67" t="s">
        <v>1429</v>
      </c>
      <c r="B3312" s="66">
        <f t="shared" si="6726"/>
        <v>6</v>
      </c>
      <c r="C3312" s="66">
        <f t="shared" si="6729"/>
        <v>49</v>
      </c>
      <c r="E3312" s="66">
        <f t="shared" ref="E3312" si="6788">plan_id</f>
        <v>1952</v>
      </c>
      <c r="F3312" s="66">
        <f t="shared" ca="1" si="6692"/>
        <v>2004</v>
      </c>
      <c r="G3312" s="66">
        <f t="shared" ref="G3312" ca="1" si="6789">VLOOKUP(INDIRECT(CHAR(39)&amp;$A3312&amp;CHAR(39)&amp;"!r2c"&amp;$C3312,0),variables,2,0)</f>
        <v>9722</v>
      </c>
      <c r="H3312" s="71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67" t="s">
        <v>1429</v>
      </c>
      <c r="B3313" s="66">
        <f t="shared" si="6726"/>
        <v>6</v>
      </c>
      <c r="C3313" s="66">
        <f t="shared" si="6729"/>
        <v>50</v>
      </c>
      <c r="E3313" s="66">
        <f t="shared" ref="E3313" si="6790">plan_id</f>
        <v>1952</v>
      </c>
      <c r="F3313" s="66">
        <f t="shared" ca="1" si="6692"/>
        <v>2004</v>
      </c>
      <c r="G3313" s="66">
        <f t="shared" ref="G3313" ca="1" si="6791">VLOOKUP(INDIRECT(CHAR(39)&amp;$A3313&amp;CHAR(39)&amp;"!r2c"&amp;$C3313,0),variables,2,0)</f>
        <v>9848</v>
      </c>
      <c r="H3313" s="71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67" t="s">
        <v>1429</v>
      </c>
      <c r="B3314" s="66">
        <f t="shared" si="6726"/>
        <v>6</v>
      </c>
      <c r="C3314" s="66">
        <f t="shared" si="6729"/>
        <v>51</v>
      </c>
      <c r="E3314" s="66">
        <f t="shared" ref="E3314" si="6792">plan_id</f>
        <v>1952</v>
      </c>
      <c r="F3314" s="66">
        <f t="shared" ca="1" si="6692"/>
        <v>2004</v>
      </c>
      <c r="G3314" s="66">
        <f t="shared" ref="G3314" ca="1" si="6793">VLOOKUP(INDIRECT(CHAR(39)&amp;$A3314&amp;CHAR(39)&amp;"!r2c"&amp;$C3314,0),variables,2,0)</f>
        <v>9866</v>
      </c>
      <c r="H3314" s="71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67" t="s">
        <v>1429</v>
      </c>
      <c r="B3315" s="66">
        <f t="shared" si="6726"/>
        <v>6</v>
      </c>
      <c r="C3315" s="66">
        <f t="shared" si="6729"/>
        <v>52</v>
      </c>
      <c r="E3315" s="66">
        <f t="shared" ref="E3315" si="6794">plan_id</f>
        <v>1952</v>
      </c>
      <c r="F3315" s="66">
        <f t="shared" ca="1" si="6692"/>
        <v>2004</v>
      </c>
      <c r="G3315" s="66">
        <f t="shared" ref="G3315" ca="1" si="6795">VLOOKUP(INDIRECT(CHAR(39)&amp;$A3315&amp;CHAR(39)&amp;"!r2c"&amp;$C3315,0),variables,2,0)</f>
        <v>9899</v>
      </c>
      <c r="H3315" s="71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67" t="s">
        <v>1429</v>
      </c>
      <c r="B3316" s="66">
        <f t="shared" si="6726"/>
        <v>6</v>
      </c>
      <c r="C3316" s="66">
        <f t="shared" si="6729"/>
        <v>53</v>
      </c>
      <c r="E3316" s="66">
        <f t="shared" ref="E3316" si="6796">plan_id</f>
        <v>1952</v>
      </c>
      <c r="F3316" s="66">
        <f t="shared" ca="1" si="6692"/>
        <v>2004</v>
      </c>
      <c r="G3316" s="66">
        <f t="shared" ref="G3316" ca="1" si="6797">VLOOKUP(INDIRECT(CHAR(39)&amp;$A3316&amp;CHAR(39)&amp;"!r2c"&amp;$C3316,0),variables,2,0)</f>
        <v>9905</v>
      </c>
      <c r="H3316" s="71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67" t="s">
        <v>1429</v>
      </c>
      <c r="B3317" s="66">
        <f t="shared" si="6726"/>
        <v>6</v>
      </c>
      <c r="C3317" s="66">
        <f t="shared" si="6729"/>
        <v>54</v>
      </c>
      <c r="E3317" s="66">
        <f t="shared" ref="E3317" si="6798">plan_id</f>
        <v>1952</v>
      </c>
      <c r="F3317" s="66">
        <f t="shared" ca="1" si="6692"/>
        <v>2004</v>
      </c>
      <c r="G3317" s="66">
        <f t="shared" ref="G3317" ca="1" si="6799">VLOOKUP(INDIRECT(CHAR(39)&amp;$A3317&amp;CHAR(39)&amp;"!r2c"&amp;$C3317,0),variables,2,0)</f>
        <v>9929</v>
      </c>
      <c r="H3317" s="71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67" t="s">
        <v>1429</v>
      </c>
      <c r="B3318" s="66">
        <f t="shared" si="6726"/>
        <v>6</v>
      </c>
      <c r="C3318" s="66">
        <f t="shared" si="6729"/>
        <v>55</v>
      </c>
      <c r="E3318" s="66">
        <f t="shared" ref="E3318" si="6800">plan_id</f>
        <v>1952</v>
      </c>
      <c r="F3318" s="66">
        <f t="shared" ca="1" si="6692"/>
        <v>2004</v>
      </c>
      <c r="G3318" s="66">
        <f t="shared" ref="G3318" ca="1" si="6801">VLOOKUP(INDIRECT(CHAR(39)&amp;$A3318&amp;CHAR(39)&amp;"!r2c"&amp;$C3318,0),variables,2,0)</f>
        <v>9654</v>
      </c>
      <c r="H3318" s="71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67" t="s">
        <v>1429</v>
      </c>
      <c r="B3319" s="66">
        <f t="shared" si="6726"/>
        <v>6</v>
      </c>
      <c r="C3319" s="66">
        <f t="shared" si="6729"/>
        <v>56</v>
      </c>
      <c r="E3319" s="66">
        <f t="shared" ref="E3319" si="6802">plan_id</f>
        <v>1952</v>
      </c>
      <c r="F3319" s="66">
        <f t="shared" ca="1" si="6692"/>
        <v>2004</v>
      </c>
      <c r="G3319" s="66">
        <f t="shared" ref="G3319" ca="1" si="6803">VLOOKUP(INDIRECT(CHAR(39)&amp;$A3319&amp;CHAR(39)&amp;"!r2c"&amp;$C3319,0),variables,2,0)</f>
        <v>9707</v>
      </c>
      <c r="H3319" s="71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67" t="s">
        <v>1429</v>
      </c>
      <c r="B3320" s="66">
        <f t="shared" si="6726"/>
        <v>6</v>
      </c>
      <c r="C3320" s="66">
        <f t="shared" si="6729"/>
        <v>57</v>
      </c>
      <c r="E3320" s="66">
        <f t="shared" ref="E3320" si="6804">plan_id</f>
        <v>1952</v>
      </c>
      <c r="F3320" s="66">
        <f t="shared" ca="1" si="6692"/>
        <v>2004</v>
      </c>
      <c r="G3320" s="66">
        <f t="shared" ref="G3320" ca="1" si="6805">VLOOKUP(INDIRECT(CHAR(39)&amp;$A3320&amp;CHAR(39)&amp;"!r2c"&amp;$C3320,0),variables,2,0)</f>
        <v>9669</v>
      </c>
      <c r="H3320" s="71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67" t="s">
        <v>1429</v>
      </c>
      <c r="B3321" s="66">
        <f t="shared" si="6726"/>
        <v>6</v>
      </c>
      <c r="C3321" s="66">
        <f t="shared" si="6729"/>
        <v>58</v>
      </c>
      <c r="E3321" s="66">
        <f t="shared" ref="E3321" si="6806">plan_id</f>
        <v>1952</v>
      </c>
      <c r="F3321" s="66">
        <f t="shared" ca="1" si="6692"/>
        <v>2004</v>
      </c>
      <c r="G3321" s="66">
        <f t="shared" ref="G3321" ca="1" si="6807">VLOOKUP(INDIRECT(CHAR(39)&amp;$A3321&amp;CHAR(39)&amp;"!r2c"&amp;$C3321,0),variables,2,0)</f>
        <v>9851</v>
      </c>
      <c r="H3321" s="71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67" t="s">
        <v>1429</v>
      </c>
      <c r="B3322" s="66">
        <f t="shared" si="6726"/>
        <v>6</v>
      </c>
      <c r="C3322" s="66">
        <f t="shared" si="6729"/>
        <v>59</v>
      </c>
      <c r="E3322" s="66">
        <f t="shared" ref="E3322" si="6808">plan_id</f>
        <v>1952</v>
      </c>
      <c r="F3322" s="66">
        <f t="shared" ca="1" si="6692"/>
        <v>2004</v>
      </c>
      <c r="G3322" s="66">
        <f t="shared" ref="G3322" ca="1" si="6809">VLOOKUP(INDIRECT(CHAR(39)&amp;$A3322&amp;CHAR(39)&amp;"!r2c"&amp;$C3322,0),variables,2,0)</f>
        <v>9890</v>
      </c>
      <c r="H3322" s="71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67" t="s">
        <v>1429</v>
      </c>
      <c r="B3323" s="66">
        <f t="shared" si="6726"/>
        <v>6</v>
      </c>
      <c r="C3323" s="66">
        <f t="shared" si="6729"/>
        <v>60</v>
      </c>
      <c r="E3323" s="66">
        <f t="shared" ref="E3323" si="6810">plan_id</f>
        <v>1952</v>
      </c>
      <c r="F3323" s="66">
        <f t="shared" ca="1" si="6692"/>
        <v>2004</v>
      </c>
      <c r="G3323" s="66">
        <f t="shared" ref="G3323" ca="1" si="6811">VLOOKUP(INDIRECT(CHAR(39)&amp;$A3323&amp;CHAR(39)&amp;"!r2c"&amp;$C3323,0),variables,2,0)</f>
        <v>9893</v>
      </c>
      <c r="H3323" s="71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67" t="s">
        <v>1429</v>
      </c>
      <c r="B3324" s="66">
        <f t="shared" si="6726"/>
        <v>6</v>
      </c>
      <c r="C3324" s="66">
        <f t="shared" si="6729"/>
        <v>61</v>
      </c>
      <c r="E3324" s="66">
        <f t="shared" ref="E3324" si="6812">plan_id</f>
        <v>1952</v>
      </c>
      <c r="F3324" s="66">
        <f t="shared" ca="1" si="6692"/>
        <v>2004</v>
      </c>
      <c r="G3324" s="66">
        <f t="shared" ref="G3324" ca="1" si="6813">VLOOKUP(INDIRECT(CHAR(39)&amp;$A3324&amp;CHAR(39)&amp;"!r2c"&amp;$C3324,0),variables,2,0)</f>
        <v>9896</v>
      </c>
      <c r="H3324" s="71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67" t="s">
        <v>1429</v>
      </c>
      <c r="B3325" s="66">
        <f t="shared" si="6726"/>
        <v>6</v>
      </c>
      <c r="C3325" s="66">
        <f t="shared" si="6729"/>
        <v>62</v>
      </c>
      <c r="E3325" s="66">
        <f t="shared" ref="E3325" si="6814">plan_id</f>
        <v>1952</v>
      </c>
      <c r="F3325" s="66">
        <f t="shared" ca="1" si="6692"/>
        <v>2004</v>
      </c>
      <c r="G3325" s="66">
        <f t="shared" ref="G3325" ca="1" si="6815">VLOOKUP(INDIRECT(CHAR(39)&amp;$A3325&amp;CHAR(39)&amp;"!r2c"&amp;$C3325,0),variables,2,0)</f>
        <v>9660</v>
      </c>
      <c r="H3325" s="71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67" t="s">
        <v>1429</v>
      </c>
      <c r="B3326" s="66">
        <f t="shared" si="6726"/>
        <v>6</v>
      </c>
      <c r="C3326" s="66">
        <f t="shared" si="6729"/>
        <v>63</v>
      </c>
      <c r="E3326" s="66">
        <f t="shared" ref="E3326" si="6816">plan_id</f>
        <v>1952</v>
      </c>
      <c r="F3326" s="66">
        <f t="shared" ca="1" si="6692"/>
        <v>2004</v>
      </c>
      <c r="G3326" s="66">
        <f t="shared" ref="G3326" ca="1" si="6817">VLOOKUP(INDIRECT(CHAR(39)&amp;$A3326&amp;CHAR(39)&amp;"!r2c"&amp;$C3326,0),variables,2,0)</f>
        <v>9701</v>
      </c>
      <c r="H3326" s="71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67" t="s">
        <v>1429</v>
      </c>
      <c r="B3327" s="66">
        <f t="shared" si="6726"/>
        <v>6</v>
      </c>
      <c r="C3327" s="66">
        <f t="shared" si="6729"/>
        <v>64</v>
      </c>
      <c r="E3327" s="66">
        <f t="shared" ref="E3327" si="6818">plan_id</f>
        <v>1952</v>
      </c>
      <c r="F3327" s="66">
        <f t="shared" ca="1" si="6692"/>
        <v>2004</v>
      </c>
      <c r="G3327" s="66">
        <f t="shared" ref="G3327" ca="1" si="6819">VLOOKUP(INDIRECT(CHAR(39)&amp;$A3327&amp;CHAR(39)&amp;"!r2c"&amp;$C3327,0),variables,2,0)</f>
        <v>9728</v>
      </c>
      <c r="H3327" s="71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67" t="s">
        <v>1429</v>
      </c>
      <c r="B3328" s="66">
        <f t="shared" si="6726"/>
        <v>6</v>
      </c>
      <c r="C3328" s="66">
        <f t="shared" si="6729"/>
        <v>65</v>
      </c>
      <c r="E3328" s="66">
        <f t="shared" ref="E3328" si="6820">plan_id</f>
        <v>1952</v>
      </c>
      <c r="F3328" s="66">
        <f t="shared" ca="1" si="6692"/>
        <v>2004</v>
      </c>
      <c r="G3328" s="66">
        <f t="shared" ref="G3328" ca="1" si="6821">VLOOKUP(INDIRECT(CHAR(39)&amp;$A3328&amp;CHAR(39)&amp;"!r2c"&amp;$C3328,0),variables,2,0)</f>
        <v>9731</v>
      </c>
      <c r="H3328" s="71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67" t="s">
        <v>1429</v>
      </c>
      <c r="B3329" s="66">
        <f t="shared" si="6726"/>
        <v>6</v>
      </c>
      <c r="C3329" s="66">
        <f t="shared" si="6729"/>
        <v>66</v>
      </c>
      <c r="E3329" s="66">
        <f t="shared" ref="E3329" si="6822">plan_id</f>
        <v>1952</v>
      </c>
      <c r="F3329" s="66">
        <f t="shared" ref="F3329:F3392" ca="1" si="6823">INDIRECT(CHAR(39)&amp;$A3329&amp;CHAR(39)&amp;"!r"&amp;$B3329&amp;"c2",0)</f>
        <v>2004</v>
      </c>
      <c r="G3329" s="66">
        <f t="shared" ref="G3329" ca="1" si="6824">VLOOKUP(INDIRECT(CHAR(39)&amp;$A3329&amp;CHAR(39)&amp;"!r2c"&amp;$C3329,0),variables,2,0)</f>
        <v>9737</v>
      </c>
      <c r="H3329" s="71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67" t="s">
        <v>1429</v>
      </c>
      <c r="B3330" s="66">
        <f t="shared" si="6726"/>
        <v>6</v>
      </c>
      <c r="C3330" s="66">
        <f t="shared" si="6729"/>
        <v>67</v>
      </c>
      <c r="E3330" s="66">
        <f t="shared" ref="E3330" si="6825">plan_id</f>
        <v>1952</v>
      </c>
      <c r="F3330" s="66">
        <f t="shared" ca="1" si="6823"/>
        <v>2004</v>
      </c>
      <c r="G3330" s="66">
        <f t="shared" ref="G3330" ca="1" si="6826">VLOOKUP(INDIRECT(CHAR(39)&amp;$A3330&amp;CHAR(39)&amp;"!r2c"&amp;$C3330,0),variables,2,0)</f>
        <v>9740</v>
      </c>
      <c r="H3330" s="71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67" t="s">
        <v>1429</v>
      </c>
      <c r="B3331" s="66">
        <f t="shared" si="6726"/>
        <v>6</v>
      </c>
      <c r="C3331" s="66">
        <f t="shared" si="6729"/>
        <v>68</v>
      </c>
      <c r="E3331" s="66">
        <f t="shared" ref="E3331" si="6827">plan_id</f>
        <v>1952</v>
      </c>
      <c r="F3331" s="66">
        <f t="shared" ca="1" si="6823"/>
        <v>2004</v>
      </c>
      <c r="G3331" s="66">
        <f t="shared" ref="G3331" ca="1" si="6828">VLOOKUP(INDIRECT(CHAR(39)&amp;$A3331&amp;CHAR(39)&amp;"!r2c"&amp;$C3331,0),variables,2,0)</f>
        <v>9752</v>
      </c>
      <c r="H3331" s="71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67" t="s">
        <v>1429</v>
      </c>
      <c r="B3332" s="66">
        <f t="shared" si="6726"/>
        <v>6</v>
      </c>
      <c r="C3332" s="66">
        <f t="shared" si="6729"/>
        <v>69</v>
      </c>
      <c r="E3332" s="66">
        <f t="shared" ref="E3332" si="6829">plan_id</f>
        <v>1952</v>
      </c>
      <c r="F3332" s="66">
        <f t="shared" ca="1" si="6823"/>
        <v>2004</v>
      </c>
      <c r="G3332" s="66">
        <f t="shared" ref="G3332" ca="1" si="6830">VLOOKUP(INDIRECT(CHAR(39)&amp;$A3332&amp;CHAR(39)&amp;"!r2c"&amp;$C3332,0),variables,2,0)</f>
        <v>9791</v>
      </c>
      <c r="H3332" s="71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67" t="s">
        <v>1429</v>
      </c>
      <c r="B3333" s="66">
        <f t="shared" si="6726"/>
        <v>6</v>
      </c>
      <c r="C3333" s="66">
        <f t="shared" si="6729"/>
        <v>70</v>
      </c>
      <c r="E3333" s="66">
        <f t="shared" ref="E3333" si="6831">plan_id</f>
        <v>1952</v>
      </c>
      <c r="F3333" s="66">
        <f t="shared" ca="1" si="6823"/>
        <v>2004</v>
      </c>
      <c r="G3333" s="66">
        <f t="shared" ref="G3333" ca="1" si="6832">VLOOKUP(INDIRECT(CHAR(39)&amp;$A3333&amp;CHAR(39)&amp;"!r2c"&amp;$C3333,0),variables,2,0)</f>
        <v>9800</v>
      </c>
      <c r="H3333" s="71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67" t="s">
        <v>1429</v>
      </c>
      <c r="B3334" s="66">
        <f t="shared" si="6726"/>
        <v>6</v>
      </c>
      <c r="C3334" s="66">
        <f t="shared" si="6729"/>
        <v>71</v>
      </c>
      <c r="E3334" s="66">
        <f t="shared" ref="E3334" si="6833">plan_id</f>
        <v>1952</v>
      </c>
      <c r="F3334" s="66">
        <f t="shared" ca="1" si="6823"/>
        <v>2004</v>
      </c>
      <c r="G3334" s="66">
        <f t="shared" ref="G3334" ca="1" si="6834">VLOOKUP(INDIRECT(CHAR(39)&amp;$A3334&amp;CHAR(39)&amp;"!r2c"&amp;$C3334,0),variables,2,0)</f>
        <v>9842</v>
      </c>
      <c r="H3334" s="71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67" t="s">
        <v>1429</v>
      </c>
      <c r="B3335" s="66">
        <f t="shared" si="6726"/>
        <v>6</v>
      </c>
      <c r="C3335" s="66">
        <f t="shared" si="6729"/>
        <v>72</v>
      </c>
      <c r="E3335" s="66">
        <f t="shared" ref="E3335" si="6835">plan_id</f>
        <v>1952</v>
      </c>
      <c r="F3335" s="66">
        <f t="shared" ca="1" si="6823"/>
        <v>2004</v>
      </c>
      <c r="G3335" s="66">
        <f t="shared" ref="G3335" ca="1" si="6836">VLOOKUP(INDIRECT(CHAR(39)&amp;$A3335&amp;CHAR(39)&amp;"!r2c"&amp;$C3335,0),variables,2,0)</f>
        <v>9854</v>
      </c>
      <c r="H3335" s="71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67" t="s">
        <v>1429</v>
      </c>
      <c r="B3336" s="66">
        <f t="shared" si="6726"/>
        <v>6</v>
      </c>
      <c r="C3336" s="66">
        <f t="shared" si="6729"/>
        <v>73</v>
      </c>
      <c r="E3336" s="66">
        <f t="shared" ref="E3336" si="6837">plan_id</f>
        <v>1952</v>
      </c>
      <c r="F3336" s="66">
        <f t="shared" ca="1" si="6823"/>
        <v>2004</v>
      </c>
      <c r="G3336" s="66">
        <f t="shared" ref="G3336" ca="1" si="6838">VLOOKUP(INDIRECT(CHAR(39)&amp;$A3336&amp;CHAR(39)&amp;"!r2c"&amp;$C3336,0),variables,2,0)</f>
        <v>9869</v>
      </c>
      <c r="H3336" s="71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67" t="s">
        <v>1429</v>
      </c>
      <c r="B3337" s="66">
        <f t="shared" si="6726"/>
        <v>6</v>
      </c>
      <c r="C3337" s="66">
        <f t="shared" si="6729"/>
        <v>74</v>
      </c>
      <c r="E3337" s="66">
        <f t="shared" ref="E3337" si="6839">plan_id</f>
        <v>1952</v>
      </c>
      <c r="F3337" s="66">
        <f t="shared" ca="1" si="6823"/>
        <v>2004</v>
      </c>
      <c r="G3337" s="66">
        <f t="shared" ref="G3337" ca="1" si="6840">VLOOKUP(INDIRECT(CHAR(39)&amp;$A3337&amp;CHAR(39)&amp;"!r2c"&amp;$C3337,0),variables,2,0)</f>
        <v>9873</v>
      </c>
      <c r="H3337" s="71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67" t="s">
        <v>1429</v>
      </c>
      <c r="B3338" s="66">
        <f t="shared" si="6726"/>
        <v>6</v>
      </c>
      <c r="C3338" s="66">
        <f t="shared" si="6729"/>
        <v>75</v>
      </c>
      <c r="E3338" s="66">
        <f t="shared" ref="E3338" si="6841">plan_id</f>
        <v>1952</v>
      </c>
      <c r="F3338" s="66">
        <f t="shared" ca="1" si="6823"/>
        <v>2004</v>
      </c>
      <c r="G3338" s="66">
        <f t="shared" ref="G3338" ca="1" si="6842">VLOOKUP(INDIRECT(CHAR(39)&amp;$A3338&amp;CHAR(39)&amp;"!r2c"&amp;$C3338,0),variables,2,0)</f>
        <v>9881</v>
      </c>
      <c r="H3338" s="71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67" t="s">
        <v>1429</v>
      </c>
      <c r="B3339" s="66">
        <f t="shared" si="6726"/>
        <v>6</v>
      </c>
      <c r="C3339" s="66">
        <f t="shared" si="6729"/>
        <v>76</v>
      </c>
      <c r="E3339" s="66">
        <f t="shared" ref="E3339" si="6843">plan_id</f>
        <v>1952</v>
      </c>
      <c r="F3339" s="66">
        <f t="shared" ca="1" si="6823"/>
        <v>2004</v>
      </c>
      <c r="G3339" s="66">
        <f t="shared" ref="G3339" ca="1" si="6844">VLOOKUP(INDIRECT(CHAR(39)&amp;$A3339&amp;CHAR(39)&amp;"!r2c"&amp;$C3339,0),variables,2,0)</f>
        <v>9908</v>
      </c>
      <c r="H3339" s="71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67" t="s">
        <v>1429</v>
      </c>
      <c r="B3340" s="66">
        <f t="shared" si="6726"/>
        <v>6</v>
      </c>
      <c r="C3340" s="66">
        <f t="shared" si="6729"/>
        <v>77</v>
      </c>
      <c r="E3340" s="66">
        <f t="shared" ref="E3340" si="6845">plan_id</f>
        <v>1952</v>
      </c>
      <c r="F3340" s="66">
        <f t="shared" ca="1" si="6823"/>
        <v>2004</v>
      </c>
      <c r="G3340" s="66">
        <f t="shared" ref="G3340" ca="1" si="6846">VLOOKUP(INDIRECT(CHAR(39)&amp;$A3340&amp;CHAR(39)&amp;"!r2c"&amp;$C3340,0),variables,2,0)</f>
        <v>9911</v>
      </c>
      <c r="H3340" s="71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67" t="s">
        <v>1429</v>
      </c>
      <c r="B3341" s="66">
        <f t="shared" si="6726"/>
        <v>6</v>
      </c>
      <c r="C3341" s="66">
        <f t="shared" si="6729"/>
        <v>78</v>
      </c>
      <c r="E3341" s="66">
        <f t="shared" ref="E3341" si="6847">plan_id</f>
        <v>1952</v>
      </c>
      <c r="F3341" s="66">
        <f t="shared" ca="1" si="6823"/>
        <v>2004</v>
      </c>
      <c r="G3341" s="66">
        <f t="shared" ref="G3341" ca="1" si="6848">VLOOKUP(INDIRECT(CHAR(39)&amp;$A3341&amp;CHAR(39)&amp;"!r2c"&amp;$C3341,0),variables,2,0)</f>
        <v>9663</v>
      </c>
      <c r="H3341" s="71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67" t="s">
        <v>1429</v>
      </c>
      <c r="B3342" s="66">
        <f t="shared" si="6726"/>
        <v>6</v>
      </c>
      <c r="C3342" s="66">
        <f t="shared" si="6729"/>
        <v>79</v>
      </c>
      <c r="E3342" s="66">
        <f t="shared" ref="E3342" si="6849">plan_id</f>
        <v>1952</v>
      </c>
      <c r="F3342" s="66">
        <f t="shared" ca="1" si="6823"/>
        <v>2004</v>
      </c>
      <c r="G3342" s="66">
        <f t="shared" ref="G3342" ca="1" si="6850">VLOOKUP(INDIRECT(CHAR(39)&amp;$A3342&amp;CHAR(39)&amp;"!r2c"&amp;$C3342,0),variables,2,0)</f>
        <v>9710</v>
      </c>
      <c r="H3342" s="71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67" t="s">
        <v>1429</v>
      </c>
      <c r="B3343" s="66">
        <f t="shared" si="6726"/>
        <v>6</v>
      </c>
      <c r="C3343" s="66">
        <f t="shared" si="6729"/>
        <v>80</v>
      </c>
      <c r="E3343" s="66">
        <f t="shared" ref="E3343" si="6851">plan_id</f>
        <v>1952</v>
      </c>
      <c r="F3343" s="66">
        <f t="shared" ca="1" si="6823"/>
        <v>2004</v>
      </c>
      <c r="G3343" s="66">
        <f t="shared" ref="G3343" ca="1" si="6852">VLOOKUP(INDIRECT(CHAR(39)&amp;$A3343&amp;CHAR(39)&amp;"!r2c"&amp;$C3343,0),variables,2,0)</f>
        <v>9758</v>
      </c>
      <c r="H3343" s="71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67" t="s">
        <v>1429</v>
      </c>
      <c r="B3344" s="66">
        <f t="shared" si="6726"/>
        <v>6</v>
      </c>
      <c r="C3344" s="66">
        <f t="shared" si="6729"/>
        <v>81</v>
      </c>
      <c r="E3344" s="66">
        <f t="shared" ref="E3344" si="6853">plan_id</f>
        <v>1952</v>
      </c>
      <c r="F3344" s="66">
        <f t="shared" ca="1" si="6823"/>
        <v>2004</v>
      </c>
      <c r="G3344" s="66">
        <f t="shared" ref="G3344" ca="1" si="6854">VLOOKUP(INDIRECT(CHAR(39)&amp;$A3344&amp;CHAR(39)&amp;"!r2c"&amp;$C3344,0),variables,2,0)</f>
        <v>9803</v>
      </c>
      <c r="H3344" s="71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67" t="s">
        <v>1429</v>
      </c>
      <c r="B3345" s="66">
        <f t="shared" si="6726"/>
        <v>6</v>
      </c>
      <c r="C3345" s="66">
        <f t="shared" si="6729"/>
        <v>82</v>
      </c>
      <c r="E3345" s="66">
        <f t="shared" ref="E3345" si="6855">plan_id</f>
        <v>1952</v>
      </c>
      <c r="F3345" s="66">
        <f t="shared" ca="1" si="6823"/>
        <v>2004</v>
      </c>
      <c r="G3345" s="66">
        <f t="shared" ref="G3345" ca="1" si="6856">VLOOKUP(INDIRECT(CHAR(39)&amp;$A3345&amp;CHAR(39)&amp;"!r2c"&amp;$C3345,0),variables,2,0)</f>
        <v>9857</v>
      </c>
      <c r="H3345" s="71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67" t="s">
        <v>1429</v>
      </c>
      <c r="B3346" s="66">
        <f t="shared" ref="B3346:B3409" si="6857">B3258+1</f>
        <v>6</v>
      </c>
      <c r="C3346" s="66">
        <f t="shared" si="6729"/>
        <v>83</v>
      </c>
      <c r="E3346" s="66">
        <f t="shared" ref="E3346" si="6858">plan_id</f>
        <v>1952</v>
      </c>
      <c r="F3346" s="66">
        <f t="shared" ca="1" si="6823"/>
        <v>2004</v>
      </c>
      <c r="G3346" s="66">
        <f t="shared" ref="G3346" ca="1" si="6859">VLOOKUP(INDIRECT(CHAR(39)&amp;$A3346&amp;CHAR(39)&amp;"!r2c"&amp;$C3346,0),variables,2,0)</f>
        <v>9902</v>
      </c>
      <c r="H3346" s="71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67" t="s">
        <v>1429</v>
      </c>
      <c r="B3347" s="66">
        <f t="shared" si="6857"/>
        <v>6</v>
      </c>
      <c r="C3347" s="66">
        <f t="shared" ref="C3347:C3410" si="6860">C3259</f>
        <v>84</v>
      </c>
      <c r="E3347" s="66">
        <f t="shared" ref="E3347" si="6861">plan_id</f>
        <v>1952</v>
      </c>
      <c r="F3347" s="66">
        <f t="shared" ca="1" si="6823"/>
        <v>2004</v>
      </c>
      <c r="G3347" s="66">
        <f t="shared" ref="G3347" ca="1" si="6862">VLOOKUP(INDIRECT(CHAR(39)&amp;$A3347&amp;CHAR(39)&amp;"!r2c"&amp;$C3347,0),variables,2,0)</f>
        <v>9926</v>
      </c>
      <c r="H3347" s="71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67" t="s">
        <v>1429</v>
      </c>
      <c r="B3348" s="66">
        <f t="shared" si="6857"/>
        <v>6</v>
      </c>
      <c r="C3348" s="66">
        <f t="shared" si="6860"/>
        <v>85</v>
      </c>
      <c r="E3348" s="66">
        <f t="shared" ref="E3348" si="6863">plan_id</f>
        <v>1952</v>
      </c>
      <c r="F3348" s="66">
        <f t="shared" ca="1" si="6823"/>
        <v>2004</v>
      </c>
      <c r="G3348" s="66">
        <f t="shared" ref="G3348" ca="1" si="6864">VLOOKUP(INDIRECT(CHAR(39)&amp;$A3348&amp;CHAR(39)&amp;"!r2c"&amp;$C3348,0),variables,2,0)</f>
        <v>9666</v>
      </c>
      <c r="H3348" s="71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67" t="s">
        <v>1429</v>
      </c>
      <c r="B3349" s="66">
        <f t="shared" si="6857"/>
        <v>6</v>
      </c>
      <c r="C3349" s="66">
        <f t="shared" si="6860"/>
        <v>86</v>
      </c>
      <c r="E3349" s="66">
        <f t="shared" ref="E3349" si="6865">plan_id</f>
        <v>1952</v>
      </c>
      <c r="F3349" s="66">
        <f t="shared" ca="1" si="6823"/>
        <v>2004</v>
      </c>
      <c r="G3349" s="66">
        <f t="shared" ref="G3349" ca="1" si="6866">VLOOKUP(INDIRECT(CHAR(39)&amp;$A3349&amp;CHAR(39)&amp;"!r2c"&amp;$C3349,0),variables,2,0)</f>
        <v>9827</v>
      </c>
      <c r="H3349" s="71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67" t="s">
        <v>1429</v>
      </c>
      <c r="B3350" s="66">
        <f t="shared" si="6857"/>
        <v>6</v>
      </c>
      <c r="C3350" s="66">
        <f t="shared" si="6860"/>
        <v>87</v>
      </c>
      <c r="E3350" s="66">
        <f t="shared" ref="E3350" si="6867">plan_id</f>
        <v>1952</v>
      </c>
      <c r="F3350" s="66">
        <f t="shared" ca="1" si="6823"/>
        <v>2004</v>
      </c>
      <c r="G3350" s="66">
        <f t="shared" ref="G3350" ca="1" si="6868">VLOOKUP(INDIRECT(CHAR(39)&amp;$A3350&amp;CHAR(39)&amp;"!r2c"&amp;$C3350,0),variables,2,0)</f>
        <v>9657</v>
      </c>
      <c r="H3350" s="71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67" t="s">
        <v>1429</v>
      </c>
      <c r="B3351" s="66">
        <f t="shared" si="6857"/>
        <v>6</v>
      </c>
      <c r="C3351" s="66">
        <f t="shared" si="6860"/>
        <v>88</v>
      </c>
      <c r="E3351" s="66">
        <f t="shared" ref="E3351" si="6869">plan_id</f>
        <v>1952</v>
      </c>
      <c r="F3351" s="66">
        <f t="shared" ca="1" si="6823"/>
        <v>2004</v>
      </c>
      <c r="G3351" s="66">
        <f t="shared" ref="G3351" ca="1" si="6870">VLOOKUP(INDIRECT(CHAR(39)&amp;$A3351&amp;CHAR(39)&amp;"!r2c"&amp;$C3351,0),variables,2,0)</f>
        <v>9834</v>
      </c>
      <c r="H3351" s="71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67" t="s">
        <v>1429</v>
      </c>
      <c r="B3352" s="66">
        <f t="shared" si="6857"/>
        <v>6</v>
      </c>
      <c r="C3352" s="66">
        <f t="shared" si="6860"/>
        <v>89</v>
      </c>
      <c r="E3352" s="66">
        <f t="shared" ref="E3352" si="6871">plan_id</f>
        <v>1952</v>
      </c>
      <c r="F3352" s="66">
        <f t="shared" ca="1" si="6823"/>
        <v>2004</v>
      </c>
      <c r="G3352" s="66">
        <f t="shared" ref="G3352" ca="1" si="6872">VLOOKUP(INDIRECT(CHAR(39)&amp;$A3352&amp;CHAR(39)&amp;"!r2c"&amp;$C3352,0),variables,2,0)</f>
        <v>9884</v>
      </c>
      <c r="H3352" s="71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67" t="s">
        <v>1429</v>
      </c>
      <c r="B3353" s="66">
        <f t="shared" si="6857"/>
        <v>6</v>
      </c>
      <c r="C3353" s="66">
        <f t="shared" si="6860"/>
        <v>90</v>
      </c>
      <c r="E3353" s="66">
        <f t="shared" ref="E3353" si="6873">plan_id</f>
        <v>1952</v>
      </c>
      <c r="F3353" s="66">
        <f t="shared" ca="1" si="6823"/>
        <v>2004</v>
      </c>
      <c r="G3353" s="66">
        <f t="shared" ref="G3353" ca="1" si="6874">VLOOKUP(INDIRECT(CHAR(39)&amp;$A3353&amp;CHAR(39)&amp;"!r2c"&amp;$C3353,0),variables,2,0)</f>
        <v>9672</v>
      </c>
      <c r="H3353" s="71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67" t="s">
        <v>1429</v>
      </c>
      <c r="B3354" s="66">
        <f t="shared" si="6857"/>
        <v>7</v>
      </c>
      <c r="C3354" s="66">
        <f t="shared" si="6860"/>
        <v>3</v>
      </c>
      <c r="E3354" s="66">
        <f t="shared" ref="E3354" si="6875">plan_id</f>
        <v>1952</v>
      </c>
      <c r="F3354" s="66">
        <f t="shared" ca="1" si="6823"/>
        <v>2005</v>
      </c>
      <c r="G3354" s="66">
        <f t="shared" ref="G3354" ca="1" si="6876">VLOOKUP(INDIRECT(CHAR(39)&amp;$A3354&amp;CHAR(39)&amp;"!r2c"&amp;$C3354,0),variables,2,0)</f>
        <v>9704</v>
      </c>
      <c r="H3354" s="71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67" t="s">
        <v>1429</v>
      </c>
      <c r="B3355" s="66">
        <f t="shared" si="6857"/>
        <v>7</v>
      </c>
      <c r="C3355" s="66">
        <f t="shared" si="6860"/>
        <v>4</v>
      </c>
      <c r="E3355" s="66">
        <f t="shared" ref="E3355" si="6877">plan_id</f>
        <v>1952</v>
      </c>
      <c r="F3355" s="66">
        <f t="shared" ca="1" si="6823"/>
        <v>2005</v>
      </c>
      <c r="G3355" s="66">
        <f t="shared" ref="G3355" ca="1" si="6878">VLOOKUP(INDIRECT(CHAR(39)&amp;$A3355&amp;CHAR(39)&amp;"!r2c"&amp;$C3355,0),variables,2,0)</f>
        <v>9716</v>
      </c>
      <c r="H3355" s="71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67" t="s">
        <v>1429</v>
      </c>
      <c r="B3356" s="66">
        <f t="shared" si="6857"/>
        <v>7</v>
      </c>
      <c r="C3356" s="66">
        <f t="shared" si="6860"/>
        <v>5</v>
      </c>
      <c r="E3356" s="66">
        <f t="shared" ref="E3356" si="6879">plan_id</f>
        <v>1952</v>
      </c>
      <c r="F3356" s="66">
        <f t="shared" ca="1" si="6823"/>
        <v>2005</v>
      </c>
      <c r="G3356" s="66">
        <f t="shared" ref="G3356" ca="1" si="6880">VLOOKUP(INDIRECT(CHAR(39)&amp;$A3356&amp;CHAR(39)&amp;"!r2c"&amp;$C3356,0),variables,2,0)</f>
        <v>9734</v>
      </c>
      <c r="H3356" s="71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67" t="s">
        <v>1429</v>
      </c>
      <c r="B3357" s="66">
        <f t="shared" si="6857"/>
        <v>7</v>
      </c>
      <c r="C3357" s="66">
        <f t="shared" si="6860"/>
        <v>6</v>
      </c>
      <c r="E3357" s="66">
        <f t="shared" ref="E3357" si="6881">plan_id</f>
        <v>1952</v>
      </c>
      <c r="F3357" s="66">
        <f t="shared" ca="1" si="6823"/>
        <v>2005</v>
      </c>
      <c r="G3357" s="66">
        <f t="shared" ref="G3357" ca="1" si="6882">VLOOKUP(INDIRECT(CHAR(39)&amp;$A3357&amp;CHAR(39)&amp;"!r2c"&amp;$C3357,0),variables,2,0)</f>
        <v>9749</v>
      </c>
      <c r="H3357" s="71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67" t="s">
        <v>1429</v>
      </c>
      <c r="B3358" s="66">
        <f t="shared" si="6857"/>
        <v>7</v>
      </c>
      <c r="C3358" s="66">
        <f t="shared" si="6860"/>
        <v>7</v>
      </c>
      <c r="E3358" s="66">
        <f t="shared" ref="E3358" si="6883">plan_id</f>
        <v>1952</v>
      </c>
      <c r="F3358" s="66">
        <f t="shared" ca="1" si="6823"/>
        <v>2005</v>
      </c>
      <c r="G3358" s="66">
        <f t="shared" ref="G3358" ca="1" si="6884">VLOOKUP(INDIRECT(CHAR(39)&amp;$A3358&amp;CHAR(39)&amp;"!r2c"&amp;$C3358,0),variables,2,0)</f>
        <v>9755</v>
      </c>
      <c r="H3358" s="71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67" t="s">
        <v>1429</v>
      </c>
      <c r="B3359" s="66">
        <f t="shared" si="6857"/>
        <v>7</v>
      </c>
      <c r="C3359" s="66">
        <f t="shared" si="6860"/>
        <v>8</v>
      </c>
      <c r="E3359" s="66">
        <f t="shared" ref="E3359" si="6885">plan_id</f>
        <v>1952</v>
      </c>
      <c r="F3359" s="66">
        <f t="shared" ca="1" si="6823"/>
        <v>2005</v>
      </c>
      <c r="G3359" s="66">
        <f t="shared" ref="G3359" ca="1" si="6886">VLOOKUP(INDIRECT(CHAR(39)&amp;$A3359&amp;CHAR(39)&amp;"!r2c"&amp;$C3359,0),variables,2,0)</f>
        <v>9782</v>
      </c>
      <c r="H3359" s="71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67" t="s">
        <v>1429</v>
      </c>
      <c r="B3360" s="66">
        <f t="shared" si="6857"/>
        <v>7</v>
      </c>
      <c r="C3360" s="66">
        <f t="shared" si="6860"/>
        <v>9</v>
      </c>
      <c r="E3360" s="66">
        <f t="shared" ref="E3360" si="6887">plan_id</f>
        <v>1952</v>
      </c>
      <c r="F3360" s="66">
        <f t="shared" ca="1" si="6823"/>
        <v>2005</v>
      </c>
      <c r="G3360" s="66">
        <f t="shared" ref="G3360" ca="1" si="6888">VLOOKUP(INDIRECT(CHAR(39)&amp;$A3360&amp;CHAR(39)&amp;"!r2c"&amp;$C3360,0),variables,2,0)</f>
        <v>9788</v>
      </c>
      <c r="H3360" s="71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67" t="s">
        <v>1429</v>
      </c>
      <c r="B3361" s="66">
        <f t="shared" si="6857"/>
        <v>7</v>
      </c>
      <c r="C3361" s="66">
        <f t="shared" si="6860"/>
        <v>10</v>
      </c>
      <c r="E3361" s="66">
        <f t="shared" ref="E3361" si="6889">plan_id</f>
        <v>1952</v>
      </c>
      <c r="F3361" s="66">
        <f t="shared" ca="1" si="6823"/>
        <v>2005</v>
      </c>
      <c r="G3361" s="66">
        <f t="shared" ref="G3361" ca="1" si="6890">VLOOKUP(INDIRECT(CHAR(39)&amp;$A3361&amp;CHAR(39)&amp;"!r2c"&amp;$C3361,0),variables,2,0)</f>
        <v>9812</v>
      </c>
      <c r="H3361" s="71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67" t="s">
        <v>1429</v>
      </c>
      <c r="B3362" s="66">
        <f t="shared" si="6857"/>
        <v>7</v>
      </c>
      <c r="C3362" s="66">
        <f t="shared" si="6860"/>
        <v>11</v>
      </c>
      <c r="E3362" s="66">
        <f t="shared" ref="E3362" si="6891">plan_id</f>
        <v>1952</v>
      </c>
      <c r="F3362" s="66">
        <f t="shared" ca="1" si="6823"/>
        <v>2005</v>
      </c>
      <c r="G3362" s="66">
        <f t="shared" ref="G3362" ca="1" si="6892">VLOOKUP(INDIRECT(CHAR(39)&amp;$A3362&amp;CHAR(39)&amp;"!r2c"&amp;$C3362,0),variables,2,0)</f>
        <v>9815</v>
      </c>
      <c r="H3362" s="71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67" t="s">
        <v>1429</v>
      </c>
      <c r="B3363" s="66">
        <f t="shared" si="6857"/>
        <v>7</v>
      </c>
      <c r="C3363" s="66">
        <f t="shared" si="6860"/>
        <v>12</v>
      </c>
      <c r="E3363" s="66">
        <f t="shared" ref="E3363" si="6893">plan_id</f>
        <v>1952</v>
      </c>
      <c r="F3363" s="66">
        <f t="shared" ca="1" si="6823"/>
        <v>2005</v>
      </c>
      <c r="G3363" s="66">
        <f t="shared" ref="G3363" ca="1" si="6894">VLOOKUP(INDIRECT(CHAR(39)&amp;$A3363&amp;CHAR(39)&amp;"!r2c"&amp;$C3363,0),variables,2,0)</f>
        <v>9821</v>
      </c>
      <c r="H3363" s="71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67" t="s">
        <v>1429</v>
      </c>
      <c r="B3364" s="66">
        <f t="shared" si="6857"/>
        <v>7</v>
      </c>
      <c r="C3364" s="66">
        <f t="shared" si="6860"/>
        <v>13</v>
      </c>
      <c r="E3364" s="66">
        <f t="shared" ref="E3364" si="6895">plan_id</f>
        <v>1952</v>
      </c>
      <c r="F3364" s="66">
        <f t="shared" ca="1" si="6823"/>
        <v>2005</v>
      </c>
      <c r="G3364" s="66">
        <f t="shared" ref="G3364" ca="1" si="6896">VLOOKUP(INDIRECT(CHAR(39)&amp;$A3364&amp;CHAR(39)&amp;"!r2c"&amp;$C3364,0),variables,2,0)</f>
        <v>9824</v>
      </c>
      <c r="H3364" s="71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67" t="s">
        <v>1429</v>
      </c>
      <c r="B3365" s="66">
        <f t="shared" si="6857"/>
        <v>7</v>
      </c>
      <c r="C3365" s="66">
        <f t="shared" si="6860"/>
        <v>14</v>
      </c>
      <c r="E3365" s="66">
        <f t="shared" ref="E3365" si="6897">plan_id</f>
        <v>1952</v>
      </c>
      <c r="F3365" s="66">
        <f t="shared" ca="1" si="6823"/>
        <v>2005</v>
      </c>
      <c r="G3365" s="66">
        <f t="shared" ref="G3365" ca="1" si="6898">VLOOKUP(INDIRECT(CHAR(39)&amp;$A3365&amp;CHAR(39)&amp;"!r2c"&amp;$C3365,0),variables,2,0)</f>
        <v>9830</v>
      </c>
      <c r="H3365" s="71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67" t="s">
        <v>1429</v>
      </c>
      <c r="B3366" s="66">
        <f t="shared" si="6857"/>
        <v>7</v>
      </c>
      <c r="C3366" s="66">
        <f t="shared" si="6860"/>
        <v>15</v>
      </c>
      <c r="E3366" s="66">
        <f t="shared" ref="E3366" si="6899">plan_id</f>
        <v>1952</v>
      </c>
      <c r="F3366" s="66">
        <f t="shared" ca="1" si="6823"/>
        <v>2005</v>
      </c>
      <c r="G3366" s="66">
        <f t="shared" ref="G3366" ca="1" si="6900">VLOOKUP(INDIRECT(CHAR(39)&amp;$A3366&amp;CHAR(39)&amp;"!r2c"&amp;$C3366,0),variables,2,0)</f>
        <v>9833</v>
      </c>
      <c r="H3366" s="71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67" t="s">
        <v>1429</v>
      </c>
      <c r="B3367" s="66">
        <f t="shared" si="6857"/>
        <v>7</v>
      </c>
      <c r="C3367" s="66">
        <f t="shared" si="6860"/>
        <v>16</v>
      </c>
      <c r="E3367" s="66">
        <f t="shared" ref="E3367" si="6901">plan_id</f>
        <v>1952</v>
      </c>
      <c r="F3367" s="66">
        <f t="shared" ca="1" si="6823"/>
        <v>2005</v>
      </c>
      <c r="G3367" s="66">
        <f t="shared" ref="G3367" ca="1" si="6902">VLOOKUP(INDIRECT(CHAR(39)&amp;$A3367&amp;CHAR(39)&amp;"!r2c"&amp;$C3367,0),variables,2,0)</f>
        <v>9845</v>
      </c>
      <c r="H3367" s="71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67" t="s">
        <v>1429</v>
      </c>
      <c r="B3368" s="66">
        <f t="shared" si="6857"/>
        <v>7</v>
      </c>
      <c r="C3368" s="66">
        <f t="shared" si="6860"/>
        <v>17</v>
      </c>
      <c r="E3368" s="66">
        <f t="shared" ref="E3368" si="6903">plan_id</f>
        <v>1952</v>
      </c>
      <c r="F3368" s="66">
        <f t="shared" ca="1" si="6823"/>
        <v>2005</v>
      </c>
      <c r="G3368" s="66">
        <f t="shared" ref="G3368" ca="1" si="6904">VLOOKUP(INDIRECT(CHAR(39)&amp;$A3368&amp;CHAR(39)&amp;"!r2c"&amp;$C3368,0),variables,2,0)</f>
        <v>9872</v>
      </c>
      <c r="H3368" s="71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67" t="s">
        <v>1429</v>
      </c>
      <c r="B3369" s="66">
        <f t="shared" si="6857"/>
        <v>7</v>
      </c>
      <c r="C3369" s="66">
        <f t="shared" si="6860"/>
        <v>18</v>
      </c>
      <c r="E3369" s="66">
        <f t="shared" ref="E3369" si="6905">plan_id</f>
        <v>1952</v>
      </c>
      <c r="F3369" s="66">
        <f t="shared" ca="1" si="6823"/>
        <v>2005</v>
      </c>
      <c r="G3369" s="66">
        <f t="shared" ref="G3369" ca="1" si="6906">VLOOKUP(INDIRECT(CHAR(39)&amp;$A3369&amp;CHAR(39)&amp;"!r2c"&amp;$C3369,0),variables,2,0)</f>
        <v>9887</v>
      </c>
      <c r="H3369" s="71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67" t="s">
        <v>1429</v>
      </c>
      <c r="B3370" s="66">
        <f t="shared" si="6857"/>
        <v>7</v>
      </c>
      <c r="C3370" s="66">
        <f t="shared" si="6860"/>
        <v>19</v>
      </c>
      <c r="E3370" s="66">
        <f t="shared" ref="E3370" si="6907">plan_id</f>
        <v>1952</v>
      </c>
      <c r="F3370" s="66">
        <f t="shared" ca="1" si="6823"/>
        <v>2005</v>
      </c>
      <c r="G3370" s="66">
        <f t="shared" ref="G3370" ca="1" si="6908">VLOOKUP(INDIRECT(CHAR(39)&amp;$A3370&amp;CHAR(39)&amp;"!r2c"&amp;$C3370,0),variables,2,0)</f>
        <v>9914</v>
      </c>
      <c r="H3370" s="71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67" t="s">
        <v>1429</v>
      </c>
      <c r="B3371" s="66">
        <f t="shared" si="6857"/>
        <v>7</v>
      </c>
      <c r="C3371" s="66">
        <f t="shared" si="6860"/>
        <v>20</v>
      </c>
      <c r="E3371" s="66">
        <f t="shared" ref="E3371" si="6909">plan_id</f>
        <v>1952</v>
      </c>
      <c r="F3371" s="66">
        <f t="shared" ca="1" si="6823"/>
        <v>2005</v>
      </c>
      <c r="G3371" s="66">
        <f t="shared" ref="G3371" ca="1" si="6910">VLOOKUP(INDIRECT(CHAR(39)&amp;$A3371&amp;CHAR(39)&amp;"!r2c"&amp;$C3371,0),variables,2,0)</f>
        <v>9917</v>
      </c>
      <c r="H3371" s="71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67" t="s">
        <v>1429</v>
      </c>
      <c r="B3372" s="66">
        <f t="shared" si="6857"/>
        <v>7</v>
      </c>
      <c r="C3372" s="66">
        <f t="shared" si="6860"/>
        <v>21</v>
      </c>
      <c r="E3372" s="66">
        <f t="shared" ref="E3372" si="6911">plan_id</f>
        <v>1952</v>
      </c>
      <c r="F3372" s="66">
        <f t="shared" ca="1" si="6823"/>
        <v>2005</v>
      </c>
      <c r="G3372" s="66">
        <f t="shared" ref="G3372" ca="1" si="6912">VLOOKUP(INDIRECT(CHAR(39)&amp;$A3372&amp;CHAR(39)&amp;"!r2c"&amp;$C3372,0),variables,2,0)</f>
        <v>9920</v>
      </c>
      <c r="H3372" s="71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67" t="s">
        <v>1429</v>
      </c>
      <c r="B3373" s="66">
        <f t="shared" si="6857"/>
        <v>7</v>
      </c>
      <c r="C3373" s="66">
        <f t="shared" si="6860"/>
        <v>22</v>
      </c>
      <c r="E3373" s="66">
        <f t="shared" ref="E3373" si="6913">plan_id</f>
        <v>1952</v>
      </c>
      <c r="F3373" s="66">
        <f t="shared" ca="1" si="6823"/>
        <v>2005</v>
      </c>
      <c r="G3373" s="66">
        <f t="shared" ref="G3373" ca="1" si="6914">VLOOKUP(INDIRECT(CHAR(39)&amp;$A3373&amp;CHAR(39)&amp;"!r2c"&amp;$C3373,0),variables,2,0)</f>
        <v>9648</v>
      </c>
      <c r="H3373" s="71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67" t="s">
        <v>1429</v>
      </c>
      <c r="B3374" s="66">
        <f t="shared" si="6857"/>
        <v>7</v>
      </c>
      <c r="C3374" s="66">
        <f t="shared" si="6860"/>
        <v>23</v>
      </c>
      <c r="E3374" s="66">
        <f t="shared" ref="E3374" si="6915">plan_id</f>
        <v>1952</v>
      </c>
      <c r="F3374" s="66">
        <f t="shared" ca="1" si="6823"/>
        <v>2005</v>
      </c>
      <c r="G3374" s="66">
        <f t="shared" ref="G3374" ca="1" si="6916">VLOOKUP(INDIRECT(CHAR(39)&amp;$A3374&amp;CHAR(39)&amp;"!r2c"&amp;$C3374,0),variables,2,0)</f>
        <v>9713</v>
      </c>
      <c r="H3374" s="71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67" t="s">
        <v>1429</v>
      </c>
      <c r="B3375" s="66">
        <f t="shared" si="6857"/>
        <v>7</v>
      </c>
      <c r="C3375" s="66">
        <f t="shared" si="6860"/>
        <v>24</v>
      </c>
      <c r="E3375" s="66">
        <f t="shared" ref="E3375" si="6917">plan_id</f>
        <v>1952</v>
      </c>
      <c r="F3375" s="66">
        <f t="shared" ca="1" si="6823"/>
        <v>2005</v>
      </c>
      <c r="G3375" s="66">
        <f t="shared" ref="G3375" ca="1" si="6918">VLOOKUP(INDIRECT(CHAR(39)&amp;$A3375&amp;CHAR(39)&amp;"!r2c"&amp;$C3375,0),variables,2,0)</f>
        <v>9719</v>
      </c>
      <c r="H3375" s="71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67" t="s">
        <v>1429</v>
      </c>
      <c r="B3376" s="66">
        <f t="shared" si="6857"/>
        <v>7</v>
      </c>
      <c r="C3376" s="66">
        <f t="shared" si="6860"/>
        <v>25</v>
      </c>
      <c r="E3376" s="66">
        <f t="shared" ref="E3376" si="6919">plan_id</f>
        <v>1952</v>
      </c>
      <c r="F3376" s="66">
        <f t="shared" ca="1" si="6823"/>
        <v>2005</v>
      </c>
      <c r="G3376" s="66">
        <f t="shared" ref="G3376" ca="1" si="6920">VLOOKUP(INDIRECT(CHAR(39)&amp;$A3376&amp;CHAR(39)&amp;"!r2c"&amp;$C3376,0),variables,2,0)</f>
        <v>9725</v>
      </c>
      <c r="H3376" s="71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67" t="s">
        <v>1429</v>
      </c>
      <c r="B3377" s="66">
        <f t="shared" si="6857"/>
        <v>7</v>
      </c>
      <c r="C3377" s="66">
        <f t="shared" si="6860"/>
        <v>26</v>
      </c>
      <c r="E3377" s="66">
        <f t="shared" ref="E3377" si="6921">plan_id</f>
        <v>1952</v>
      </c>
      <c r="F3377" s="66">
        <f t="shared" ca="1" si="6823"/>
        <v>2005</v>
      </c>
      <c r="G3377" s="66">
        <f t="shared" ref="G3377" ca="1" si="6922">VLOOKUP(INDIRECT(CHAR(39)&amp;$A3377&amp;CHAR(39)&amp;"!r2c"&amp;$C3377,0),variables,2,0)</f>
        <v>9743</v>
      </c>
      <c r="H3377" s="71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67" t="s">
        <v>1429</v>
      </c>
      <c r="B3378" s="66">
        <f t="shared" si="6857"/>
        <v>7</v>
      </c>
      <c r="C3378" s="66">
        <f t="shared" si="6860"/>
        <v>27</v>
      </c>
      <c r="E3378" s="66">
        <f t="shared" ref="E3378" si="6923">plan_id</f>
        <v>1952</v>
      </c>
      <c r="F3378" s="66">
        <f t="shared" ca="1" si="6823"/>
        <v>2005</v>
      </c>
      <c r="G3378" s="66">
        <f t="shared" ref="G3378" ca="1" si="6924">VLOOKUP(INDIRECT(CHAR(39)&amp;$A3378&amp;CHAR(39)&amp;"!r2c"&amp;$C3378,0),variables,2,0)</f>
        <v>9746</v>
      </c>
      <c r="H3378" s="71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67" t="s">
        <v>1429</v>
      </c>
      <c r="B3379" s="66">
        <f t="shared" si="6857"/>
        <v>7</v>
      </c>
      <c r="C3379" s="66">
        <f t="shared" si="6860"/>
        <v>28</v>
      </c>
      <c r="E3379" s="66">
        <f t="shared" ref="E3379" si="6925">plan_id</f>
        <v>1952</v>
      </c>
      <c r="F3379" s="66">
        <f t="shared" ca="1" si="6823"/>
        <v>2005</v>
      </c>
      <c r="G3379" s="66">
        <f t="shared" ref="G3379" ca="1" si="6926">VLOOKUP(INDIRECT(CHAR(39)&amp;$A3379&amp;CHAR(39)&amp;"!r2c"&amp;$C3379,0),variables,2,0)</f>
        <v>9761</v>
      </c>
      <c r="H3379" s="71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67" t="s">
        <v>1429</v>
      </c>
      <c r="B3380" s="66">
        <f t="shared" si="6857"/>
        <v>7</v>
      </c>
      <c r="C3380" s="66">
        <f t="shared" si="6860"/>
        <v>29</v>
      </c>
      <c r="E3380" s="66">
        <f t="shared" ref="E3380" si="6927">plan_id</f>
        <v>1952</v>
      </c>
      <c r="F3380" s="66">
        <f t="shared" ca="1" si="6823"/>
        <v>2005</v>
      </c>
      <c r="G3380" s="66">
        <f t="shared" ref="G3380" ca="1" si="6928">VLOOKUP(INDIRECT(CHAR(39)&amp;$A3380&amp;CHAR(39)&amp;"!r2c"&amp;$C3380,0),variables,2,0)</f>
        <v>9764</v>
      </c>
      <c r="H3380" s="71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67" t="s">
        <v>1429</v>
      </c>
      <c r="B3381" s="66">
        <f t="shared" si="6857"/>
        <v>7</v>
      </c>
      <c r="C3381" s="66">
        <f t="shared" si="6860"/>
        <v>30</v>
      </c>
      <c r="E3381" s="66">
        <f t="shared" ref="E3381" si="6929">plan_id</f>
        <v>1952</v>
      </c>
      <c r="F3381" s="66">
        <f t="shared" ca="1" si="6823"/>
        <v>2005</v>
      </c>
      <c r="G3381" s="66">
        <f t="shared" ref="G3381" ca="1" si="6930">VLOOKUP(INDIRECT(CHAR(39)&amp;$A3381&amp;CHAR(39)&amp;"!r2c"&amp;$C3381,0),variables,2,0)</f>
        <v>9767</v>
      </c>
      <c r="H3381" s="71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67" t="s">
        <v>1429</v>
      </c>
      <c r="B3382" s="66">
        <f t="shared" si="6857"/>
        <v>7</v>
      </c>
      <c r="C3382" s="66">
        <f t="shared" si="6860"/>
        <v>31</v>
      </c>
      <c r="E3382" s="66">
        <f t="shared" ref="E3382" si="6931">plan_id</f>
        <v>1952</v>
      </c>
      <c r="F3382" s="66">
        <f t="shared" ca="1" si="6823"/>
        <v>2005</v>
      </c>
      <c r="G3382" s="66">
        <f t="shared" ref="G3382" ca="1" si="6932">VLOOKUP(INDIRECT(CHAR(39)&amp;$A3382&amp;CHAR(39)&amp;"!r2c"&amp;$C3382,0),variables,2,0)</f>
        <v>9770</v>
      </c>
      <c r="H3382" s="71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67" t="s">
        <v>1429</v>
      </c>
      <c r="B3383" s="66">
        <f t="shared" si="6857"/>
        <v>7</v>
      </c>
      <c r="C3383" s="66">
        <f t="shared" si="6860"/>
        <v>32</v>
      </c>
      <c r="E3383" s="66">
        <f t="shared" ref="E3383" si="6933">plan_id</f>
        <v>1952</v>
      </c>
      <c r="F3383" s="66">
        <f t="shared" ca="1" si="6823"/>
        <v>2005</v>
      </c>
      <c r="G3383" s="66">
        <f t="shared" ref="G3383" ca="1" si="6934">VLOOKUP(INDIRECT(CHAR(39)&amp;$A3383&amp;CHAR(39)&amp;"!r2c"&amp;$C3383,0),variables,2,0)</f>
        <v>9773</v>
      </c>
      <c r="H3383" s="71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67" t="s">
        <v>1429</v>
      </c>
      <c r="B3384" s="66">
        <f t="shared" si="6857"/>
        <v>7</v>
      </c>
      <c r="C3384" s="66">
        <f t="shared" si="6860"/>
        <v>33</v>
      </c>
      <c r="E3384" s="66">
        <f t="shared" ref="E3384" si="6935">plan_id</f>
        <v>1952</v>
      </c>
      <c r="F3384" s="66">
        <f t="shared" ca="1" si="6823"/>
        <v>2005</v>
      </c>
      <c r="G3384" s="66">
        <f t="shared" ref="G3384" ca="1" si="6936">VLOOKUP(INDIRECT(CHAR(39)&amp;$A3384&amp;CHAR(39)&amp;"!r2c"&amp;$C3384,0),variables,2,0)</f>
        <v>9776</v>
      </c>
      <c r="H3384" s="71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67" t="s">
        <v>1429</v>
      </c>
      <c r="B3385" s="66">
        <f t="shared" si="6857"/>
        <v>7</v>
      </c>
      <c r="C3385" s="66">
        <f t="shared" si="6860"/>
        <v>34</v>
      </c>
      <c r="E3385" s="66">
        <f t="shared" ref="E3385" si="6937">plan_id</f>
        <v>1952</v>
      </c>
      <c r="F3385" s="66">
        <f t="shared" ca="1" si="6823"/>
        <v>2005</v>
      </c>
      <c r="G3385" s="66">
        <f t="shared" ref="G3385" ca="1" si="6938">VLOOKUP(INDIRECT(CHAR(39)&amp;$A3385&amp;CHAR(39)&amp;"!r2c"&amp;$C3385,0),variables,2,0)</f>
        <v>9779</v>
      </c>
      <c r="H3385" s="71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67" t="s">
        <v>1429</v>
      </c>
      <c r="B3386" s="66">
        <f t="shared" si="6857"/>
        <v>7</v>
      </c>
      <c r="C3386" s="66">
        <f t="shared" si="6860"/>
        <v>35</v>
      </c>
      <c r="E3386" s="66">
        <f t="shared" ref="E3386" si="6939">plan_id</f>
        <v>1952</v>
      </c>
      <c r="F3386" s="66">
        <f t="shared" ca="1" si="6823"/>
        <v>2005</v>
      </c>
      <c r="G3386" s="66">
        <f t="shared" ref="G3386" ca="1" si="6940">VLOOKUP(INDIRECT(CHAR(39)&amp;$A3386&amp;CHAR(39)&amp;"!r2c"&amp;$C3386,0),variables,2,0)</f>
        <v>9785</v>
      </c>
      <c r="H3386" s="71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67" t="s">
        <v>1429</v>
      </c>
      <c r="B3387" s="66">
        <f t="shared" si="6857"/>
        <v>7</v>
      </c>
      <c r="C3387" s="66">
        <f t="shared" si="6860"/>
        <v>36</v>
      </c>
      <c r="E3387" s="66">
        <f t="shared" ref="E3387" si="6941">plan_id</f>
        <v>1952</v>
      </c>
      <c r="F3387" s="66">
        <f t="shared" ca="1" si="6823"/>
        <v>2005</v>
      </c>
      <c r="G3387" s="66">
        <f t="shared" ref="G3387" ca="1" si="6942">VLOOKUP(INDIRECT(CHAR(39)&amp;$A3387&amp;CHAR(39)&amp;"!r2c"&amp;$C3387,0),variables,2,0)</f>
        <v>9794</v>
      </c>
      <c r="H3387" s="71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67" t="s">
        <v>1429</v>
      </c>
      <c r="B3388" s="66">
        <f t="shared" si="6857"/>
        <v>7</v>
      </c>
      <c r="C3388" s="66">
        <f t="shared" si="6860"/>
        <v>37</v>
      </c>
      <c r="E3388" s="66">
        <f t="shared" ref="E3388" si="6943">plan_id</f>
        <v>1952</v>
      </c>
      <c r="F3388" s="66">
        <f t="shared" ca="1" si="6823"/>
        <v>2005</v>
      </c>
      <c r="G3388" s="66">
        <f t="shared" ref="G3388" ca="1" si="6944">VLOOKUP(INDIRECT(CHAR(39)&amp;$A3388&amp;CHAR(39)&amp;"!r2c"&amp;$C3388,0),variables,2,0)</f>
        <v>9797</v>
      </c>
      <c r="H3388" s="71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67" t="s">
        <v>1429</v>
      </c>
      <c r="B3389" s="66">
        <f t="shared" si="6857"/>
        <v>7</v>
      </c>
      <c r="C3389" s="66">
        <f t="shared" si="6860"/>
        <v>38</v>
      </c>
      <c r="E3389" s="66">
        <f t="shared" ref="E3389" si="6945">plan_id</f>
        <v>1952</v>
      </c>
      <c r="F3389" s="66">
        <f t="shared" ca="1" si="6823"/>
        <v>2005</v>
      </c>
      <c r="G3389" s="66">
        <f t="shared" ref="G3389" ca="1" si="6946">VLOOKUP(INDIRECT(CHAR(39)&amp;$A3389&amp;CHAR(39)&amp;"!r2c"&amp;$C3389,0),variables,2,0)</f>
        <v>9806</v>
      </c>
      <c r="H3389" s="71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67" t="s">
        <v>1429</v>
      </c>
      <c r="B3390" s="66">
        <f t="shared" si="6857"/>
        <v>7</v>
      </c>
      <c r="C3390" s="66">
        <f t="shared" si="6860"/>
        <v>39</v>
      </c>
      <c r="E3390" s="66">
        <f t="shared" ref="E3390" si="6947">plan_id</f>
        <v>1952</v>
      </c>
      <c r="F3390" s="66">
        <f t="shared" ca="1" si="6823"/>
        <v>2005</v>
      </c>
      <c r="G3390" s="66">
        <f t="shared" ref="G3390" ca="1" si="6948">VLOOKUP(INDIRECT(CHAR(39)&amp;$A3390&amp;CHAR(39)&amp;"!r2c"&amp;$C3390,0),variables,2,0)</f>
        <v>9809</v>
      </c>
      <c r="H3390" s="71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67" t="s">
        <v>1429</v>
      </c>
      <c r="B3391" s="66">
        <f t="shared" si="6857"/>
        <v>7</v>
      </c>
      <c r="C3391" s="66">
        <f t="shared" si="6860"/>
        <v>40</v>
      </c>
      <c r="E3391" s="66">
        <f t="shared" ref="E3391" si="6949">plan_id</f>
        <v>1952</v>
      </c>
      <c r="F3391" s="66">
        <f t="shared" ca="1" si="6823"/>
        <v>2005</v>
      </c>
      <c r="G3391" s="66">
        <f t="shared" ref="G3391" ca="1" si="6950">VLOOKUP(INDIRECT(CHAR(39)&amp;$A3391&amp;CHAR(39)&amp;"!r2c"&amp;$C3391,0),variables,2,0)</f>
        <v>9818</v>
      </c>
      <c r="H3391" s="71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67" t="s">
        <v>1429</v>
      </c>
      <c r="B3392" s="66">
        <f t="shared" si="6857"/>
        <v>7</v>
      </c>
      <c r="C3392" s="66">
        <f t="shared" si="6860"/>
        <v>41</v>
      </c>
      <c r="E3392" s="66">
        <f t="shared" ref="E3392" si="6951">plan_id</f>
        <v>1952</v>
      </c>
      <c r="F3392" s="66">
        <f t="shared" ca="1" si="6823"/>
        <v>2005</v>
      </c>
      <c r="G3392" s="66">
        <f t="shared" ref="G3392" ca="1" si="6952">VLOOKUP(INDIRECT(CHAR(39)&amp;$A3392&amp;CHAR(39)&amp;"!r2c"&amp;$C3392,0),variables,2,0)</f>
        <v>9839</v>
      </c>
      <c r="H3392" s="71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67" t="s">
        <v>1429</v>
      </c>
      <c r="B3393" s="66">
        <f t="shared" si="6857"/>
        <v>7</v>
      </c>
      <c r="C3393" s="66">
        <f t="shared" si="6860"/>
        <v>42</v>
      </c>
      <c r="E3393" s="66">
        <f t="shared" ref="E3393" si="6953">plan_id</f>
        <v>1952</v>
      </c>
      <c r="F3393" s="66">
        <f t="shared" ref="F3393:F3456" ca="1" si="6954">INDIRECT(CHAR(39)&amp;$A3393&amp;CHAR(39)&amp;"!r"&amp;$B3393&amp;"c2",0)</f>
        <v>2005</v>
      </c>
      <c r="G3393" s="66">
        <f t="shared" ref="G3393" ca="1" si="6955">VLOOKUP(INDIRECT(CHAR(39)&amp;$A3393&amp;CHAR(39)&amp;"!r2c"&amp;$C3393,0),variables,2,0)</f>
        <v>9860</v>
      </c>
      <c r="H3393" s="71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67" t="s">
        <v>1429</v>
      </c>
      <c r="B3394" s="66">
        <f t="shared" si="6857"/>
        <v>7</v>
      </c>
      <c r="C3394" s="66">
        <f t="shared" si="6860"/>
        <v>43</v>
      </c>
      <c r="E3394" s="66">
        <f t="shared" ref="E3394" si="6956">plan_id</f>
        <v>1952</v>
      </c>
      <c r="F3394" s="66">
        <f t="shared" ca="1" si="6954"/>
        <v>2005</v>
      </c>
      <c r="G3394" s="66">
        <f t="shared" ref="G3394" ca="1" si="6957">VLOOKUP(INDIRECT(CHAR(39)&amp;$A3394&amp;CHAR(39)&amp;"!r2c"&amp;$C3394,0),variables,2,0)</f>
        <v>9863</v>
      </c>
      <c r="H3394" s="71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67" t="s">
        <v>1429</v>
      </c>
      <c r="B3395" s="66">
        <f t="shared" si="6857"/>
        <v>7</v>
      </c>
      <c r="C3395" s="66">
        <f t="shared" si="6860"/>
        <v>44</v>
      </c>
      <c r="E3395" s="66">
        <f t="shared" ref="E3395" si="6958">plan_id</f>
        <v>1952</v>
      </c>
      <c r="F3395" s="66">
        <f t="shared" ca="1" si="6954"/>
        <v>2005</v>
      </c>
      <c r="G3395" s="66">
        <f t="shared" ref="G3395" ca="1" si="6959">VLOOKUP(INDIRECT(CHAR(39)&amp;$A3395&amp;CHAR(39)&amp;"!r2c"&amp;$C3395,0),variables,2,0)</f>
        <v>9878</v>
      </c>
      <c r="H3395" s="71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67" t="s">
        <v>1429</v>
      </c>
      <c r="B3396" s="66">
        <f t="shared" si="6857"/>
        <v>7</v>
      </c>
      <c r="C3396" s="66">
        <f t="shared" si="6860"/>
        <v>45</v>
      </c>
      <c r="E3396" s="66">
        <f t="shared" ref="E3396" si="6960">plan_id</f>
        <v>1952</v>
      </c>
      <c r="F3396" s="66">
        <f t="shared" ca="1" si="6954"/>
        <v>2005</v>
      </c>
      <c r="G3396" s="66">
        <f t="shared" ref="G3396" ca="1" si="6961">VLOOKUP(INDIRECT(CHAR(39)&amp;$A3396&amp;CHAR(39)&amp;"!r2c"&amp;$C3396,0),variables,2,0)</f>
        <v>9923</v>
      </c>
      <c r="H3396" s="71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67" t="s">
        <v>1429</v>
      </c>
      <c r="B3397" s="66">
        <f t="shared" si="6857"/>
        <v>7</v>
      </c>
      <c r="C3397" s="66">
        <f t="shared" si="6860"/>
        <v>46</v>
      </c>
      <c r="E3397" s="66">
        <f t="shared" ref="E3397" si="6962">plan_id</f>
        <v>1952</v>
      </c>
      <c r="F3397" s="66">
        <f t="shared" ca="1" si="6954"/>
        <v>2005</v>
      </c>
      <c r="G3397" s="66">
        <f t="shared" ref="G3397" ca="1" si="6963">VLOOKUP(INDIRECT(CHAR(39)&amp;$A3397&amp;CHAR(39)&amp;"!r2c"&amp;$C3397,0),variables,2,0)</f>
        <v>9932</v>
      </c>
      <c r="H3397" s="71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67" t="s">
        <v>1429</v>
      </c>
      <c r="B3398" s="66">
        <f t="shared" si="6857"/>
        <v>7</v>
      </c>
      <c r="C3398" s="66">
        <f t="shared" si="6860"/>
        <v>47</v>
      </c>
      <c r="E3398" s="66">
        <f t="shared" ref="E3398" si="6964">plan_id</f>
        <v>1952</v>
      </c>
      <c r="F3398" s="66">
        <f t="shared" ca="1" si="6954"/>
        <v>2005</v>
      </c>
      <c r="G3398" s="66">
        <f t="shared" ref="G3398" ca="1" si="6965">VLOOKUP(INDIRECT(CHAR(39)&amp;$A3398&amp;CHAR(39)&amp;"!r2c"&amp;$C3398,0),variables,2,0)</f>
        <v>9935</v>
      </c>
      <c r="H3398" s="71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67" t="s">
        <v>1429</v>
      </c>
      <c r="B3399" s="66">
        <f t="shared" si="6857"/>
        <v>7</v>
      </c>
      <c r="C3399" s="66">
        <f t="shared" si="6860"/>
        <v>48</v>
      </c>
      <c r="E3399" s="66">
        <f t="shared" ref="E3399" si="6966">plan_id</f>
        <v>1952</v>
      </c>
      <c r="F3399" s="66">
        <f t="shared" ca="1" si="6954"/>
        <v>2005</v>
      </c>
      <c r="G3399" s="66">
        <f t="shared" ref="G3399" ca="1" si="6967">VLOOKUP(INDIRECT(CHAR(39)&amp;$A3399&amp;CHAR(39)&amp;"!r2c"&amp;$C3399,0),variables,2,0)</f>
        <v>9651</v>
      </c>
      <c r="H3399" s="71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67" t="s">
        <v>1429</v>
      </c>
      <c r="B3400" s="66">
        <f t="shared" si="6857"/>
        <v>7</v>
      </c>
      <c r="C3400" s="66">
        <f t="shared" si="6860"/>
        <v>49</v>
      </c>
      <c r="E3400" s="66">
        <f t="shared" ref="E3400" si="6968">plan_id</f>
        <v>1952</v>
      </c>
      <c r="F3400" s="66">
        <f t="shared" ca="1" si="6954"/>
        <v>2005</v>
      </c>
      <c r="G3400" s="66">
        <f t="shared" ref="G3400" ca="1" si="6969">VLOOKUP(INDIRECT(CHAR(39)&amp;$A3400&amp;CHAR(39)&amp;"!r2c"&amp;$C3400,0),variables,2,0)</f>
        <v>9722</v>
      </c>
      <c r="H3400" s="71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67" t="s">
        <v>1429</v>
      </c>
      <c r="B3401" s="66">
        <f t="shared" si="6857"/>
        <v>7</v>
      </c>
      <c r="C3401" s="66">
        <f t="shared" si="6860"/>
        <v>50</v>
      </c>
      <c r="E3401" s="66">
        <f t="shared" ref="E3401" si="6970">plan_id</f>
        <v>1952</v>
      </c>
      <c r="F3401" s="66">
        <f t="shared" ca="1" si="6954"/>
        <v>2005</v>
      </c>
      <c r="G3401" s="66">
        <f t="shared" ref="G3401" ca="1" si="6971">VLOOKUP(INDIRECT(CHAR(39)&amp;$A3401&amp;CHAR(39)&amp;"!r2c"&amp;$C3401,0),variables,2,0)</f>
        <v>9848</v>
      </c>
      <c r="H3401" s="71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67" t="s">
        <v>1429</v>
      </c>
      <c r="B3402" s="66">
        <f t="shared" si="6857"/>
        <v>7</v>
      </c>
      <c r="C3402" s="66">
        <f t="shared" si="6860"/>
        <v>51</v>
      </c>
      <c r="E3402" s="66">
        <f t="shared" ref="E3402" si="6972">plan_id</f>
        <v>1952</v>
      </c>
      <c r="F3402" s="66">
        <f t="shared" ca="1" si="6954"/>
        <v>2005</v>
      </c>
      <c r="G3402" s="66">
        <f t="shared" ref="G3402" ca="1" si="6973">VLOOKUP(INDIRECT(CHAR(39)&amp;$A3402&amp;CHAR(39)&amp;"!r2c"&amp;$C3402,0),variables,2,0)</f>
        <v>9866</v>
      </c>
      <c r="H3402" s="71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67" t="s">
        <v>1429</v>
      </c>
      <c r="B3403" s="66">
        <f t="shared" si="6857"/>
        <v>7</v>
      </c>
      <c r="C3403" s="66">
        <f t="shared" si="6860"/>
        <v>52</v>
      </c>
      <c r="E3403" s="66">
        <f t="shared" ref="E3403" si="6974">plan_id</f>
        <v>1952</v>
      </c>
      <c r="F3403" s="66">
        <f t="shared" ca="1" si="6954"/>
        <v>2005</v>
      </c>
      <c r="G3403" s="66">
        <f t="shared" ref="G3403" ca="1" si="6975">VLOOKUP(INDIRECT(CHAR(39)&amp;$A3403&amp;CHAR(39)&amp;"!r2c"&amp;$C3403,0),variables,2,0)</f>
        <v>9899</v>
      </c>
      <c r="H3403" s="71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67" t="s">
        <v>1429</v>
      </c>
      <c r="B3404" s="66">
        <f t="shared" si="6857"/>
        <v>7</v>
      </c>
      <c r="C3404" s="66">
        <f t="shared" si="6860"/>
        <v>53</v>
      </c>
      <c r="E3404" s="66">
        <f t="shared" ref="E3404" si="6976">plan_id</f>
        <v>1952</v>
      </c>
      <c r="F3404" s="66">
        <f t="shared" ca="1" si="6954"/>
        <v>2005</v>
      </c>
      <c r="G3404" s="66">
        <f t="shared" ref="G3404" ca="1" si="6977">VLOOKUP(INDIRECT(CHAR(39)&amp;$A3404&amp;CHAR(39)&amp;"!r2c"&amp;$C3404,0),variables,2,0)</f>
        <v>9905</v>
      </c>
      <c r="H3404" s="71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67" t="s">
        <v>1429</v>
      </c>
      <c r="B3405" s="66">
        <f t="shared" si="6857"/>
        <v>7</v>
      </c>
      <c r="C3405" s="66">
        <f t="shared" si="6860"/>
        <v>54</v>
      </c>
      <c r="E3405" s="66">
        <f t="shared" ref="E3405" si="6978">plan_id</f>
        <v>1952</v>
      </c>
      <c r="F3405" s="66">
        <f t="shared" ca="1" si="6954"/>
        <v>2005</v>
      </c>
      <c r="G3405" s="66">
        <f t="shared" ref="G3405" ca="1" si="6979">VLOOKUP(INDIRECT(CHAR(39)&amp;$A3405&amp;CHAR(39)&amp;"!r2c"&amp;$C3405,0),variables,2,0)</f>
        <v>9929</v>
      </c>
      <c r="H3405" s="71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67" t="s">
        <v>1429</v>
      </c>
      <c r="B3406" s="66">
        <f t="shared" si="6857"/>
        <v>7</v>
      </c>
      <c r="C3406" s="66">
        <f t="shared" si="6860"/>
        <v>55</v>
      </c>
      <c r="E3406" s="66">
        <f t="shared" ref="E3406" si="6980">plan_id</f>
        <v>1952</v>
      </c>
      <c r="F3406" s="66">
        <f t="shared" ca="1" si="6954"/>
        <v>2005</v>
      </c>
      <c r="G3406" s="66">
        <f t="shared" ref="G3406" ca="1" si="6981">VLOOKUP(INDIRECT(CHAR(39)&amp;$A3406&amp;CHAR(39)&amp;"!r2c"&amp;$C3406,0),variables,2,0)</f>
        <v>9654</v>
      </c>
      <c r="H3406" s="71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67" t="s">
        <v>1429</v>
      </c>
      <c r="B3407" s="66">
        <f t="shared" si="6857"/>
        <v>7</v>
      </c>
      <c r="C3407" s="66">
        <f t="shared" si="6860"/>
        <v>56</v>
      </c>
      <c r="E3407" s="66">
        <f t="shared" ref="E3407" si="6982">plan_id</f>
        <v>1952</v>
      </c>
      <c r="F3407" s="66">
        <f t="shared" ca="1" si="6954"/>
        <v>2005</v>
      </c>
      <c r="G3407" s="66">
        <f t="shared" ref="G3407" ca="1" si="6983">VLOOKUP(INDIRECT(CHAR(39)&amp;$A3407&amp;CHAR(39)&amp;"!r2c"&amp;$C3407,0),variables,2,0)</f>
        <v>9707</v>
      </c>
      <c r="H3407" s="71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67" t="s">
        <v>1429</v>
      </c>
      <c r="B3408" s="66">
        <f t="shared" si="6857"/>
        <v>7</v>
      </c>
      <c r="C3408" s="66">
        <f t="shared" si="6860"/>
        <v>57</v>
      </c>
      <c r="E3408" s="66">
        <f t="shared" ref="E3408" si="6984">plan_id</f>
        <v>1952</v>
      </c>
      <c r="F3408" s="66">
        <f t="shared" ca="1" si="6954"/>
        <v>2005</v>
      </c>
      <c r="G3408" s="66">
        <f t="shared" ref="G3408" ca="1" si="6985">VLOOKUP(INDIRECT(CHAR(39)&amp;$A3408&amp;CHAR(39)&amp;"!r2c"&amp;$C3408,0),variables,2,0)</f>
        <v>9669</v>
      </c>
      <c r="H3408" s="71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67" t="s">
        <v>1429</v>
      </c>
      <c r="B3409" s="66">
        <f t="shared" si="6857"/>
        <v>7</v>
      </c>
      <c r="C3409" s="66">
        <f t="shared" si="6860"/>
        <v>58</v>
      </c>
      <c r="E3409" s="66">
        <f t="shared" ref="E3409" si="6986">plan_id</f>
        <v>1952</v>
      </c>
      <c r="F3409" s="66">
        <f t="shared" ca="1" si="6954"/>
        <v>2005</v>
      </c>
      <c r="G3409" s="66">
        <f t="shared" ref="G3409" ca="1" si="6987">VLOOKUP(INDIRECT(CHAR(39)&amp;$A3409&amp;CHAR(39)&amp;"!r2c"&amp;$C3409,0),variables,2,0)</f>
        <v>9851</v>
      </c>
      <c r="H3409" s="71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67" t="s">
        <v>1429</v>
      </c>
      <c r="B3410" s="66">
        <f t="shared" ref="B3410:B3473" si="6988">B3322+1</f>
        <v>7</v>
      </c>
      <c r="C3410" s="66">
        <f t="shared" si="6860"/>
        <v>59</v>
      </c>
      <c r="E3410" s="66">
        <f t="shared" ref="E3410" si="6989">plan_id</f>
        <v>1952</v>
      </c>
      <c r="F3410" s="66">
        <f t="shared" ca="1" si="6954"/>
        <v>2005</v>
      </c>
      <c r="G3410" s="66">
        <f t="shared" ref="G3410" ca="1" si="6990">VLOOKUP(INDIRECT(CHAR(39)&amp;$A3410&amp;CHAR(39)&amp;"!r2c"&amp;$C3410,0),variables,2,0)</f>
        <v>9890</v>
      </c>
      <c r="H3410" s="71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67" t="s">
        <v>1429</v>
      </c>
      <c r="B3411" s="66">
        <f t="shared" si="6988"/>
        <v>7</v>
      </c>
      <c r="C3411" s="66">
        <f t="shared" ref="C3411:C3474" si="6991">C3323</f>
        <v>60</v>
      </c>
      <c r="E3411" s="66">
        <f t="shared" ref="E3411" si="6992">plan_id</f>
        <v>1952</v>
      </c>
      <c r="F3411" s="66">
        <f t="shared" ca="1" si="6954"/>
        <v>2005</v>
      </c>
      <c r="G3411" s="66">
        <f t="shared" ref="G3411" ca="1" si="6993">VLOOKUP(INDIRECT(CHAR(39)&amp;$A3411&amp;CHAR(39)&amp;"!r2c"&amp;$C3411,0),variables,2,0)</f>
        <v>9893</v>
      </c>
      <c r="H3411" s="71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67" t="s">
        <v>1429</v>
      </c>
      <c r="B3412" s="66">
        <f t="shared" si="6988"/>
        <v>7</v>
      </c>
      <c r="C3412" s="66">
        <f t="shared" si="6991"/>
        <v>61</v>
      </c>
      <c r="E3412" s="66">
        <f t="shared" ref="E3412" si="6994">plan_id</f>
        <v>1952</v>
      </c>
      <c r="F3412" s="66">
        <f t="shared" ca="1" si="6954"/>
        <v>2005</v>
      </c>
      <c r="G3412" s="66">
        <f t="shared" ref="G3412" ca="1" si="6995">VLOOKUP(INDIRECT(CHAR(39)&amp;$A3412&amp;CHAR(39)&amp;"!r2c"&amp;$C3412,0),variables,2,0)</f>
        <v>9896</v>
      </c>
      <c r="H3412" s="71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67" t="s">
        <v>1429</v>
      </c>
      <c r="B3413" s="66">
        <f t="shared" si="6988"/>
        <v>7</v>
      </c>
      <c r="C3413" s="66">
        <f t="shared" si="6991"/>
        <v>62</v>
      </c>
      <c r="E3413" s="66">
        <f t="shared" ref="E3413" si="6996">plan_id</f>
        <v>1952</v>
      </c>
      <c r="F3413" s="66">
        <f t="shared" ca="1" si="6954"/>
        <v>2005</v>
      </c>
      <c r="G3413" s="66">
        <f t="shared" ref="G3413" ca="1" si="6997">VLOOKUP(INDIRECT(CHAR(39)&amp;$A3413&amp;CHAR(39)&amp;"!r2c"&amp;$C3413,0),variables,2,0)</f>
        <v>9660</v>
      </c>
      <c r="H3413" s="71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67" t="s">
        <v>1429</v>
      </c>
      <c r="B3414" s="66">
        <f t="shared" si="6988"/>
        <v>7</v>
      </c>
      <c r="C3414" s="66">
        <f t="shared" si="6991"/>
        <v>63</v>
      </c>
      <c r="E3414" s="66">
        <f t="shared" ref="E3414" si="6998">plan_id</f>
        <v>1952</v>
      </c>
      <c r="F3414" s="66">
        <f t="shared" ca="1" si="6954"/>
        <v>2005</v>
      </c>
      <c r="G3414" s="66">
        <f t="shared" ref="G3414" ca="1" si="6999">VLOOKUP(INDIRECT(CHAR(39)&amp;$A3414&amp;CHAR(39)&amp;"!r2c"&amp;$C3414,0),variables,2,0)</f>
        <v>9701</v>
      </c>
      <c r="H3414" s="71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67" t="s">
        <v>1429</v>
      </c>
      <c r="B3415" s="66">
        <f t="shared" si="6988"/>
        <v>7</v>
      </c>
      <c r="C3415" s="66">
        <f t="shared" si="6991"/>
        <v>64</v>
      </c>
      <c r="E3415" s="66">
        <f t="shared" ref="E3415" si="7000">plan_id</f>
        <v>1952</v>
      </c>
      <c r="F3415" s="66">
        <f t="shared" ca="1" si="6954"/>
        <v>2005</v>
      </c>
      <c r="G3415" s="66">
        <f t="shared" ref="G3415" ca="1" si="7001">VLOOKUP(INDIRECT(CHAR(39)&amp;$A3415&amp;CHAR(39)&amp;"!r2c"&amp;$C3415,0),variables,2,0)</f>
        <v>9728</v>
      </c>
      <c r="H3415" s="71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67" t="s">
        <v>1429</v>
      </c>
      <c r="B3416" s="66">
        <f t="shared" si="6988"/>
        <v>7</v>
      </c>
      <c r="C3416" s="66">
        <f t="shared" si="6991"/>
        <v>65</v>
      </c>
      <c r="E3416" s="66">
        <f t="shared" ref="E3416" si="7002">plan_id</f>
        <v>1952</v>
      </c>
      <c r="F3416" s="66">
        <f t="shared" ca="1" si="6954"/>
        <v>2005</v>
      </c>
      <c r="G3416" s="66">
        <f t="shared" ref="G3416" ca="1" si="7003">VLOOKUP(INDIRECT(CHAR(39)&amp;$A3416&amp;CHAR(39)&amp;"!r2c"&amp;$C3416,0),variables,2,0)</f>
        <v>9731</v>
      </c>
      <c r="H3416" s="71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67" t="s">
        <v>1429</v>
      </c>
      <c r="B3417" s="66">
        <f t="shared" si="6988"/>
        <v>7</v>
      </c>
      <c r="C3417" s="66">
        <f t="shared" si="6991"/>
        <v>66</v>
      </c>
      <c r="E3417" s="66">
        <f t="shared" ref="E3417" si="7004">plan_id</f>
        <v>1952</v>
      </c>
      <c r="F3417" s="66">
        <f t="shared" ca="1" si="6954"/>
        <v>2005</v>
      </c>
      <c r="G3417" s="66">
        <f t="shared" ref="G3417" ca="1" si="7005">VLOOKUP(INDIRECT(CHAR(39)&amp;$A3417&amp;CHAR(39)&amp;"!r2c"&amp;$C3417,0),variables,2,0)</f>
        <v>9737</v>
      </c>
      <c r="H3417" s="71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67" t="s">
        <v>1429</v>
      </c>
      <c r="B3418" s="66">
        <f t="shared" si="6988"/>
        <v>7</v>
      </c>
      <c r="C3418" s="66">
        <f t="shared" si="6991"/>
        <v>67</v>
      </c>
      <c r="E3418" s="66">
        <f t="shared" ref="E3418" si="7006">plan_id</f>
        <v>1952</v>
      </c>
      <c r="F3418" s="66">
        <f t="shared" ca="1" si="6954"/>
        <v>2005</v>
      </c>
      <c r="G3418" s="66">
        <f t="shared" ref="G3418" ca="1" si="7007">VLOOKUP(INDIRECT(CHAR(39)&amp;$A3418&amp;CHAR(39)&amp;"!r2c"&amp;$C3418,0),variables,2,0)</f>
        <v>9740</v>
      </c>
      <c r="H3418" s="71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67" t="s">
        <v>1429</v>
      </c>
      <c r="B3419" s="66">
        <f t="shared" si="6988"/>
        <v>7</v>
      </c>
      <c r="C3419" s="66">
        <f t="shared" si="6991"/>
        <v>68</v>
      </c>
      <c r="E3419" s="66">
        <f t="shared" ref="E3419" si="7008">plan_id</f>
        <v>1952</v>
      </c>
      <c r="F3419" s="66">
        <f t="shared" ca="1" si="6954"/>
        <v>2005</v>
      </c>
      <c r="G3419" s="66">
        <f t="shared" ref="G3419" ca="1" si="7009">VLOOKUP(INDIRECT(CHAR(39)&amp;$A3419&amp;CHAR(39)&amp;"!r2c"&amp;$C3419,0),variables,2,0)</f>
        <v>9752</v>
      </c>
      <c r="H3419" s="71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67" t="s">
        <v>1429</v>
      </c>
      <c r="B3420" s="66">
        <f t="shared" si="6988"/>
        <v>7</v>
      </c>
      <c r="C3420" s="66">
        <f t="shared" si="6991"/>
        <v>69</v>
      </c>
      <c r="E3420" s="66">
        <f t="shared" ref="E3420" si="7010">plan_id</f>
        <v>1952</v>
      </c>
      <c r="F3420" s="66">
        <f t="shared" ca="1" si="6954"/>
        <v>2005</v>
      </c>
      <c r="G3420" s="66">
        <f t="shared" ref="G3420" ca="1" si="7011">VLOOKUP(INDIRECT(CHAR(39)&amp;$A3420&amp;CHAR(39)&amp;"!r2c"&amp;$C3420,0),variables,2,0)</f>
        <v>9791</v>
      </c>
      <c r="H3420" s="71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67" t="s">
        <v>1429</v>
      </c>
      <c r="B3421" s="66">
        <f t="shared" si="6988"/>
        <v>7</v>
      </c>
      <c r="C3421" s="66">
        <f t="shared" si="6991"/>
        <v>70</v>
      </c>
      <c r="E3421" s="66">
        <f t="shared" ref="E3421" si="7012">plan_id</f>
        <v>1952</v>
      </c>
      <c r="F3421" s="66">
        <f t="shared" ca="1" si="6954"/>
        <v>2005</v>
      </c>
      <c r="G3421" s="66">
        <f t="shared" ref="G3421" ca="1" si="7013">VLOOKUP(INDIRECT(CHAR(39)&amp;$A3421&amp;CHAR(39)&amp;"!r2c"&amp;$C3421,0),variables,2,0)</f>
        <v>9800</v>
      </c>
      <c r="H3421" s="71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67" t="s">
        <v>1429</v>
      </c>
      <c r="B3422" s="66">
        <f t="shared" si="6988"/>
        <v>7</v>
      </c>
      <c r="C3422" s="66">
        <f t="shared" si="6991"/>
        <v>71</v>
      </c>
      <c r="E3422" s="66">
        <f t="shared" ref="E3422" si="7014">plan_id</f>
        <v>1952</v>
      </c>
      <c r="F3422" s="66">
        <f t="shared" ca="1" si="6954"/>
        <v>2005</v>
      </c>
      <c r="G3422" s="66">
        <f t="shared" ref="G3422" ca="1" si="7015">VLOOKUP(INDIRECT(CHAR(39)&amp;$A3422&amp;CHAR(39)&amp;"!r2c"&amp;$C3422,0),variables,2,0)</f>
        <v>9842</v>
      </c>
      <c r="H3422" s="71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67" t="s">
        <v>1429</v>
      </c>
      <c r="B3423" s="66">
        <f t="shared" si="6988"/>
        <v>7</v>
      </c>
      <c r="C3423" s="66">
        <f t="shared" si="6991"/>
        <v>72</v>
      </c>
      <c r="E3423" s="66">
        <f t="shared" ref="E3423" si="7016">plan_id</f>
        <v>1952</v>
      </c>
      <c r="F3423" s="66">
        <f t="shared" ca="1" si="6954"/>
        <v>2005</v>
      </c>
      <c r="G3423" s="66">
        <f t="shared" ref="G3423" ca="1" si="7017">VLOOKUP(INDIRECT(CHAR(39)&amp;$A3423&amp;CHAR(39)&amp;"!r2c"&amp;$C3423,0),variables,2,0)</f>
        <v>9854</v>
      </c>
      <c r="H3423" s="71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67" t="s">
        <v>1429</v>
      </c>
      <c r="B3424" s="66">
        <f t="shared" si="6988"/>
        <v>7</v>
      </c>
      <c r="C3424" s="66">
        <f t="shared" si="6991"/>
        <v>73</v>
      </c>
      <c r="E3424" s="66">
        <f t="shared" ref="E3424" si="7018">plan_id</f>
        <v>1952</v>
      </c>
      <c r="F3424" s="66">
        <f t="shared" ca="1" si="6954"/>
        <v>2005</v>
      </c>
      <c r="G3424" s="66">
        <f t="shared" ref="G3424" ca="1" si="7019">VLOOKUP(INDIRECT(CHAR(39)&amp;$A3424&amp;CHAR(39)&amp;"!r2c"&amp;$C3424,0),variables,2,0)</f>
        <v>9869</v>
      </c>
      <c r="H3424" s="71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67" t="s">
        <v>1429</v>
      </c>
      <c r="B3425" s="66">
        <f t="shared" si="6988"/>
        <v>7</v>
      </c>
      <c r="C3425" s="66">
        <f t="shared" si="6991"/>
        <v>74</v>
      </c>
      <c r="E3425" s="66">
        <f t="shared" ref="E3425" si="7020">plan_id</f>
        <v>1952</v>
      </c>
      <c r="F3425" s="66">
        <f t="shared" ca="1" si="6954"/>
        <v>2005</v>
      </c>
      <c r="G3425" s="66">
        <f t="shared" ref="G3425" ca="1" si="7021">VLOOKUP(INDIRECT(CHAR(39)&amp;$A3425&amp;CHAR(39)&amp;"!r2c"&amp;$C3425,0),variables,2,0)</f>
        <v>9873</v>
      </c>
      <c r="H3425" s="71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67" t="s">
        <v>1429</v>
      </c>
      <c r="B3426" s="66">
        <f t="shared" si="6988"/>
        <v>7</v>
      </c>
      <c r="C3426" s="66">
        <f t="shared" si="6991"/>
        <v>75</v>
      </c>
      <c r="E3426" s="66">
        <f t="shared" ref="E3426" si="7022">plan_id</f>
        <v>1952</v>
      </c>
      <c r="F3426" s="66">
        <f t="shared" ca="1" si="6954"/>
        <v>2005</v>
      </c>
      <c r="G3426" s="66">
        <f t="shared" ref="G3426" ca="1" si="7023">VLOOKUP(INDIRECT(CHAR(39)&amp;$A3426&amp;CHAR(39)&amp;"!r2c"&amp;$C3426,0),variables,2,0)</f>
        <v>9881</v>
      </c>
      <c r="H3426" s="71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67" t="s">
        <v>1429</v>
      </c>
      <c r="B3427" s="66">
        <f t="shared" si="6988"/>
        <v>7</v>
      </c>
      <c r="C3427" s="66">
        <f t="shared" si="6991"/>
        <v>76</v>
      </c>
      <c r="E3427" s="66">
        <f t="shared" ref="E3427" si="7024">plan_id</f>
        <v>1952</v>
      </c>
      <c r="F3427" s="66">
        <f t="shared" ca="1" si="6954"/>
        <v>2005</v>
      </c>
      <c r="G3427" s="66">
        <f t="shared" ref="G3427" ca="1" si="7025">VLOOKUP(INDIRECT(CHAR(39)&amp;$A3427&amp;CHAR(39)&amp;"!r2c"&amp;$C3427,0),variables,2,0)</f>
        <v>9908</v>
      </c>
      <c r="H3427" s="71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67" t="s">
        <v>1429</v>
      </c>
      <c r="B3428" s="66">
        <f t="shared" si="6988"/>
        <v>7</v>
      </c>
      <c r="C3428" s="66">
        <f t="shared" si="6991"/>
        <v>77</v>
      </c>
      <c r="E3428" s="66">
        <f t="shared" ref="E3428" si="7026">plan_id</f>
        <v>1952</v>
      </c>
      <c r="F3428" s="66">
        <f t="shared" ca="1" si="6954"/>
        <v>2005</v>
      </c>
      <c r="G3428" s="66">
        <f t="shared" ref="G3428" ca="1" si="7027">VLOOKUP(INDIRECT(CHAR(39)&amp;$A3428&amp;CHAR(39)&amp;"!r2c"&amp;$C3428,0),variables,2,0)</f>
        <v>9911</v>
      </c>
      <c r="H3428" s="71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67" t="s">
        <v>1429</v>
      </c>
      <c r="B3429" s="66">
        <f t="shared" si="6988"/>
        <v>7</v>
      </c>
      <c r="C3429" s="66">
        <f t="shared" si="6991"/>
        <v>78</v>
      </c>
      <c r="E3429" s="66">
        <f t="shared" ref="E3429" si="7028">plan_id</f>
        <v>1952</v>
      </c>
      <c r="F3429" s="66">
        <f t="shared" ca="1" si="6954"/>
        <v>2005</v>
      </c>
      <c r="G3429" s="66">
        <f t="shared" ref="G3429" ca="1" si="7029">VLOOKUP(INDIRECT(CHAR(39)&amp;$A3429&amp;CHAR(39)&amp;"!r2c"&amp;$C3429,0),variables,2,0)</f>
        <v>9663</v>
      </c>
      <c r="H3429" s="71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67" t="s">
        <v>1429</v>
      </c>
      <c r="B3430" s="66">
        <f t="shared" si="6988"/>
        <v>7</v>
      </c>
      <c r="C3430" s="66">
        <f t="shared" si="6991"/>
        <v>79</v>
      </c>
      <c r="E3430" s="66">
        <f t="shared" ref="E3430" si="7030">plan_id</f>
        <v>1952</v>
      </c>
      <c r="F3430" s="66">
        <f t="shared" ca="1" si="6954"/>
        <v>2005</v>
      </c>
      <c r="G3430" s="66">
        <f t="shared" ref="G3430" ca="1" si="7031">VLOOKUP(INDIRECT(CHAR(39)&amp;$A3430&amp;CHAR(39)&amp;"!r2c"&amp;$C3430,0),variables,2,0)</f>
        <v>9710</v>
      </c>
      <c r="H3430" s="71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67" t="s">
        <v>1429</v>
      </c>
      <c r="B3431" s="66">
        <f t="shared" si="6988"/>
        <v>7</v>
      </c>
      <c r="C3431" s="66">
        <f t="shared" si="6991"/>
        <v>80</v>
      </c>
      <c r="E3431" s="66">
        <f t="shared" ref="E3431" si="7032">plan_id</f>
        <v>1952</v>
      </c>
      <c r="F3431" s="66">
        <f t="shared" ca="1" si="6954"/>
        <v>2005</v>
      </c>
      <c r="G3431" s="66">
        <f t="shared" ref="G3431" ca="1" si="7033">VLOOKUP(INDIRECT(CHAR(39)&amp;$A3431&amp;CHAR(39)&amp;"!r2c"&amp;$C3431,0),variables,2,0)</f>
        <v>9758</v>
      </c>
      <c r="H3431" s="71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67" t="s">
        <v>1429</v>
      </c>
      <c r="B3432" s="66">
        <f t="shared" si="6988"/>
        <v>7</v>
      </c>
      <c r="C3432" s="66">
        <f t="shared" si="6991"/>
        <v>81</v>
      </c>
      <c r="E3432" s="66">
        <f t="shared" ref="E3432" si="7034">plan_id</f>
        <v>1952</v>
      </c>
      <c r="F3432" s="66">
        <f t="shared" ca="1" si="6954"/>
        <v>2005</v>
      </c>
      <c r="G3432" s="66">
        <f t="shared" ref="G3432" ca="1" si="7035">VLOOKUP(INDIRECT(CHAR(39)&amp;$A3432&amp;CHAR(39)&amp;"!r2c"&amp;$C3432,0),variables,2,0)</f>
        <v>9803</v>
      </c>
      <c r="H3432" s="71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67" t="s">
        <v>1429</v>
      </c>
      <c r="B3433" s="66">
        <f t="shared" si="6988"/>
        <v>7</v>
      </c>
      <c r="C3433" s="66">
        <f t="shared" si="6991"/>
        <v>82</v>
      </c>
      <c r="E3433" s="66">
        <f t="shared" ref="E3433" si="7036">plan_id</f>
        <v>1952</v>
      </c>
      <c r="F3433" s="66">
        <f t="shared" ca="1" si="6954"/>
        <v>2005</v>
      </c>
      <c r="G3433" s="66">
        <f t="shared" ref="G3433" ca="1" si="7037">VLOOKUP(INDIRECT(CHAR(39)&amp;$A3433&amp;CHAR(39)&amp;"!r2c"&amp;$C3433,0),variables,2,0)</f>
        <v>9857</v>
      </c>
      <c r="H3433" s="71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67" t="s">
        <v>1429</v>
      </c>
      <c r="B3434" s="66">
        <f t="shared" si="6988"/>
        <v>7</v>
      </c>
      <c r="C3434" s="66">
        <f t="shared" si="6991"/>
        <v>83</v>
      </c>
      <c r="E3434" s="66">
        <f t="shared" ref="E3434" si="7038">plan_id</f>
        <v>1952</v>
      </c>
      <c r="F3434" s="66">
        <f t="shared" ca="1" si="6954"/>
        <v>2005</v>
      </c>
      <c r="G3434" s="66">
        <f t="shared" ref="G3434" ca="1" si="7039">VLOOKUP(INDIRECT(CHAR(39)&amp;$A3434&amp;CHAR(39)&amp;"!r2c"&amp;$C3434,0),variables,2,0)</f>
        <v>9902</v>
      </c>
      <c r="H3434" s="71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67" t="s">
        <v>1429</v>
      </c>
      <c r="B3435" s="66">
        <f t="shared" si="6988"/>
        <v>7</v>
      </c>
      <c r="C3435" s="66">
        <f t="shared" si="6991"/>
        <v>84</v>
      </c>
      <c r="E3435" s="66">
        <f t="shared" ref="E3435" si="7040">plan_id</f>
        <v>1952</v>
      </c>
      <c r="F3435" s="66">
        <f t="shared" ca="1" si="6954"/>
        <v>2005</v>
      </c>
      <c r="G3435" s="66">
        <f t="shared" ref="G3435" ca="1" si="7041">VLOOKUP(INDIRECT(CHAR(39)&amp;$A3435&amp;CHAR(39)&amp;"!r2c"&amp;$C3435,0),variables,2,0)</f>
        <v>9926</v>
      </c>
      <c r="H3435" s="71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67" t="s">
        <v>1429</v>
      </c>
      <c r="B3436" s="66">
        <f t="shared" si="6988"/>
        <v>7</v>
      </c>
      <c r="C3436" s="66">
        <f t="shared" si="6991"/>
        <v>85</v>
      </c>
      <c r="E3436" s="66">
        <f t="shared" ref="E3436" si="7042">plan_id</f>
        <v>1952</v>
      </c>
      <c r="F3436" s="66">
        <f t="shared" ca="1" si="6954"/>
        <v>2005</v>
      </c>
      <c r="G3436" s="66">
        <f t="shared" ref="G3436" ca="1" si="7043">VLOOKUP(INDIRECT(CHAR(39)&amp;$A3436&amp;CHAR(39)&amp;"!r2c"&amp;$C3436,0),variables,2,0)</f>
        <v>9666</v>
      </c>
      <c r="H3436" s="71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67" t="s">
        <v>1429</v>
      </c>
      <c r="B3437" s="66">
        <f t="shared" si="6988"/>
        <v>7</v>
      </c>
      <c r="C3437" s="66">
        <f t="shared" si="6991"/>
        <v>86</v>
      </c>
      <c r="E3437" s="66">
        <f t="shared" ref="E3437" si="7044">plan_id</f>
        <v>1952</v>
      </c>
      <c r="F3437" s="66">
        <f t="shared" ca="1" si="6954"/>
        <v>2005</v>
      </c>
      <c r="G3437" s="66">
        <f t="shared" ref="G3437" ca="1" si="7045">VLOOKUP(INDIRECT(CHAR(39)&amp;$A3437&amp;CHAR(39)&amp;"!r2c"&amp;$C3437,0),variables,2,0)</f>
        <v>9827</v>
      </c>
      <c r="H3437" s="71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67" t="s">
        <v>1429</v>
      </c>
      <c r="B3438" s="66">
        <f t="shared" si="6988"/>
        <v>7</v>
      </c>
      <c r="C3438" s="66">
        <f t="shared" si="6991"/>
        <v>87</v>
      </c>
      <c r="E3438" s="66">
        <f t="shared" ref="E3438" si="7046">plan_id</f>
        <v>1952</v>
      </c>
      <c r="F3438" s="66">
        <f t="shared" ca="1" si="6954"/>
        <v>2005</v>
      </c>
      <c r="G3438" s="66">
        <f t="shared" ref="G3438" ca="1" si="7047">VLOOKUP(INDIRECT(CHAR(39)&amp;$A3438&amp;CHAR(39)&amp;"!r2c"&amp;$C3438,0),variables,2,0)</f>
        <v>9657</v>
      </c>
      <c r="H3438" s="71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67" t="s">
        <v>1429</v>
      </c>
      <c r="B3439" s="66">
        <f t="shared" si="6988"/>
        <v>7</v>
      </c>
      <c r="C3439" s="66">
        <f t="shared" si="6991"/>
        <v>88</v>
      </c>
      <c r="E3439" s="66">
        <f t="shared" ref="E3439" si="7048">plan_id</f>
        <v>1952</v>
      </c>
      <c r="F3439" s="66">
        <f t="shared" ca="1" si="6954"/>
        <v>2005</v>
      </c>
      <c r="G3439" s="66">
        <f t="shared" ref="G3439" ca="1" si="7049">VLOOKUP(INDIRECT(CHAR(39)&amp;$A3439&amp;CHAR(39)&amp;"!r2c"&amp;$C3439,0),variables,2,0)</f>
        <v>9834</v>
      </c>
      <c r="H3439" s="71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67" t="s">
        <v>1429</v>
      </c>
      <c r="B3440" s="66">
        <f t="shared" si="6988"/>
        <v>7</v>
      </c>
      <c r="C3440" s="66">
        <f t="shared" si="6991"/>
        <v>89</v>
      </c>
      <c r="E3440" s="66">
        <f t="shared" ref="E3440" si="7050">plan_id</f>
        <v>1952</v>
      </c>
      <c r="F3440" s="66">
        <f t="shared" ca="1" si="6954"/>
        <v>2005</v>
      </c>
      <c r="G3440" s="66">
        <f t="shared" ref="G3440" ca="1" si="7051">VLOOKUP(INDIRECT(CHAR(39)&amp;$A3440&amp;CHAR(39)&amp;"!r2c"&amp;$C3440,0),variables,2,0)</f>
        <v>9884</v>
      </c>
      <c r="H3440" s="71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67" t="s">
        <v>1429</v>
      </c>
      <c r="B3441" s="66">
        <f t="shared" si="6988"/>
        <v>7</v>
      </c>
      <c r="C3441" s="66">
        <f t="shared" si="6991"/>
        <v>90</v>
      </c>
      <c r="E3441" s="66">
        <f t="shared" ref="E3441" si="7052">plan_id</f>
        <v>1952</v>
      </c>
      <c r="F3441" s="66">
        <f t="shared" ca="1" si="6954"/>
        <v>2005</v>
      </c>
      <c r="G3441" s="66">
        <f t="shared" ref="G3441" ca="1" si="7053">VLOOKUP(INDIRECT(CHAR(39)&amp;$A3441&amp;CHAR(39)&amp;"!r2c"&amp;$C3441,0),variables,2,0)</f>
        <v>9672</v>
      </c>
      <c r="H3441" s="71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67" t="s">
        <v>1429</v>
      </c>
      <c r="B3442" s="66">
        <f t="shared" si="6988"/>
        <v>8</v>
      </c>
      <c r="C3442" s="66">
        <f t="shared" si="6991"/>
        <v>3</v>
      </c>
      <c r="E3442" s="66">
        <f t="shared" ref="E3442" si="7054">plan_id</f>
        <v>1952</v>
      </c>
      <c r="F3442" s="66">
        <f t="shared" ca="1" si="6954"/>
        <v>2006</v>
      </c>
      <c r="G3442" s="66">
        <f t="shared" ref="G3442" ca="1" si="7055">VLOOKUP(INDIRECT(CHAR(39)&amp;$A3442&amp;CHAR(39)&amp;"!r2c"&amp;$C3442,0),variables,2,0)</f>
        <v>9704</v>
      </c>
      <c r="H3442" s="71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67" t="s">
        <v>1429</v>
      </c>
      <c r="B3443" s="66">
        <f t="shared" si="6988"/>
        <v>8</v>
      </c>
      <c r="C3443" s="66">
        <f t="shared" si="6991"/>
        <v>4</v>
      </c>
      <c r="E3443" s="66">
        <f t="shared" ref="E3443" si="7056">plan_id</f>
        <v>1952</v>
      </c>
      <c r="F3443" s="66">
        <f t="shared" ca="1" si="6954"/>
        <v>2006</v>
      </c>
      <c r="G3443" s="66">
        <f t="shared" ref="G3443" ca="1" si="7057">VLOOKUP(INDIRECT(CHAR(39)&amp;$A3443&amp;CHAR(39)&amp;"!r2c"&amp;$C3443,0),variables,2,0)</f>
        <v>9716</v>
      </c>
      <c r="H3443" s="71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67" t="s">
        <v>1429</v>
      </c>
      <c r="B3444" s="66">
        <f t="shared" si="6988"/>
        <v>8</v>
      </c>
      <c r="C3444" s="66">
        <f t="shared" si="6991"/>
        <v>5</v>
      </c>
      <c r="E3444" s="66">
        <f t="shared" ref="E3444" si="7058">plan_id</f>
        <v>1952</v>
      </c>
      <c r="F3444" s="66">
        <f t="shared" ca="1" si="6954"/>
        <v>2006</v>
      </c>
      <c r="G3444" s="66">
        <f t="shared" ref="G3444" ca="1" si="7059">VLOOKUP(INDIRECT(CHAR(39)&amp;$A3444&amp;CHAR(39)&amp;"!r2c"&amp;$C3444,0),variables,2,0)</f>
        <v>9734</v>
      </c>
      <c r="H3444" s="71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67" t="s">
        <v>1429</v>
      </c>
      <c r="B3445" s="66">
        <f t="shared" si="6988"/>
        <v>8</v>
      </c>
      <c r="C3445" s="66">
        <f t="shared" si="6991"/>
        <v>6</v>
      </c>
      <c r="E3445" s="66">
        <f t="shared" ref="E3445" si="7060">plan_id</f>
        <v>1952</v>
      </c>
      <c r="F3445" s="66">
        <f t="shared" ca="1" si="6954"/>
        <v>2006</v>
      </c>
      <c r="G3445" s="66">
        <f t="shared" ref="G3445" ca="1" si="7061">VLOOKUP(INDIRECT(CHAR(39)&amp;$A3445&amp;CHAR(39)&amp;"!r2c"&amp;$C3445,0),variables,2,0)</f>
        <v>9749</v>
      </c>
      <c r="H3445" s="71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67" t="s">
        <v>1429</v>
      </c>
      <c r="B3446" s="66">
        <f t="shared" si="6988"/>
        <v>8</v>
      </c>
      <c r="C3446" s="66">
        <f t="shared" si="6991"/>
        <v>7</v>
      </c>
      <c r="E3446" s="66">
        <f t="shared" ref="E3446" si="7062">plan_id</f>
        <v>1952</v>
      </c>
      <c r="F3446" s="66">
        <f t="shared" ca="1" si="6954"/>
        <v>2006</v>
      </c>
      <c r="G3446" s="66">
        <f t="shared" ref="G3446" ca="1" si="7063">VLOOKUP(INDIRECT(CHAR(39)&amp;$A3446&amp;CHAR(39)&amp;"!r2c"&amp;$C3446,0),variables,2,0)</f>
        <v>9755</v>
      </c>
      <c r="H3446" s="71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67" t="s">
        <v>1429</v>
      </c>
      <c r="B3447" s="66">
        <f t="shared" si="6988"/>
        <v>8</v>
      </c>
      <c r="C3447" s="66">
        <f t="shared" si="6991"/>
        <v>8</v>
      </c>
      <c r="E3447" s="66">
        <f t="shared" ref="E3447" si="7064">plan_id</f>
        <v>1952</v>
      </c>
      <c r="F3447" s="66">
        <f t="shared" ca="1" si="6954"/>
        <v>2006</v>
      </c>
      <c r="G3447" s="66">
        <f t="shared" ref="G3447" ca="1" si="7065">VLOOKUP(INDIRECT(CHAR(39)&amp;$A3447&amp;CHAR(39)&amp;"!r2c"&amp;$C3447,0),variables,2,0)</f>
        <v>9782</v>
      </c>
      <c r="H3447" s="71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67" t="s">
        <v>1429</v>
      </c>
      <c r="B3448" s="66">
        <f t="shared" si="6988"/>
        <v>8</v>
      </c>
      <c r="C3448" s="66">
        <f t="shared" si="6991"/>
        <v>9</v>
      </c>
      <c r="E3448" s="66">
        <f t="shared" ref="E3448" si="7066">plan_id</f>
        <v>1952</v>
      </c>
      <c r="F3448" s="66">
        <f t="shared" ca="1" si="6954"/>
        <v>2006</v>
      </c>
      <c r="G3448" s="66">
        <f t="shared" ref="G3448" ca="1" si="7067">VLOOKUP(INDIRECT(CHAR(39)&amp;$A3448&amp;CHAR(39)&amp;"!r2c"&amp;$C3448,0),variables,2,0)</f>
        <v>9788</v>
      </c>
      <c r="H3448" s="71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67" t="s">
        <v>1429</v>
      </c>
      <c r="B3449" s="66">
        <f t="shared" si="6988"/>
        <v>8</v>
      </c>
      <c r="C3449" s="66">
        <f t="shared" si="6991"/>
        <v>10</v>
      </c>
      <c r="E3449" s="66">
        <f t="shared" ref="E3449" si="7068">plan_id</f>
        <v>1952</v>
      </c>
      <c r="F3449" s="66">
        <f t="shared" ca="1" si="6954"/>
        <v>2006</v>
      </c>
      <c r="G3449" s="66">
        <f t="shared" ref="G3449" ca="1" si="7069">VLOOKUP(INDIRECT(CHAR(39)&amp;$A3449&amp;CHAR(39)&amp;"!r2c"&amp;$C3449,0),variables,2,0)</f>
        <v>9812</v>
      </c>
      <c r="H3449" s="71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67" t="s">
        <v>1429</v>
      </c>
      <c r="B3450" s="66">
        <f t="shared" si="6988"/>
        <v>8</v>
      </c>
      <c r="C3450" s="66">
        <f t="shared" si="6991"/>
        <v>11</v>
      </c>
      <c r="E3450" s="66">
        <f t="shared" ref="E3450" si="7070">plan_id</f>
        <v>1952</v>
      </c>
      <c r="F3450" s="66">
        <f t="shared" ca="1" si="6954"/>
        <v>2006</v>
      </c>
      <c r="G3450" s="66">
        <f t="shared" ref="G3450" ca="1" si="7071">VLOOKUP(INDIRECT(CHAR(39)&amp;$A3450&amp;CHAR(39)&amp;"!r2c"&amp;$C3450,0),variables,2,0)</f>
        <v>9815</v>
      </c>
      <c r="H3450" s="71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67" t="s">
        <v>1429</v>
      </c>
      <c r="B3451" s="66">
        <f t="shared" si="6988"/>
        <v>8</v>
      </c>
      <c r="C3451" s="66">
        <f t="shared" si="6991"/>
        <v>12</v>
      </c>
      <c r="E3451" s="66">
        <f t="shared" ref="E3451" si="7072">plan_id</f>
        <v>1952</v>
      </c>
      <c r="F3451" s="66">
        <f t="shared" ca="1" si="6954"/>
        <v>2006</v>
      </c>
      <c r="G3451" s="66">
        <f t="shared" ref="G3451" ca="1" si="7073">VLOOKUP(INDIRECT(CHAR(39)&amp;$A3451&amp;CHAR(39)&amp;"!r2c"&amp;$C3451,0),variables,2,0)</f>
        <v>9821</v>
      </c>
      <c r="H3451" s="71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67" t="s">
        <v>1429</v>
      </c>
      <c r="B3452" s="66">
        <f t="shared" si="6988"/>
        <v>8</v>
      </c>
      <c r="C3452" s="66">
        <f t="shared" si="6991"/>
        <v>13</v>
      </c>
      <c r="E3452" s="66">
        <f t="shared" ref="E3452" si="7074">plan_id</f>
        <v>1952</v>
      </c>
      <c r="F3452" s="66">
        <f t="shared" ca="1" si="6954"/>
        <v>2006</v>
      </c>
      <c r="G3452" s="66">
        <f t="shared" ref="G3452" ca="1" si="7075">VLOOKUP(INDIRECT(CHAR(39)&amp;$A3452&amp;CHAR(39)&amp;"!r2c"&amp;$C3452,0),variables,2,0)</f>
        <v>9824</v>
      </c>
      <c r="H3452" s="71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67" t="s">
        <v>1429</v>
      </c>
      <c r="B3453" s="66">
        <f t="shared" si="6988"/>
        <v>8</v>
      </c>
      <c r="C3453" s="66">
        <f t="shared" si="6991"/>
        <v>14</v>
      </c>
      <c r="E3453" s="66">
        <f t="shared" ref="E3453" si="7076">plan_id</f>
        <v>1952</v>
      </c>
      <c r="F3453" s="66">
        <f t="shared" ca="1" si="6954"/>
        <v>2006</v>
      </c>
      <c r="G3453" s="66">
        <f t="shared" ref="G3453" ca="1" si="7077">VLOOKUP(INDIRECT(CHAR(39)&amp;$A3453&amp;CHAR(39)&amp;"!r2c"&amp;$C3453,0),variables,2,0)</f>
        <v>9830</v>
      </c>
      <c r="H3453" s="71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67" t="s">
        <v>1429</v>
      </c>
      <c r="B3454" s="66">
        <f t="shared" si="6988"/>
        <v>8</v>
      </c>
      <c r="C3454" s="66">
        <f t="shared" si="6991"/>
        <v>15</v>
      </c>
      <c r="E3454" s="66">
        <f t="shared" ref="E3454" si="7078">plan_id</f>
        <v>1952</v>
      </c>
      <c r="F3454" s="66">
        <f t="shared" ca="1" si="6954"/>
        <v>2006</v>
      </c>
      <c r="G3454" s="66">
        <f t="shared" ref="G3454" ca="1" si="7079">VLOOKUP(INDIRECT(CHAR(39)&amp;$A3454&amp;CHAR(39)&amp;"!r2c"&amp;$C3454,0),variables,2,0)</f>
        <v>9833</v>
      </c>
      <c r="H3454" s="71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67" t="s">
        <v>1429</v>
      </c>
      <c r="B3455" s="66">
        <f t="shared" si="6988"/>
        <v>8</v>
      </c>
      <c r="C3455" s="66">
        <f t="shared" si="6991"/>
        <v>16</v>
      </c>
      <c r="E3455" s="66">
        <f t="shared" ref="E3455" si="7080">plan_id</f>
        <v>1952</v>
      </c>
      <c r="F3455" s="66">
        <f t="shared" ca="1" si="6954"/>
        <v>2006</v>
      </c>
      <c r="G3455" s="66">
        <f t="shared" ref="G3455" ca="1" si="7081">VLOOKUP(INDIRECT(CHAR(39)&amp;$A3455&amp;CHAR(39)&amp;"!r2c"&amp;$C3455,0),variables,2,0)</f>
        <v>9845</v>
      </c>
      <c r="H3455" s="71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67" t="s">
        <v>1429</v>
      </c>
      <c r="B3456" s="66">
        <f t="shared" si="6988"/>
        <v>8</v>
      </c>
      <c r="C3456" s="66">
        <f t="shared" si="6991"/>
        <v>17</v>
      </c>
      <c r="E3456" s="66">
        <f t="shared" ref="E3456" si="7082">plan_id</f>
        <v>1952</v>
      </c>
      <c r="F3456" s="66">
        <f t="shared" ca="1" si="6954"/>
        <v>2006</v>
      </c>
      <c r="G3456" s="66">
        <f t="shared" ref="G3456" ca="1" si="7083">VLOOKUP(INDIRECT(CHAR(39)&amp;$A3456&amp;CHAR(39)&amp;"!r2c"&amp;$C3456,0),variables,2,0)</f>
        <v>9872</v>
      </c>
      <c r="H3456" s="71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67" t="s">
        <v>1429</v>
      </c>
      <c r="B3457" s="66">
        <f t="shared" si="6988"/>
        <v>8</v>
      </c>
      <c r="C3457" s="66">
        <f t="shared" si="6991"/>
        <v>18</v>
      </c>
      <c r="E3457" s="66">
        <f t="shared" ref="E3457" si="7084">plan_id</f>
        <v>1952</v>
      </c>
      <c r="F3457" s="66">
        <f t="shared" ref="F3457:F3520" ca="1" si="7085">INDIRECT(CHAR(39)&amp;$A3457&amp;CHAR(39)&amp;"!r"&amp;$B3457&amp;"c2",0)</f>
        <v>2006</v>
      </c>
      <c r="G3457" s="66">
        <f t="shared" ref="G3457" ca="1" si="7086">VLOOKUP(INDIRECT(CHAR(39)&amp;$A3457&amp;CHAR(39)&amp;"!r2c"&amp;$C3457,0),variables,2,0)</f>
        <v>9887</v>
      </c>
      <c r="H3457" s="71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67" t="s">
        <v>1429</v>
      </c>
      <c r="B3458" s="66">
        <f t="shared" si="6988"/>
        <v>8</v>
      </c>
      <c r="C3458" s="66">
        <f t="shared" si="6991"/>
        <v>19</v>
      </c>
      <c r="E3458" s="66">
        <f t="shared" ref="E3458" si="7087">plan_id</f>
        <v>1952</v>
      </c>
      <c r="F3458" s="66">
        <f t="shared" ca="1" si="7085"/>
        <v>2006</v>
      </c>
      <c r="G3458" s="66">
        <f t="shared" ref="G3458" ca="1" si="7088">VLOOKUP(INDIRECT(CHAR(39)&amp;$A3458&amp;CHAR(39)&amp;"!r2c"&amp;$C3458,0),variables,2,0)</f>
        <v>9914</v>
      </c>
      <c r="H3458" s="71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67" t="s">
        <v>1429</v>
      </c>
      <c r="B3459" s="66">
        <f t="shared" si="6988"/>
        <v>8</v>
      </c>
      <c r="C3459" s="66">
        <f t="shared" si="6991"/>
        <v>20</v>
      </c>
      <c r="E3459" s="66">
        <f t="shared" ref="E3459" si="7089">plan_id</f>
        <v>1952</v>
      </c>
      <c r="F3459" s="66">
        <f t="shared" ca="1" si="7085"/>
        <v>2006</v>
      </c>
      <c r="G3459" s="66">
        <f t="shared" ref="G3459" ca="1" si="7090">VLOOKUP(INDIRECT(CHAR(39)&amp;$A3459&amp;CHAR(39)&amp;"!r2c"&amp;$C3459,0),variables,2,0)</f>
        <v>9917</v>
      </c>
      <c r="H3459" s="71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67" t="s">
        <v>1429</v>
      </c>
      <c r="B3460" s="66">
        <f t="shared" si="6988"/>
        <v>8</v>
      </c>
      <c r="C3460" s="66">
        <f t="shared" si="6991"/>
        <v>21</v>
      </c>
      <c r="E3460" s="66">
        <f t="shared" ref="E3460" si="7091">plan_id</f>
        <v>1952</v>
      </c>
      <c r="F3460" s="66">
        <f t="shared" ca="1" si="7085"/>
        <v>2006</v>
      </c>
      <c r="G3460" s="66">
        <f t="shared" ref="G3460" ca="1" si="7092">VLOOKUP(INDIRECT(CHAR(39)&amp;$A3460&amp;CHAR(39)&amp;"!r2c"&amp;$C3460,0),variables,2,0)</f>
        <v>9920</v>
      </c>
      <c r="H3460" s="71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67" t="s">
        <v>1429</v>
      </c>
      <c r="B3461" s="66">
        <f t="shared" si="6988"/>
        <v>8</v>
      </c>
      <c r="C3461" s="66">
        <f t="shared" si="6991"/>
        <v>22</v>
      </c>
      <c r="E3461" s="66">
        <f t="shared" ref="E3461" si="7093">plan_id</f>
        <v>1952</v>
      </c>
      <c r="F3461" s="66">
        <f t="shared" ca="1" si="7085"/>
        <v>2006</v>
      </c>
      <c r="G3461" s="66">
        <f t="shared" ref="G3461" ca="1" si="7094">VLOOKUP(INDIRECT(CHAR(39)&amp;$A3461&amp;CHAR(39)&amp;"!r2c"&amp;$C3461,0),variables,2,0)</f>
        <v>9648</v>
      </c>
      <c r="H3461" s="71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67" t="s">
        <v>1429</v>
      </c>
      <c r="B3462" s="66">
        <f t="shared" si="6988"/>
        <v>8</v>
      </c>
      <c r="C3462" s="66">
        <f t="shared" si="6991"/>
        <v>23</v>
      </c>
      <c r="E3462" s="66">
        <f t="shared" ref="E3462" si="7095">plan_id</f>
        <v>1952</v>
      </c>
      <c r="F3462" s="66">
        <f t="shared" ca="1" si="7085"/>
        <v>2006</v>
      </c>
      <c r="G3462" s="66">
        <f t="shared" ref="G3462" ca="1" si="7096">VLOOKUP(INDIRECT(CHAR(39)&amp;$A3462&amp;CHAR(39)&amp;"!r2c"&amp;$C3462,0),variables,2,0)</f>
        <v>9713</v>
      </c>
      <c r="H3462" s="71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67" t="s">
        <v>1429</v>
      </c>
      <c r="B3463" s="66">
        <f t="shared" si="6988"/>
        <v>8</v>
      </c>
      <c r="C3463" s="66">
        <f t="shared" si="6991"/>
        <v>24</v>
      </c>
      <c r="E3463" s="66">
        <f t="shared" ref="E3463" si="7097">plan_id</f>
        <v>1952</v>
      </c>
      <c r="F3463" s="66">
        <f t="shared" ca="1" si="7085"/>
        <v>2006</v>
      </c>
      <c r="G3463" s="66">
        <f t="shared" ref="G3463" ca="1" si="7098">VLOOKUP(INDIRECT(CHAR(39)&amp;$A3463&amp;CHAR(39)&amp;"!r2c"&amp;$C3463,0),variables,2,0)</f>
        <v>9719</v>
      </c>
      <c r="H3463" s="71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67" t="s">
        <v>1429</v>
      </c>
      <c r="B3464" s="66">
        <f t="shared" si="6988"/>
        <v>8</v>
      </c>
      <c r="C3464" s="66">
        <f t="shared" si="6991"/>
        <v>25</v>
      </c>
      <c r="E3464" s="66">
        <f t="shared" ref="E3464" si="7099">plan_id</f>
        <v>1952</v>
      </c>
      <c r="F3464" s="66">
        <f t="shared" ca="1" si="7085"/>
        <v>2006</v>
      </c>
      <c r="G3464" s="66">
        <f t="shared" ref="G3464" ca="1" si="7100">VLOOKUP(INDIRECT(CHAR(39)&amp;$A3464&amp;CHAR(39)&amp;"!r2c"&amp;$C3464,0),variables,2,0)</f>
        <v>9725</v>
      </c>
      <c r="H3464" s="71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67" t="s">
        <v>1429</v>
      </c>
      <c r="B3465" s="66">
        <f t="shared" si="6988"/>
        <v>8</v>
      </c>
      <c r="C3465" s="66">
        <f t="shared" si="6991"/>
        <v>26</v>
      </c>
      <c r="E3465" s="66">
        <f t="shared" ref="E3465" si="7101">plan_id</f>
        <v>1952</v>
      </c>
      <c r="F3465" s="66">
        <f t="shared" ca="1" si="7085"/>
        <v>2006</v>
      </c>
      <c r="G3465" s="66">
        <f t="shared" ref="G3465" ca="1" si="7102">VLOOKUP(INDIRECT(CHAR(39)&amp;$A3465&amp;CHAR(39)&amp;"!r2c"&amp;$C3465,0),variables,2,0)</f>
        <v>9743</v>
      </c>
      <c r="H3465" s="71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67" t="s">
        <v>1429</v>
      </c>
      <c r="B3466" s="66">
        <f t="shared" si="6988"/>
        <v>8</v>
      </c>
      <c r="C3466" s="66">
        <f t="shared" si="6991"/>
        <v>27</v>
      </c>
      <c r="E3466" s="66">
        <f t="shared" ref="E3466" si="7103">plan_id</f>
        <v>1952</v>
      </c>
      <c r="F3466" s="66">
        <f t="shared" ca="1" si="7085"/>
        <v>2006</v>
      </c>
      <c r="G3466" s="66">
        <f t="shared" ref="G3466" ca="1" si="7104">VLOOKUP(INDIRECT(CHAR(39)&amp;$A3466&amp;CHAR(39)&amp;"!r2c"&amp;$C3466,0),variables,2,0)</f>
        <v>9746</v>
      </c>
      <c r="H3466" s="71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67" t="s">
        <v>1429</v>
      </c>
      <c r="B3467" s="66">
        <f t="shared" si="6988"/>
        <v>8</v>
      </c>
      <c r="C3467" s="66">
        <f t="shared" si="6991"/>
        <v>28</v>
      </c>
      <c r="E3467" s="66">
        <f t="shared" ref="E3467" si="7105">plan_id</f>
        <v>1952</v>
      </c>
      <c r="F3467" s="66">
        <f t="shared" ca="1" si="7085"/>
        <v>2006</v>
      </c>
      <c r="G3467" s="66">
        <f t="shared" ref="G3467" ca="1" si="7106">VLOOKUP(INDIRECT(CHAR(39)&amp;$A3467&amp;CHAR(39)&amp;"!r2c"&amp;$C3467,0),variables,2,0)</f>
        <v>9761</v>
      </c>
      <c r="H3467" s="71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67" t="s">
        <v>1429</v>
      </c>
      <c r="B3468" s="66">
        <f t="shared" si="6988"/>
        <v>8</v>
      </c>
      <c r="C3468" s="66">
        <f t="shared" si="6991"/>
        <v>29</v>
      </c>
      <c r="E3468" s="66">
        <f t="shared" ref="E3468" si="7107">plan_id</f>
        <v>1952</v>
      </c>
      <c r="F3468" s="66">
        <f t="shared" ca="1" si="7085"/>
        <v>2006</v>
      </c>
      <c r="G3468" s="66">
        <f t="shared" ref="G3468" ca="1" si="7108">VLOOKUP(INDIRECT(CHAR(39)&amp;$A3468&amp;CHAR(39)&amp;"!r2c"&amp;$C3468,0),variables,2,0)</f>
        <v>9764</v>
      </c>
      <c r="H3468" s="71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67" t="s">
        <v>1429</v>
      </c>
      <c r="B3469" s="66">
        <f t="shared" si="6988"/>
        <v>8</v>
      </c>
      <c r="C3469" s="66">
        <f t="shared" si="6991"/>
        <v>30</v>
      </c>
      <c r="E3469" s="66">
        <f t="shared" ref="E3469" si="7109">plan_id</f>
        <v>1952</v>
      </c>
      <c r="F3469" s="66">
        <f t="shared" ca="1" si="7085"/>
        <v>2006</v>
      </c>
      <c r="G3469" s="66">
        <f t="shared" ref="G3469" ca="1" si="7110">VLOOKUP(INDIRECT(CHAR(39)&amp;$A3469&amp;CHAR(39)&amp;"!r2c"&amp;$C3469,0),variables,2,0)</f>
        <v>9767</v>
      </c>
      <c r="H3469" s="71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67" t="s">
        <v>1429</v>
      </c>
      <c r="B3470" s="66">
        <f t="shared" si="6988"/>
        <v>8</v>
      </c>
      <c r="C3470" s="66">
        <f t="shared" si="6991"/>
        <v>31</v>
      </c>
      <c r="E3470" s="66">
        <f t="shared" ref="E3470" si="7111">plan_id</f>
        <v>1952</v>
      </c>
      <c r="F3470" s="66">
        <f t="shared" ca="1" si="7085"/>
        <v>2006</v>
      </c>
      <c r="G3470" s="66">
        <f t="shared" ref="G3470" ca="1" si="7112">VLOOKUP(INDIRECT(CHAR(39)&amp;$A3470&amp;CHAR(39)&amp;"!r2c"&amp;$C3470,0),variables,2,0)</f>
        <v>9770</v>
      </c>
      <c r="H3470" s="71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67" t="s">
        <v>1429</v>
      </c>
      <c r="B3471" s="66">
        <f t="shared" si="6988"/>
        <v>8</v>
      </c>
      <c r="C3471" s="66">
        <f t="shared" si="6991"/>
        <v>32</v>
      </c>
      <c r="E3471" s="66">
        <f t="shared" ref="E3471" si="7113">plan_id</f>
        <v>1952</v>
      </c>
      <c r="F3471" s="66">
        <f t="shared" ca="1" si="7085"/>
        <v>2006</v>
      </c>
      <c r="G3471" s="66">
        <f t="shared" ref="G3471" ca="1" si="7114">VLOOKUP(INDIRECT(CHAR(39)&amp;$A3471&amp;CHAR(39)&amp;"!r2c"&amp;$C3471,0),variables,2,0)</f>
        <v>9773</v>
      </c>
      <c r="H3471" s="71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67" t="s">
        <v>1429</v>
      </c>
      <c r="B3472" s="66">
        <f t="shared" si="6988"/>
        <v>8</v>
      </c>
      <c r="C3472" s="66">
        <f t="shared" si="6991"/>
        <v>33</v>
      </c>
      <c r="E3472" s="66">
        <f t="shared" ref="E3472" si="7115">plan_id</f>
        <v>1952</v>
      </c>
      <c r="F3472" s="66">
        <f t="shared" ca="1" si="7085"/>
        <v>2006</v>
      </c>
      <c r="G3472" s="66">
        <f t="shared" ref="G3472" ca="1" si="7116">VLOOKUP(INDIRECT(CHAR(39)&amp;$A3472&amp;CHAR(39)&amp;"!r2c"&amp;$C3472,0),variables,2,0)</f>
        <v>9776</v>
      </c>
      <c r="H3472" s="71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67" t="s">
        <v>1429</v>
      </c>
      <c r="B3473" s="66">
        <f t="shared" si="6988"/>
        <v>8</v>
      </c>
      <c r="C3473" s="66">
        <f t="shared" si="6991"/>
        <v>34</v>
      </c>
      <c r="E3473" s="66">
        <f t="shared" ref="E3473" si="7117">plan_id</f>
        <v>1952</v>
      </c>
      <c r="F3473" s="66">
        <f t="shared" ca="1" si="7085"/>
        <v>2006</v>
      </c>
      <c r="G3473" s="66">
        <f t="shared" ref="G3473" ca="1" si="7118">VLOOKUP(INDIRECT(CHAR(39)&amp;$A3473&amp;CHAR(39)&amp;"!r2c"&amp;$C3473,0),variables,2,0)</f>
        <v>9779</v>
      </c>
      <c r="H3473" s="71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67" t="s">
        <v>1429</v>
      </c>
      <c r="B3474" s="66">
        <f t="shared" ref="B3474:B3537" si="7119">B3386+1</f>
        <v>8</v>
      </c>
      <c r="C3474" s="66">
        <f t="shared" si="6991"/>
        <v>35</v>
      </c>
      <c r="E3474" s="66">
        <f t="shared" ref="E3474" si="7120">plan_id</f>
        <v>1952</v>
      </c>
      <c r="F3474" s="66">
        <f t="shared" ca="1" si="7085"/>
        <v>2006</v>
      </c>
      <c r="G3474" s="66">
        <f t="shared" ref="G3474" ca="1" si="7121">VLOOKUP(INDIRECT(CHAR(39)&amp;$A3474&amp;CHAR(39)&amp;"!r2c"&amp;$C3474,0),variables,2,0)</f>
        <v>9785</v>
      </c>
      <c r="H3474" s="71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67" t="s">
        <v>1429</v>
      </c>
      <c r="B3475" s="66">
        <f t="shared" si="7119"/>
        <v>8</v>
      </c>
      <c r="C3475" s="66">
        <f t="shared" ref="C3475:C3538" si="7122">C3387</f>
        <v>36</v>
      </c>
      <c r="E3475" s="66">
        <f t="shared" ref="E3475" si="7123">plan_id</f>
        <v>1952</v>
      </c>
      <c r="F3475" s="66">
        <f t="shared" ca="1" si="7085"/>
        <v>2006</v>
      </c>
      <c r="G3475" s="66">
        <f t="shared" ref="G3475" ca="1" si="7124">VLOOKUP(INDIRECT(CHAR(39)&amp;$A3475&amp;CHAR(39)&amp;"!r2c"&amp;$C3475,0),variables,2,0)</f>
        <v>9794</v>
      </c>
      <c r="H3475" s="71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67" t="s">
        <v>1429</v>
      </c>
      <c r="B3476" s="66">
        <f t="shared" si="7119"/>
        <v>8</v>
      </c>
      <c r="C3476" s="66">
        <f t="shared" si="7122"/>
        <v>37</v>
      </c>
      <c r="E3476" s="66">
        <f t="shared" ref="E3476" si="7125">plan_id</f>
        <v>1952</v>
      </c>
      <c r="F3476" s="66">
        <f t="shared" ca="1" si="7085"/>
        <v>2006</v>
      </c>
      <c r="G3476" s="66">
        <f t="shared" ref="G3476" ca="1" si="7126">VLOOKUP(INDIRECT(CHAR(39)&amp;$A3476&amp;CHAR(39)&amp;"!r2c"&amp;$C3476,0),variables,2,0)</f>
        <v>9797</v>
      </c>
      <c r="H3476" s="71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67" t="s">
        <v>1429</v>
      </c>
      <c r="B3477" s="66">
        <f t="shared" si="7119"/>
        <v>8</v>
      </c>
      <c r="C3477" s="66">
        <f t="shared" si="7122"/>
        <v>38</v>
      </c>
      <c r="E3477" s="66">
        <f t="shared" ref="E3477" si="7127">plan_id</f>
        <v>1952</v>
      </c>
      <c r="F3477" s="66">
        <f t="shared" ca="1" si="7085"/>
        <v>2006</v>
      </c>
      <c r="G3477" s="66">
        <f t="shared" ref="G3477" ca="1" si="7128">VLOOKUP(INDIRECT(CHAR(39)&amp;$A3477&amp;CHAR(39)&amp;"!r2c"&amp;$C3477,0),variables,2,0)</f>
        <v>9806</v>
      </c>
      <c r="H3477" s="71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67" t="s">
        <v>1429</v>
      </c>
      <c r="B3478" s="66">
        <f t="shared" si="7119"/>
        <v>8</v>
      </c>
      <c r="C3478" s="66">
        <f t="shared" si="7122"/>
        <v>39</v>
      </c>
      <c r="E3478" s="66">
        <f t="shared" ref="E3478" si="7129">plan_id</f>
        <v>1952</v>
      </c>
      <c r="F3478" s="66">
        <f t="shared" ca="1" si="7085"/>
        <v>2006</v>
      </c>
      <c r="G3478" s="66">
        <f t="shared" ref="G3478" ca="1" si="7130">VLOOKUP(INDIRECT(CHAR(39)&amp;$A3478&amp;CHAR(39)&amp;"!r2c"&amp;$C3478,0),variables,2,0)</f>
        <v>9809</v>
      </c>
      <c r="H3478" s="71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67" t="s">
        <v>1429</v>
      </c>
      <c r="B3479" s="66">
        <f t="shared" si="7119"/>
        <v>8</v>
      </c>
      <c r="C3479" s="66">
        <f t="shared" si="7122"/>
        <v>40</v>
      </c>
      <c r="E3479" s="66">
        <f t="shared" ref="E3479" si="7131">plan_id</f>
        <v>1952</v>
      </c>
      <c r="F3479" s="66">
        <f t="shared" ca="1" si="7085"/>
        <v>2006</v>
      </c>
      <c r="G3479" s="66">
        <f t="shared" ref="G3479" ca="1" si="7132">VLOOKUP(INDIRECT(CHAR(39)&amp;$A3479&amp;CHAR(39)&amp;"!r2c"&amp;$C3479,0),variables,2,0)</f>
        <v>9818</v>
      </c>
      <c r="H3479" s="71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67" t="s">
        <v>1429</v>
      </c>
      <c r="B3480" s="66">
        <f t="shared" si="7119"/>
        <v>8</v>
      </c>
      <c r="C3480" s="66">
        <f t="shared" si="7122"/>
        <v>41</v>
      </c>
      <c r="E3480" s="66">
        <f t="shared" ref="E3480" si="7133">plan_id</f>
        <v>1952</v>
      </c>
      <c r="F3480" s="66">
        <f t="shared" ca="1" si="7085"/>
        <v>2006</v>
      </c>
      <c r="G3480" s="66">
        <f t="shared" ref="G3480" ca="1" si="7134">VLOOKUP(INDIRECT(CHAR(39)&amp;$A3480&amp;CHAR(39)&amp;"!r2c"&amp;$C3480,0),variables,2,0)</f>
        <v>9839</v>
      </c>
      <c r="H3480" s="71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67" t="s">
        <v>1429</v>
      </c>
      <c r="B3481" s="66">
        <f t="shared" si="7119"/>
        <v>8</v>
      </c>
      <c r="C3481" s="66">
        <f t="shared" si="7122"/>
        <v>42</v>
      </c>
      <c r="E3481" s="66">
        <f t="shared" ref="E3481" si="7135">plan_id</f>
        <v>1952</v>
      </c>
      <c r="F3481" s="66">
        <f t="shared" ca="1" si="7085"/>
        <v>2006</v>
      </c>
      <c r="G3481" s="66">
        <f t="shared" ref="G3481" ca="1" si="7136">VLOOKUP(INDIRECT(CHAR(39)&amp;$A3481&amp;CHAR(39)&amp;"!r2c"&amp;$C3481,0),variables,2,0)</f>
        <v>9860</v>
      </c>
      <c r="H3481" s="71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67" t="s">
        <v>1429</v>
      </c>
      <c r="B3482" s="66">
        <f t="shared" si="7119"/>
        <v>8</v>
      </c>
      <c r="C3482" s="66">
        <f t="shared" si="7122"/>
        <v>43</v>
      </c>
      <c r="E3482" s="66">
        <f t="shared" ref="E3482" si="7137">plan_id</f>
        <v>1952</v>
      </c>
      <c r="F3482" s="66">
        <f t="shared" ca="1" si="7085"/>
        <v>2006</v>
      </c>
      <c r="G3482" s="66">
        <f t="shared" ref="G3482" ca="1" si="7138">VLOOKUP(INDIRECT(CHAR(39)&amp;$A3482&amp;CHAR(39)&amp;"!r2c"&amp;$C3482,0),variables,2,0)</f>
        <v>9863</v>
      </c>
      <c r="H3482" s="71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67" t="s">
        <v>1429</v>
      </c>
      <c r="B3483" s="66">
        <f t="shared" si="7119"/>
        <v>8</v>
      </c>
      <c r="C3483" s="66">
        <f t="shared" si="7122"/>
        <v>44</v>
      </c>
      <c r="E3483" s="66">
        <f t="shared" ref="E3483" si="7139">plan_id</f>
        <v>1952</v>
      </c>
      <c r="F3483" s="66">
        <f t="shared" ca="1" si="7085"/>
        <v>2006</v>
      </c>
      <c r="G3483" s="66">
        <f t="shared" ref="G3483" ca="1" si="7140">VLOOKUP(INDIRECT(CHAR(39)&amp;$A3483&amp;CHAR(39)&amp;"!r2c"&amp;$C3483,0),variables,2,0)</f>
        <v>9878</v>
      </c>
      <c r="H3483" s="71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67" t="s">
        <v>1429</v>
      </c>
      <c r="B3484" s="66">
        <f t="shared" si="7119"/>
        <v>8</v>
      </c>
      <c r="C3484" s="66">
        <f t="shared" si="7122"/>
        <v>45</v>
      </c>
      <c r="E3484" s="66">
        <f t="shared" ref="E3484" si="7141">plan_id</f>
        <v>1952</v>
      </c>
      <c r="F3484" s="66">
        <f t="shared" ca="1" si="7085"/>
        <v>2006</v>
      </c>
      <c r="G3484" s="66">
        <f t="shared" ref="G3484" ca="1" si="7142">VLOOKUP(INDIRECT(CHAR(39)&amp;$A3484&amp;CHAR(39)&amp;"!r2c"&amp;$C3484,0),variables,2,0)</f>
        <v>9923</v>
      </c>
      <c r="H3484" s="71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67" t="s">
        <v>1429</v>
      </c>
      <c r="B3485" s="66">
        <f t="shared" si="7119"/>
        <v>8</v>
      </c>
      <c r="C3485" s="66">
        <f t="shared" si="7122"/>
        <v>46</v>
      </c>
      <c r="E3485" s="66">
        <f t="shared" ref="E3485" si="7143">plan_id</f>
        <v>1952</v>
      </c>
      <c r="F3485" s="66">
        <f t="shared" ca="1" si="7085"/>
        <v>2006</v>
      </c>
      <c r="G3485" s="66">
        <f t="shared" ref="G3485" ca="1" si="7144">VLOOKUP(INDIRECT(CHAR(39)&amp;$A3485&amp;CHAR(39)&amp;"!r2c"&amp;$C3485,0),variables,2,0)</f>
        <v>9932</v>
      </c>
      <c r="H3485" s="71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67" t="s">
        <v>1429</v>
      </c>
      <c r="B3486" s="66">
        <f t="shared" si="7119"/>
        <v>8</v>
      </c>
      <c r="C3486" s="66">
        <f t="shared" si="7122"/>
        <v>47</v>
      </c>
      <c r="E3486" s="66">
        <f t="shared" ref="E3486" si="7145">plan_id</f>
        <v>1952</v>
      </c>
      <c r="F3486" s="66">
        <f t="shared" ca="1" si="7085"/>
        <v>2006</v>
      </c>
      <c r="G3486" s="66">
        <f t="shared" ref="G3486" ca="1" si="7146">VLOOKUP(INDIRECT(CHAR(39)&amp;$A3486&amp;CHAR(39)&amp;"!r2c"&amp;$C3486,0),variables,2,0)</f>
        <v>9935</v>
      </c>
      <c r="H3486" s="71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67" t="s">
        <v>1429</v>
      </c>
      <c r="B3487" s="66">
        <f t="shared" si="7119"/>
        <v>8</v>
      </c>
      <c r="C3487" s="66">
        <f t="shared" si="7122"/>
        <v>48</v>
      </c>
      <c r="E3487" s="66">
        <f t="shared" ref="E3487" si="7147">plan_id</f>
        <v>1952</v>
      </c>
      <c r="F3487" s="66">
        <f t="shared" ca="1" si="7085"/>
        <v>2006</v>
      </c>
      <c r="G3487" s="66">
        <f t="shared" ref="G3487" ca="1" si="7148">VLOOKUP(INDIRECT(CHAR(39)&amp;$A3487&amp;CHAR(39)&amp;"!r2c"&amp;$C3487,0),variables,2,0)</f>
        <v>9651</v>
      </c>
      <c r="H3487" s="71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67" t="s">
        <v>1429</v>
      </c>
      <c r="B3488" s="66">
        <f t="shared" si="7119"/>
        <v>8</v>
      </c>
      <c r="C3488" s="66">
        <f t="shared" si="7122"/>
        <v>49</v>
      </c>
      <c r="E3488" s="66">
        <f t="shared" ref="E3488" si="7149">plan_id</f>
        <v>1952</v>
      </c>
      <c r="F3488" s="66">
        <f t="shared" ca="1" si="7085"/>
        <v>2006</v>
      </c>
      <c r="G3488" s="66">
        <f t="shared" ref="G3488" ca="1" si="7150">VLOOKUP(INDIRECT(CHAR(39)&amp;$A3488&amp;CHAR(39)&amp;"!r2c"&amp;$C3488,0),variables,2,0)</f>
        <v>9722</v>
      </c>
      <c r="H3488" s="71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67" t="s">
        <v>1429</v>
      </c>
      <c r="B3489" s="66">
        <f t="shared" si="7119"/>
        <v>8</v>
      </c>
      <c r="C3489" s="66">
        <f t="shared" si="7122"/>
        <v>50</v>
      </c>
      <c r="E3489" s="66">
        <f t="shared" ref="E3489" si="7151">plan_id</f>
        <v>1952</v>
      </c>
      <c r="F3489" s="66">
        <f t="shared" ca="1" si="7085"/>
        <v>2006</v>
      </c>
      <c r="G3489" s="66">
        <f t="shared" ref="G3489" ca="1" si="7152">VLOOKUP(INDIRECT(CHAR(39)&amp;$A3489&amp;CHAR(39)&amp;"!r2c"&amp;$C3489,0),variables,2,0)</f>
        <v>9848</v>
      </c>
      <c r="H3489" s="71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67" t="s">
        <v>1429</v>
      </c>
      <c r="B3490" s="66">
        <f t="shared" si="7119"/>
        <v>8</v>
      </c>
      <c r="C3490" s="66">
        <f t="shared" si="7122"/>
        <v>51</v>
      </c>
      <c r="E3490" s="66">
        <f t="shared" ref="E3490" si="7153">plan_id</f>
        <v>1952</v>
      </c>
      <c r="F3490" s="66">
        <f t="shared" ca="1" si="7085"/>
        <v>2006</v>
      </c>
      <c r="G3490" s="66">
        <f t="shared" ref="G3490" ca="1" si="7154">VLOOKUP(INDIRECT(CHAR(39)&amp;$A3490&amp;CHAR(39)&amp;"!r2c"&amp;$C3490,0),variables,2,0)</f>
        <v>9866</v>
      </c>
      <c r="H3490" s="71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67" t="s">
        <v>1429</v>
      </c>
      <c r="B3491" s="66">
        <f t="shared" si="7119"/>
        <v>8</v>
      </c>
      <c r="C3491" s="66">
        <f t="shared" si="7122"/>
        <v>52</v>
      </c>
      <c r="E3491" s="66">
        <f t="shared" ref="E3491" si="7155">plan_id</f>
        <v>1952</v>
      </c>
      <c r="F3491" s="66">
        <f t="shared" ca="1" si="7085"/>
        <v>2006</v>
      </c>
      <c r="G3491" s="66">
        <f t="shared" ref="G3491" ca="1" si="7156">VLOOKUP(INDIRECT(CHAR(39)&amp;$A3491&amp;CHAR(39)&amp;"!r2c"&amp;$C3491,0),variables,2,0)</f>
        <v>9899</v>
      </c>
      <c r="H3491" s="71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67" t="s">
        <v>1429</v>
      </c>
      <c r="B3492" s="66">
        <f t="shared" si="7119"/>
        <v>8</v>
      </c>
      <c r="C3492" s="66">
        <f t="shared" si="7122"/>
        <v>53</v>
      </c>
      <c r="E3492" s="66">
        <f t="shared" ref="E3492" si="7157">plan_id</f>
        <v>1952</v>
      </c>
      <c r="F3492" s="66">
        <f t="shared" ca="1" si="7085"/>
        <v>2006</v>
      </c>
      <c r="G3492" s="66">
        <f t="shared" ref="G3492" ca="1" si="7158">VLOOKUP(INDIRECT(CHAR(39)&amp;$A3492&amp;CHAR(39)&amp;"!r2c"&amp;$C3492,0),variables,2,0)</f>
        <v>9905</v>
      </c>
      <c r="H3492" s="71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67" t="s">
        <v>1429</v>
      </c>
      <c r="B3493" s="66">
        <f t="shared" si="7119"/>
        <v>8</v>
      </c>
      <c r="C3493" s="66">
        <f t="shared" si="7122"/>
        <v>54</v>
      </c>
      <c r="E3493" s="66">
        <f t="shared" ref="E3493" si="7159">plan_id</f>
        <v>1952</v>
      </c>
      <c r="F3493" s="66">
        <f t="shared" ca="1" si="7085"/>
        <v>2006</v>
      </c>
      <c r="G3493" s="66">
        <f t="shared" ref="G3493" ca="1" si="7160">VLOOKUP(INDIRECT(CHAR(39)&amp;$A3493&amp;CHAR(39)&amp;"!r2c"&amp;$C3493,0),variables,2,0)</f>
        <v>9929</v>
      </c>
      <c r="H3493" s="71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67" t="s">
        <v>1429</v>
      </c>
      <c r="B3494" s="66">
        <f t="shared" si="7119"/>
        <v>8</v>
      </c>
      <c r="C3494" s="66">
        <f t="shared" si="7122"/>
        <v>55</v>
      </c>
      <c r="E3494" s="66">
        <f t="shared" ref="E3494" si="7161">plan_id</f>
        <v>1952</v>
      </c>
      <c r="F3494" s="66">
        <f t="shared" ca="1" si="7085"/>
        <v>2006</v>
      </c>
      <c r="G3494" s="66">
        <f t="shared" ref="G3494" ca="1" si="7162">VLOOKUP(INDIRECT(CHAR(39)&amp;$A3494&amp;CHAR(39)&amp;"!r2c"&amp;$C3494,0),variables,2,0)</f>
        <v>9654</v>
      </c>
      <c r="H3494" s="71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67" t="s">
        <v>1429</v>
      </c>
      <c r="B3495" s="66">
        <f t="shared" si="7119"/>
        <v>8</v>
      </c>
      <c r="C3495" s="66">
        <f t="shared" si="7122"/>
        <v>56</v>
      </c>
      <c r="E3495" s="66">
        <f t="shared" ref="E3495" si="7163">plan_id</f>
        <v>1952</v>
      </c>
      <c r="F3495" s="66">
        <f t="shared" ca="1" si="7085"/>
        <v>2006</v>
      </c>
      <c r="G3495" s="66">
        <f t="shared" ref="G3495" ca="1" si="7164">VLOOKUP(INDIRECT(CHAR(39)&amp;$A3495&amp;CHAR(39)&amp;"!r2c"&amp;$C3495,0),variables,2,0)</f>
        <v>9707</v>
      </c>
      <c r="H3495" s="71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67" t="s">
        <v>1429</v>
      </c>
      <c r="B3496" s="66">
        <f t="shared" si="7119"/>
        <v>8</v>
      </c>
      <c r="C3496" s="66">
        <f t="shared" si="7122"/>
        <v>57</v>
      </c>
      <c r="E3496" s="66">
        <f t="shared" ref="E3496" si="7165">plan_id</f>
        <v>1952</v>
      </c>
      <c r="F3496" s="66">
        <f t="shared" ca="1" si="7085"/>
        <v>2006</v>
      </c>
      <c r="G3496" s="66">
        <f t="shared" ref="G3496" ca="1" si="7166">VLOOKUP(INDIRECT(CHAR(39)&amp;$A3496&amp;CHAR(39)&amp;"!r2c"&amp;$C3496,0),variables,2,0)</f>
        <v>9669</v>
      </c>
      <c r="H3496" s="71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67" t="s">
        <v>1429</v>
      </c>
      <c r="B3497" s="66">
        <f t="shared" si="7119"/>
        <v>8</v>
      </c>
      <c r="C3497" s="66">
        <f t="shared" si="7122"/>
        <v>58</v>
      </c>
      <c r="E3497" s="66">
        <f t="shared" ref="E3497" si="7167">plan_id</f>
        <v>1952</v>
      </c>
      <c r="F3497" s="66">
        <f t="shared" ca="1" si="7085"/>
        <v>2006</v>
      </c>
      <c r="G3497" s="66">
        <f t="shared" ref="G3497" ca="1" si="7168">VLOOKUP(INDIRECT(CHAR(39)&amp;$A3497&amp;CHAR(39)&amp;"!r2c"&amp;$C3497,0),variables,2,0)</f>
        <v>9851</v>
      </c>
      <c r="H3497" s="71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67" t="s">
        <v>1429</v>
      </c>
      <c r="B3498" s="66">
        <f t="shared" si="7119"/>
        <v>8</v>
      </c>
      <c r="C3498" s="66">
        <f t="shared" si="7122"/>
        <v>59</v>
      </c>
      <c r="E3498" s="66">
        <f t="shared" ref="E3498" si="7169">plan_id</f>
        <v>1952</v>
      </c>
      <c r="F3498" s="66">
        <f t="shared" ca="1" si="7085"/>
        <v>2006</v>
      </c>
      <c r="G3498" s="66">
        <f t="shared" ref="G3498" ca="1" si="7170">VLOOKUP(INDIRECT(CHAR(39)&amp;$A3498&amp;CHAR(39)&amp;"!r2c"&amp;$C3498,0),variables,2,0)</f>
        <v>9890</v>
      </c>
      <c r="H3498" s="71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67" t="s">
        <v>1429</v>
      </c>
      <c r="B3499" s="66">
        <f t="shared" si="7119"/>
        <v>8</v>
      </c>
      <c r="C3499" s="66">
        <f t="shared" si="7122"/>
        <v>60</v>
      </c>
      <c r="E3499" s="66">
        <f t="shared" ref="E3499" si="7171">plan_id</f>
        <v>1952</v>
      </c>
      <c r="F3499" s="66">
        <f t="shared" ca="1" si="7085"/>
        <v>2006</v>
      </c>
      <c r="G3499" s="66">
        <f t="shared" ref="G3499" ca="1" si="7172">VLOOKUP(INDIRECT(CHAR(39)&amp;$A3499&amp;CHAR(39)&amp;"!r2c"&amp;$C3499,0),variables,2,0)</f>
        <v>9893</v>
      </c>
      <c r="H3499" s="71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67" t="s">
        <v>1429</v>
      </c>
      <c r="B3500" s="66">
        <f t="shared" si="7119"/>
        <v>8</v>
      </c>
      <c r="C3500" s="66">
        <f t="shared" si="7122"/>
        <v>61</v>
      </c>
      <c r="E3500" s="66">
        <f t="shared" ref="E3500" si="7173">plan_id</f>
        <v>1952</v>
      </c>
      <c r="F3500" s="66">
        <f t="shared" ca="1" si="7085"/>
        <v>2006</v>
      </c>
      <c r="G3500" s="66">
        <f t="shared" ref="G3500" ca="1" si="7174">VLOOKUP(INDIRECT(CHAR(39)&amp;$A3500&amp;CHAR(39)&amp;"!r2c"&amp;$C3500,0),variables,2,0)</f>
        <v>9896</v>
      </c>
      <c r="H3500" s="71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67" t="s">
        <v>1429</v>
      </c>
      <c r="B3501" s="66">
        <f t="shared" si="7119"/>
        <v>8</v>
      </c>
      <c r="C3501" s="66">
        <f t="shared" si="7122"/>
        <v>62</v>
      </c>
      <c r="E3501" s="66">
        <f t="shared" ref="E3501" si="7175">plan_id</f>
        <v>1952</v>
      </c>
      <c r="F3501" s="66">
        <f t="shared" ca="1" si="7085"/>
        <v>2006</v>
      </c>
      <c r="G3501" s="66">
        <f t="shared" ref="G3501" ca="1" si="7176">VLOOKUP(INDIRECT(CHAR(39)&amp;$A3501&amp;CHAR(39)&amp;"!r2c"&amp;$C3501,0),variables,2,0)</f>
        <v>9660</v>
      </c>
      <c r="H3501" s="71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67" t="s">
        <v>1429</v>
      </c>
      <c r="B3502" s="66">
        <f t="shared" si="7119"/>
        <v>8</v>
      </c>
      <c r="C3502" s="66">
        <f t="shared" si="7122"/>
        <v>63</v>
      </c>
      <c r="E3502" s="66">
        <f t="shared" ref="E3502" si="7177">plan_id</f>
        <v>1952</v>
      </c>
      <c r="F3502" s="66">
        <f t="shared" ca="1" si="7085"/>
        <v>2006</v>
      </c>
      <c r="G3502" s="66">
        <f t="shared" ref="G3502" ca="1" si="7178">VLOOKUP(INDIRECT(CHAR(39)&amp;$A3502&amp;CHAR(39)&amp;"!r2c"&amp;$C3502,0),variables,2,0)</f>
        <v>9701</v>
      </c>
      <c r="H3502" s="71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67" t="s">
        <v>1429</v>
      </c>
      <c r="B3503" s="66">
        <f t="shared" si="7119"/>
        <v>8</v>
      </c>
      <c r="C3503" s="66">
        <f t="shared" si="7122"/>
        <v>64</v>
      </c>
      <c r="E3503" s="66">
        <f t="shared" ref="E3503" si="7179">plan_id</f>
        <v>1952</v>
      </c>
      <c r="F3503" s="66">
        <f t="shared" ca="1" si="7085"/>
        <v>2006</v>
      </c>
      <c r="G3503" s="66">
        <f t="shared" ref="G3503" ca="1" si="7180">VLOOKUP(INDIRECT(CHAR(39)&amp;$A3503&amp;CHAR(39)&amp;"!r2c"&amp;$C3503,0),variables,2,0)</f>
        <v>9728</v>
      </c>
      <c r="H3503" s="71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67" t="s">
        <v>1429</v>
      </c>
      <c r="B3504" s="66">
        <f t="shared" si="7119"/>
        <v>8</v>
      </c>
      <c r="C3504" s="66">
        <f t="shared" si="7122"/>
        <v>65</v>
      </c>
      <c r="E3504" s="66">
        <f t="shared" ref="E3504" si="7181">plan_id</f>
        <v>1952</v>
      </c>
      <c r="F3504" s="66">
        <f t="shared" ca="1" si="7085"/>
        <v>2006</v>
      </c>
      <c r="G3504" s="66">
        <f t="shared" ref="G3504" ca="1" si="7182">VLOOKUP(INDIRECT(CHAR(39)&amp;$A3504&amp;CHAR(39)&amp;"!r2c"&amp;$C3504,0),variables,2,0)</f>
        <v>9731</v>
      </c>
      <c r="H3504" s="71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67" t="s">
        <v>1429</v>
      </c>
      <c r="B3505" s="66">
        <f t="shared" si="7119"/>
        <v>8</v>
      </c>
      <c r="C3505" s="66">
        <f t="shared" si="7122"/>
        <v>66</v>
      </c>
      <c r="E3505" s="66">
        <f t="shared" ref="E3505" si="7183">plan_id</f>
        <v>1952</v>
      </c>
      <c r="F3505" s="66">
        <f t="shared" ca="1" si="7085"/>
        <v>2006</v>
      </c>
      <c r="G3505" s="66">
        <f t="shared" ref="G3505" ca="1" si="7184">VLOOKUP(INDIRECT(CHAR(39)&amp;$A3505&amp;CHAR(39)&amp;"!r2c"&amp;$C3505,0),variables,2,0)</f>
        <v>9737</v>
      </c>
      <c r="H3505" s="71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67" t="s">
        <v>1429</v>
      </c>
      <c r="B3506" s="66">
        <f t="shared" si="7119"/>
        <v>8</v>
      </c>
      <c r="C3506" s="66">
        <f t="shared" si="7122"/>
        <v>67</v>
      </c>
      <c r="E3506" s="66">
        <f t="shared" ref="E3506" si="7185">plan_id</f>
        <v>1952</v>
      </c>
      <c r="F3506" s="66">
        <f t="shared" ca="1" si="7085"/>
        <v>2006</v>
      </c>
      <c r="G3506" s="66">
        <f t="shared" ref="G3506" ca="1" si="7186">VLOOKUP(INDIRECT(CHAR(39)&amp;$A3506&amp;CHAR(39)&amp;"!r2c"&amp;$C3506,0),variables,2,0)</f>
        <v>9740</v>
      </c>
      <c r="H3506" s="71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67" t="s">
        <v>1429</v>
      </c>
      <c r="B3507" s="66">
        <f t="shared" si="7119"/>
        <v>8</v>
      </c>
      <c r="C3507" s="66">
        <f t="shared" si="7122"/>
        <v>68</v>
      </c>
      <c r="E3507" s="66">
        <f t="shared" ref="E3507" si="7187">plan_id</f>
        <v>1952</v>
      </c>
      <c r="F3507" s="66">
        <f t="shared" ca="1" si="7085"/>
        <v>2006</v>
      </c>
      <c r="G3507" s="66">
        <f t="shared" ref="G3507" ca="1" si="7188">VLOOKUP(INDIRECT(CHAR(39)&amp;$A3507&amp;CHAR(39)&amp;"!r2c"&amp;$C3507,0),variables,2,0)</f>
        <v>9752</v>
      </c>
      <c r="H3507" s="71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67" t="s">
        <v>1429</v>
      </c>
      <c r="B3508" s="66">
        <f t="shared" si="7119"/>
        <v>8</v>
      </c>
      <c r="C3508" s="66">
        <f t="shared" si="7122"/>
        <v>69</v>
      </c>
      <c r="E3508" s="66">
        <f t="shared" ref="E3508" si="7189">plan_id</f>
        <v>1952</v>
      </c>
      <c r="F3508" s="66">
        <f t="shared" ca="1" si="7085"/>
        <v>2006</v>
      </c>
      <c r="G3508" s="66">
        <f t="shared" ref="G3508" ca="1" si="7190">VLOOKUP(INDIRECT(CHAR(39)&amp;$A3508&amp;CHAR(39)&amp;"!r2c"&amp;$C3508,0),variables,2,0)</f>
        <v>9791</v>
      </c>
      <c r="H3508" s="71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67" t="s">
        <v>1429</v>
      </c>
      <c r="B3509" s="66">
        <f t="shared" si="7119"/>
        <v>8</v>
      </c>
      <c r="C3509" s="66">
        <f t="shared" si="7122"/>
        <v>70</v>
      </c>
      <c r="E3509" s="66">
        <f t="shared" ref="E3509" si="7191">plan_id</f>
        <v>1952</v>
      </c>
      <c r="F3509" s="66">
        <f t="shared" ca="1" si="7085"/>
        <v>2006</v>
      </c>
      <c r="G3509" s="66">
        <f t="shared" ref="G3509" ca="1" si="7192">VLOOKUP(INDIRECT(CHAR(39)&amp;$A3509&amp;CHAR(39)&amp;"!r2c"&amp;$C3509,0),variables,2,0)</f>
        <v>9800</v>
      </c>
      <c r="H3509" s="71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67" t="s">
        <v>1429</v>
      </c>
      <c r="B3510" s="66">
        <f t="shared" si="7119"/>
        <v>8</v>
      </c>
      <c r="C3510" s="66">
        <f t="shared" si="7122"/>
        <v>71</v>
      </c>
      <c r="E3510" s="66">
        <f t="shared" ref="E3510" si="7193">plan_id</f>
        <v>1952</v>
      </c>
      <c r="F3510" s="66">
        <f t="shared" ca="1" si="7085"/>
        <v>2006</v>
      </c>
      <c r="G3510" s="66">
        <f t="shared" ref="G3510" ca="1" si="7194">VLOOKUP(INDIRECT(CHAR(39)&amp;$A3510&amp;CHAR(39)&amp;"!r2c"&amp;$C3510,0),variables,2,0)</f>
        <v>9842</v>
      </c>
      <c r="H3510" s="71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67" t="s">
        <v>1429</v>
      </c>
      <c r="B3511" s="66">
        <f t="shared" si="7119"/>
        <v>8</v>
      </c>
      <c r="C3511" s="66">
        <f t="shared" si="7122"/>
        <v>72</v>
      </c>
      <c r="E3511" s="66">
        <f t="shared" ref="E3511" si="7195">plan_id</f>
        <v>1952</v>
      </c>
      <c r="F3511" s="66">
        <f t="shared" ca="1" si="7085"/>
        <v>2006</v>
      </c>
      <c r="G3511" s="66">
        <f t="shared" ref="G3511" ca="1" si="7196">VLOOKUP(INDIRECT(CHAR(39)&amp;$A3511&amp;CHAR(39)&amp;"!r2c"&amp;$C3511,0),variables,2,0)</f>
        <v>9854</v>
      </c>
      <c r="H3511" s="71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67" t="s">
        <v>1429</v>
      </c>
      <c r="B3512" s="66">
        <f t="shared" si="7119"/>
        <v>8</v>
      </c>
      <c r="C3512" s="66">
        <f t="shared" si="7122"/>
        <v>73</v>
      </c>
      <c r="E3512" s="66">
        <f t="shared" ref="E3512" si="7197">plan_id</f>
        <v>1952</v>
      </c>
      <c r="F3512" s="66">
        <f t="shared" ca="1" si="7085"/>
        <v>2006</v>
      </c>
      <c r="G3512" s="66">
        <f t="shared" ref="G3512" ca="1" si="7198">VLOOKUP(INDIRECT(CHAR(39)&amp;$A3512&amp;CHAR(39)&amp;"!r2c"&amp;$C3512,0),variables,2,0)</f>
        <v>9869</v>
      </c>
      <c r="H3512" s="71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67" t="s">
        <v>1429</v>
      </c>
      <c r="B3513" s="66">
        <f t="shared" si="7119"/>
        <v>8</v>
      </c>
      <c r="C3513" s="66">
        <f t="shared" si="7122"/>
        <v>74</v>
      </c>
      <c r="E3513" s="66">
        <f t="shared" ref="E3513" si="7199">plan_id</f>
        <v>1952</v>
      </c>
      <c r="F3513" s="66">
        <f t="shared" ca="1" si="7085"/>
        <v>2006</v>
      </c>
      <c r="G3513" s="66">
        <f t="shared" ref="G3513" ca="1" si="7200">VLOOKUP(INDIRECT(CHAR(39)&amp;$A3513&amp;CHAR(39)&amp;"!r2c"&amp;$C3513,0),variables,2,0)</f>
        <v>9873</v>
      </c>
      <c r="H3513" s="71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67" t="s">
        <v>1429</v>
      </c>
      <c r="B3514" s="66">
        <f t="shared" si="7119"/>
        <v>8</v>
      </c>
      <c r="C3514" s="66">
        <f t="shared" si="7122"/>
        <v>75</v>
      </c>
      <c r="E3514" s="66">
        <f t="shared" ref="E3514" si="7201">plan_id</f>
        <v>1952</v>
      </c>
      <c r="F3514" s="66">
        <f t="shared" ca="1" si="7085"/>
        <v>2006</v>
      </c>
      <c r="G3514" s="66">
        <f t="shared" ref="G3514" ca="1" si="7202">VLOOKUP(INDIRECT(CHAR(39)&amp;$A3514&amp;CHAR(39)&amp;"!r2c"&amp;$C3514,0),variables,2,0)</f>
        <v>9881</v>
      </c>
      <c r="H3514" s="71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67" t="s">
        <v>1429</v>
      </c>
      <c r="B3515" s="66">
        <f t="shared" si="7119"/>
        <v>8</v>
      </c>
      <c r="C3515" s="66">
        <f t="shared" si="7122"/>
        <v>76</v>
      </c>
      <c r="E3515" s="66">
        <f t="shared" ref="E3515" si="7203">plan_id</f>
        <v>1952</v>
      </c>
      <c r="F3515" s="66">
        <f t="shared" ca="1" si="7085"/>
        <v>2006</v>
      </c>
      <c r="G3515" s="66">
        <f t="shared" ref="G3515" ca="1" si="7204">VLOOKUP(INDIRECT(CHAR(39)&amp;$A3515&amp;CHAR(39)&amp;"!r2c"&amp;$C3515,0),variables,2,0)</f>
        <v>9908</v>
      </c>
      <c r="H3515" s="71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67" t="s">
        <v>1429</v>
      </c>
      <c r="B3516" s="66">
        <f t="shared" si="7119"/>
        <v>8</v>
      </c>
      <c r="C3516" s="66">
        <f t="shared" si="7122"/>
        <v>77</v>
      </c>
      <c r="E3516" s="66">
        <f t="shared" ref="E3516" si="7205">plan_id</f>
        <v>1952</v>
      </c>
      <c r="F3516" s="66">
        <f t="shared" ca="1" si="7085"/>
        <v>2006</v>
      </c>
      <c r="G3516" s="66">
        <f t="shared" ref="G3516" ca="1" si="7206">VLOOKUP(INDIRECT(CHAR(39)&amp;$A3516&amp;CHAR(39)&amp;"!r2c"&amp;$C3516,0),variables,2,0)</f>
        <v>9911</v>
      </c>
      <c r="H3516" s="71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67" t="s">
        <v>1429</v>
      </c>
      <c r="B3517" s="66">
        <f t="shared" si="7119"/>
        <v>8</v>
      </c>
      <c r="C3517" s="66">
        <f t="shared" si="7122"/>
        <v>78</v>
      </c>
      <c r="E3517" s="66">
        <f t="shared" ref="E3517" si="7207">plan_id</f>
        <v>1952</v>
      </c>
      <c r="F3517" s="66">
        <f t="shared" ca="1" si="7085"/>
        <v>2006</v>
      </c>
      <c r="G3517" s="66">
        <f t="shared" ref="G3517" ca="1" si="7208">VLOOKUP(INDIRECT(CHAR(39)&amp;$A3517&amp;CHAR(39)&amp;"!r2c"&amp;$C3517,0),variables,2,0)</f>
        <v>9663</v>
      </c>
      <c r="H3517" s="71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67" t="s">
        <v>1429</v>
      </c>
      <c r="B3518" s="66">
        <f t="shared" si="7119"/>
        <v>8</v>
      </c>
      <c r="C3518" s="66">
        <f t="shared" si="7122"/>
        <v>79</v>
      </c>
      <c r="E3518" s="66">
        <f t="shared" ref="E3518" si="7209">plan_id</f>
        <v>1952</v>
      </c>
      <c r="F3518" s="66">
        <f t="shared" ca="1" si="7085"/>
        <v>2006</v>
      </c>
      <c r="G3518" s="66">
        <f t="shared" ref="G3518" ca="1" si="7210">VLOOKUP(INDIRECT(CHAR(39)&amp;$A3518&amp;CHAR(39)&amp;"!r2c"&amp;$C3518,0),variables,2,0)</f>
        <v>9710</v>
      </c>
      <c r="H3518" s="71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67" t="s">
        <v>1429</v>
      </c>
      <c r="B3519" s="66">
        <f t="shared" si="7119"/>
        <v>8</v>
      </c>
      <c r="C3519" s="66">
        <f t="shared" si="7122"/>
        <v>80</v>
      </c>
      <c r="E3519" s="66">
        <f t="shared" ref="E3519" si="7211">plan_id</f>
        <v>1952</v>
      </c>
      <c r="F3519" s="66">
        <f t="shared" ca="1" si="7085"/>
        <v>2006</v>
      </c>
      <c r="G3519" s="66">
        <f t="shared" ref="G3519" ca="1" si="7212">VLOOKUP(INDIRECT(CHAR(39)&amp;$A3519&amp;CHAR(39)&amp;"!r2c"&amp;$C3519,0),variables,2,0)</f>
        <v>9758</v>
      </c>
      <c r="H3519" s="71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67" t="s">
        <v>1429</v>
      </c>
      <c r="B3520" s="66">
        <f t="shared" si="7119"/>
        <v>8</v>
      </c>
      <c r="C3520" s="66">
        <f t="shared" si="7122"/>
        <v>81</v>
      </c>
      <c r="E3520" s="66">
        <f t="shared" ref="E3520" si="7213">plan_id</f>
        <v>1952</v>
      </c>
      <c r="F3520" s="66">
        <f t="shared" ca="1" si="7085"/>
        <v>2006</v>
      </c>
      <c r="G3520" s="66">
        <f t="shared" ref="G3520" ca="1" si="7214">VLOOKUP(INDIRECT(CHAR(39)&amp;$A3520&amp;CHAR(39)&amp;"!r2c"&amp;$C3520,0),variables,2,0)</f>
        <v>9803</v>
      </c>
      <c r="H3520" s="71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67" t="s">
        <v>1429</v>
      </c>
      <c r="B3521" s="66">
        <f t="shared" si="7119"/>
        <v>8</v>
      </c>
      <c r="C3521" s="66">
        <f t="shared" si="7122"/>
        <v>82</v>
      </c>
      <c r="E3521" s="66">
        <f t="shared" ref="E3521" si="7215">plan_id</f>
        <v>1952</v>
      </c>
      <c r="F3521" s="66">
        <f t="shared" ref="F3521:F3584" ca="1" si="7216">INDIRECT(CHAR(39)&amp;$A3521&amp;CHAR(39)&amp;"!r"&amp;$B3521&amp;"c2",0)</f>
        <v>2006</v>
      </c>
      <c r="G3521" s="66">
        <f t="shared" ref="G3521" ca="1" si="7217">VLOOKUP(INDIRECT(CHAR(39)&amp;$A3521&amp;CHAR(39)&amp;"!r2c"&amp;$C3521,0),variables,2,0)</f>
        <v>9857</v>
      </c>
      <c r="H3521" s="71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67" t="s">
        <v>1429</v>
      </c>
      <c r="B3522" s="66">
        <f t="shared" si="7119"/>
        <v>8</v>
      </c>
      <c r="C3522" s="66">
        <f t="shared" si="7122"/>
        <v>83</v>
      </c>
      <c r="E3522" s="66">
        <f t="shared" ref="E3522" si="7218">plan_id</f>
        <v>1952</v>
      </c>
      <c r="F3522" s="66">
        <f t="shared" ca="1" si="7216"/>
        <v>2006</v>
      </c>
      <c r="G3522" s="66">
        <f t="shared" ref="G3522" ca="1" si="7219">VLOOKUP(INDIRECT(CHAR(39)&amp;$A3522&amp;CHAR(39)&amp;"!r2c"&amp;$C3522,0),variables,2,0)</f>
        <v>9902</v>
      </c>
      <c r="H3522" s="71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67" t="s">
        <v>1429</v>
      </c>
      <c r="B3523" s="66">
        <f t="shared" si="7119"/>
        <v>8</v>
      </c>
      <c r="C3523" s="66">
        <f t="shared" si="7122"/>
        <v>84</v>
      </c>
      <c r="E3523" s="66">
        <f t="shared" ref="E3523" si="7220">plan_id</f>
        <v>1952</v>
      </c>
      <c r="F3523" s="66">
        <f t="shared" ca="1" si="7216"/>
        <v>2006</v>
      </c>
      <c r="G3523" s="66">
        <f t="shared" ref="G3523" ca="1" si="7221">VLOOKUP(INDIRECT(CHAR(39)&amp;$A3523&amp;CHAR(39)&amp;"!r2c"&amp;$C3523,0),variables,2,0)</f>
        <v>9926</v>
      </c>
      <c r="H3523" s="71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67" t="s">
        <v>1429</v>
      </c>
      <c r="B3524" s="66">
        <f t="shared" si="7119"/>
        <v>8</v>
      </c>
      <c r="C3524" s="66">
        <f t="shared" si="7122"/>
        <v>85</v>
      </c>
      <c r="E3524" s="66">
        <f t="shared" ref="E3524" si="7222">plan_id</f>
        <v>1952</v>
      </c>
      <c r="F3524" s="66">
        <f t="shared" ca="1" si="7216"/>
        <v>2006</v>
      </c>
      <c r="G3524" s="66">
        <f t="shared" ref="G3524" ca="1" si="7223">VLOOKUP(INDIRECT(CHAR(39)&amp;$A3524&amp;CHAR(39)&amp;"!r2c"&amp;$C3524,0),variables,2,0)</f>
        <v>9666</v>
      </c>
      <c r="H3524" s="71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67" t="s">
        <v>1429</v>
      </c>
      <c r="B3525" s="66">
        <f t="shared" si="7119"/>
        <v>8</v>
      </c>
      <c r="C3525" s="66">
        <f t="shared" si="7122"/>
        <v>86</v>
      </c>
      <c r="E3525" s="66">
        <f t="shared" ref="E3525" si="7224">plan_id</f>
        <v>1952</v>
      </c>
      <c r="F3525" s="66">
        <f t="shared" ca="1" si="7216"/>
        <v>2006</v>
      </c>
      <c r="G3525" s="66">
        <f t="shared" ref="G3525" ca="1" si="7225">VLOOKUP(INDIRECT(CHAR(39)&amp;$A3525&amp;CHAR(39)&amp;"!r2c"&amp;$C3525,0),variables,2,0)</f>
        <v>9827</v>
      </c>
      <c r="H3525" s="71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67" t="s">
        <v>1429</v>
      </c>
      <c r="B3526" s="66">
        <f t="shared" si="7119"/>
        <v>8</v>
      </c>
      <c r="C3526" s="66">
        <f t="shared" si="7122"/>
        <v>87</v>
      </c>
      <c r="E3526" s="66">
        <f t="shared" ref="E3526" si="7226">plan_id</f>
        <v>1952</v>
      </c>
      <c r="F3526" s="66">
        <f t="shared" ca="1" si="7216"/>
        <v>2006</v>
      </c>
      <c r="G3526" s="66">
        <f t="shared" ref="G3526" ca="1" si="7227">VLOOKUP(INDIRECT(CHAR(39)&amp;$A3526&amp;CHAR(39)&amp;"!r2c"&amp;$C3526,0),variables,2,0)</f>
        <v>9657</v>
      </c>
      <c r="H3526" s="71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67" t="s">
        <v>1429</v>
      </c>
      <c r="B3527" s="66">
        <f t="shared" si="7119"/>
        <v>8</v>
      </c>
      <c r="C3527" s="66">
        <f t="shared" si="7122"/>
        <v>88</v>
      </c>
      <c r="E3527" s="66">
        <f t="shared" ref="E3527" si="7228">plan_id</f>
        <v>1952</v>
      </c>
      <c r="F3527" s="66">
        <f t="shared" ca="1" si="7216"/>
        <v>2006</v>
      </c>
      <c r="G3527" s="66">
        <f t="shared" ref="G3527" ca="1" si="7229">VLOOKUP(INDIRECT(CHAR(39)&amp;$A3527&amp;CHAR(39)&amp;"!r2c"&amp;$C3527,0),variables,2,0)</f>
        <v>9834</v>
      </c>
      <c r="H3527" s="71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67" t="s">
        <v>1429</v>
      </c>
      <c r="B3528" s="66">
        <f t="shared" si="7119"/>
        <v>8</v>
      </c>
      <c r="C3528" s="66">
        <f t="shared" si="7122"/>
        <v>89</v>
      </c>
      <c r="E3528" s="66">
        <f t="shared" ref="E3528" si="7230">plan_id</f>
        <v>1952</v>
      </c>
      <c r="F3528" s="66">
        <f t="shared" ca="1" si="7216"/>
        <v>2006</v>
      </c>
      <c r="G3528" s="66">
        <f t="shared" ref="G3528" ca="1" si="7231">VLOOKUP(INDIRECT(CHAR(39)&amp;$A3528&amp;CHAR(39)&amp;"!r2c"&amp;$C3528,0),variables,2,0)</f>
        <v>9884</v>
      </c>
      <c r="H3528" s="71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67" t="s">
        <v>1429</v>
      </c>
      <c r="B3529" s="66">
        <f t="shared" si="7119"/>
        <v>8</v>
      </c>
      <c r="C3529" s="66">
        <f t="shared" si="7122"/>
        <v>90</v>
      </c>
      <c r="E3529" s="66">
        <f t="shared" ref="E3529" si="7232">plan_id</f>
        <v>1952</v>
      </c>
      <c r="F3529" s="66">
        <f t="shared" ca="1" si="7216"/>
        <v>2006</v>
      </c>
      <c r="G3529" s="66">
        <f t="shared" ref="G3529" ca="1" si="7233">VLOOKUP(INDIRECT(CHAR(39)&amp;$A3529&amp;CHAR(39)&amp;"!r2c"&amp;$C3529,0),variables,2,0)</f>
        <v>9672</v>
      </c>
      <c r="H3529" s="71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67" t="s">
        <v>1429</v>
      </c>
      <c r="B3530" s="66">
        <f t="shared" si="7119"/>
        <v>9</v>
      </c>
      <c r="C3530" s="66">
        <f t="shared" si="7122"/>
        <v>3</v>
      </c>
      <c r="E3530" s="66">
        <f t="shared" ref="E3530" si="7234">plan_id</f>
        <v>1952</v>
      </c>
      <c r="F3530" s="66">
        <f t="shared" ca="1" si="7216"/>
        <v>2007</v>
      </c>
      <c r="G3530" s="66">
        <f t="shared" ref="G3530" ca="1" si="7235">VLOOKUP(INDIRECT(CHAR(39)&amp;$A3530&amp;CHAR(39)&amp;"!r2c"&amp;$C3530,0),variables,2,0)</f>
        <v>9704</v>
      </c>
      <c r="H3530" s="71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67" t="s">
        <v>1429</v>
      </c>
      <c r="B3531" s="66">
        <f t="shared" si="7119"/>
        <v>9</v>
      </c>
      <c r="C3531" s="66">
        <f t="shared" si="7122"/>
        <v>4</v>
      </c>
      <c r="E3531" s="66">
        <f t="shared" ref="E3531" si="7236">plan_id</f>
        <v>1952</v>
      </c>
      <c r="F3531" s="66">
        <f t="shared" ca="1" si="7216"/>
        <v>2007</v>
      </c>
      <c r="G3531" s="66">
        <f t="shared" ref="G3531" ca="1" si="7237">VLOOKUP(INDIRECT(CHAR(39)&amp;$A3531&amp;CHAR(39)&amp;"!r2c"&amp;$C3531,0),variables,2,0)</f>
        <v>9716</v>
      </c>
      <c r="H3531" s="71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67" t="s">
        <v>1429</v>
      </c>
      <c r="B3532" s="66">
        <f t="shared" si="7119"/>
        <v>9</v>
      </c>
      <c r="C3532" s="66">
        <f t="shared" si="7122"/>
        <v>5</v>
      </c>
      <c r="E3532" s="66">
        <f t="shared" ref="E3532" si="7238">plan_id</f>
        <v>1952</v>
      </c>
      <c r="F3532" s="66">
        <f t="shared" ca="1" si="7216"/>
        <v>2007</v>
      </c>
      <c r="G3532" s="66">
        <f t="shared" ref="G3532" ca="1" si="7239">VLOOKUP(INDIRECT(CHAR(39)&amp;$A3532&amp;CHAR(39)&amp;"!r2c"&amp;$C3532,0),variables,2,0)</f>
        <v>9734</v>
      </c>
      <c r="H3532" s="71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67" t="s">
        <v>1429</v>
      </c>
      <c r="B3533" s="66">
        <f t="shared" si="7119"/>
        <v>9</v>
      </c>
      <c r="C3533" s="66">
        <f t="shared" si="7122"/>
        <v>6</v>
      </c>
      <c r="E3533" s="66">
        <f t="shared" ref="E3533" si="7240">plan_id</f>
        <v>1952</v>
      </c>
      <c r="F3533" s="66">
        <f t="shared" ca="1" si="7216"/>
        <v>2007</v>
      </c>
      <c r="G3533" s="66">
        <f t="shared" ref="G3533" ca="1" si="7241">VLOOKUP(INDIRECT(CHAR(39)&amp;$A3533&amp;CHAR(39)&amp;"!r2c"&amp;$C3533,0),variables,2,0)</f>
        <v>9749</v>
      </c>
      <c r="H3533" s="71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67" t="s">
        <v>1429</v>
      </c>
      <c r="B3534" s="66">
        <f t="shared" si="7119"/>
        <v>9</v>
      </c>
      <c r="C3534" s="66">
        <f t="shared" si="7122"/>
        <v>7</v>
      </c>
      <c r="E3534" s="66">
        <f t="shared" ref="E3534" si="7242">plan_id</f>
        <v>1952</v>
      </c>
      <c r="F3534" s="66">
        <f t="shared" ca="1" si="7216"/>
        <v>2007</v>
      </c>
      <c r="G3534" s="66">
        <f t="shared" ref="G3534" ca="1" si="7243">VLOOKUP(INDIRECT(CHAR(39)&amp;$A3534&amp;CHAR(39)&amp;"!r2c"&amp;$C3534,0),variables,2,0)</f>
        <v>9755</v>
      </c>
      <c r="H3534" s="71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67" t="s">
        <v>1429</v>
      </c>
      <c r="B3535" s="66">
        <f t="shared" si="7119"/>
        <v>9</v>
      </c>
      <c r="C3535" s="66">
        <f t="shared" si="7122"/>
        <v>8</v>
      </c>
      <c r="E3535" s="66">
        <f t="shared" ref="E3535" si="7244">plan_id</f>
        <v>1952</v>
      </c>
      <c r="F3535" s="66">
        <f t="shared" ca="1" si="7216"/>
        <v>2007</v>
      </c>
      <c r="G3535" s="66">
        <f t="shared" ref="G3535" ca="1" si="7245">VLOOKUP(INDIRECT(CHAR(39)&amp;$A3535&amp;CHAR(39)&amp;"!r2c"&amp;$C3535,0),variables,2,0)</f>
        <v>9782</v>
      </c>
      <c r="H3535" s="71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67" t="s">
        <v>1429</v>
      </c>
      <c r="B3536" s="66">
        <f t="shared" si="7119"/>
        <v>9</v>
      </c>
      <c r="C3536" s="66">
        <f t="shared" si="7122"/>
        <v>9</v>
      </c>
      <c r="E3536" s="66">
        <f t="shared" ref="E3536" si="7246">plan_id</f>
        <v>1952</v>
      </c>
      <c r="F3536" s="66">
        <f t="shared" ca="1" si="7216"/>
        <v>2007</v>
      </c>
      <c r="G3536" s="66">
        <f t="shared" ref="G3536" ca="1" si="7247">VLOOKUP(INDIRECT(CHAR(39)&amp;$A3536&amp;CHAR(39)&amp;"!r2c"&amp;$C3536,0),variables,2,0)</f>
        <v>9788</v>
      </c>
      <c r="H3536" s="71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67" t="s">
        <v>1429</v>
      </c>
      <c r="B3537" s="66">
        <f t="shared" si="7119"/>
        <v>9</v>
      </c>
      <c r="C3537" s="66">
        <f t="shared" si="7122"/>
        <v>10</v>
      </c>
      <c r="E3537" s="66">
        <f t="shared" ref="E3537" si="7248">plan_id</f>
        <v>1952</v>
      </c>
      <c r="F3537" s="66">
        <f t="shared" ca="1" si="7216"/>
        <v>2007</v>
      </c>
      <c r="G3537" s="66">
        <f t="shared" ref="G3537" ca="1" si="7249">VLOOKUP(INDIRECT(CHAR(39)&amp;$A3537&amp;CHAR(39)&amp;"!r2c"&amp;$C3537,0),variables,2,0)</f>
        <v>9812</v>
      </c>
      <c r="H3537" s="71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67" t="s">
        <v>1429</v>
      </c>
      <c r="B3538" s="66">
        <f t="shared" ref="B3538:B3601" si="7250">B3450+1</f>
        <v>9</v>
      </c>
      <c r="C3538" s="66">
        <f t="shared" si="7122"/>
        <v>11</v>
      </c>
      <c r="E3538" s="66">
        <f t="shared" ref="E3538" si="7251">plan_id</f>
        <v>1952</v>
      </c>
      <c r="F3538" s="66">
        <f t="shared" ca="1" si="7216"/>
        <v>2007</v>
      </c>
      <c r="G3538" s="66">
        <f t="shared" ref="G3538" ca="1" si="7252">VLOOKUP(INDIRECT(CHAR(39)&amp;$A3538&amp;CHAR(39)&amp;"!r2c"&amp;$C3538,0),variables,2,0)</f>
        <v>9815</v>
      </c>
      <c r="H3538" s="71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67" t="s">
        <v>1429</v>
      </c>
      <c r="B3539" s="66">
        <f t="shared" si="7250"/>
        <v>9</v>
      </c>
      <c r="C3539" s="66">
        <f t="shared" ref="C3539:C3602" si="7253">C3451</f>
        <v>12</v>
      </c>
      <c r="E3539" s="66">
        <f t="shared" ref="E3539" si="7254">plan_id</f>
        <v>1952</v>
      </c>
      <c r="F3539" s="66">
        <f t="shared" ca="1" si="7216"/>
        <v>2007</v>
      </c>
      <c r="G3539" s="66">
        <f t="shared" ref="G3539" ca="1" si="7255">VLOOKUP(INDIRECT(CHAR(39)&amp;$A3539&amp;CHAR(39)&amp;"!r2c"&amp;$C3539,0),variables,2,0)</f>
        <v>9821</v>
      </c>
      <c r="H3539" s="71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67" t="s">
        <v>1429</v>
      </c>
      <c r="B3540" s="66">
        <f t="shared" si="7250"/>
        <v>9</v>
      </c>
      <c r="C3540" s="66">
        <f t="shared" si="7253"/>
        <v>13</v>
      </c>
      <c r="E3540" s="66">
        <f t="shared" ref="E3540" si="7256">plan_id</f>
        <v>1952</v>
      </c>
      <c r="F3540" s="66">
        <f t="shared" ca="1" si="7216"/>
        <v>2007</v>
      </c>
      <c r="G3540" s="66">
        <f t="shared" ref="G3540" ca="1" si="7257">VLOOKUP(INDIRECT(CHAR(39)&amp;$A3540&amp;CHAR(39)&amp;"!r2c"&amp;$C3540,0),variables,2,0)</f>
        <v>9824</v>
      </c>
      <c r="H3540" s="71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67" t="s">
        <v>1429</v>
      </c>
      <c r="B3541" s="66">
        <f t="shared" si="7250"/>
        <v>9</v>
      </c>
      <c r="C3541" s="66">
        <f t="shared" si="7253"/>
        <v>14</v>
      </c>
      <c r="E3541" s="66">
        <f t="shared" ref="E3541" si="7258">plan_id</f>
        <v>1952</v>
      </c>
      <c r="F3541" s="66">
        <f t="shared" ca="1" si="7216"/>
        <v>2007</v>
      </c>
      <c r="G3541" s="66">
        <f t="shared" ref="G3541" ca="1" si="7259">VLOOKUP(INDIRECT(CHAR(39)&amp;$A3541&amp;CHAR(39)&amp;"!r2c"&amp;$C3541,0),variables,2,0)</f>
        <v>9830</v>
      </c>
      <c r="H3541" s="71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67" t="s">
        <v>1429</v>
      </c>
      <c r="B3542" s="66">
        <f t="shared" si="7250"/>
        <v>9</v>
      </c>
      <c r="C3542" s="66">
        <f t="shared" si="7253"/>
        <v>15</v>
      </c>
      <c r="E3542" s="66">
        <f t="shared" ref="E3542" si="7260">plan_id</f>
        <v>1952</v>
      </c>
      <c r="F3542" s="66">
        <f t="shared" ca="1" si="7216"/>
        <v>2007</v>
      </c>
      <c r="G3542" s="66">
        <f t="shared" ref="G3542" ca="1" si="7261">VLOOKUP(INDIRECT(CHAR(39)&amp;$A3542&amp;CHAR(39)&amp;"!r2c"&amp;$C3542,0),variables,2,0)</f>
        <v>9833</v>
      </c>
      <c r="H3542" s="71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67" t="s">
        <v>1429</v>
      </c>
      <c r="B3543" s="66">
        <f t="shared" si="7250"/>
        <v>9</v>
      </c>
      <c r="C3543" s="66">
        <f t="shared" si="7253"/>
        <v>16</v>
      </c>
      <c r="E3543" s="66">
        <f t="shared" ref="E3543" si="7262">plan_id</f>
        <v>1952</v>
      </c>
      <c r="F3543" s="66">
        <f t="shared" ca="1" si="7216"/>
        <v>2007</v>
      </c>
      <c r="G3543" s="66">
        <f t="shared" ref="G3543" ca="1" si="7263">VLOOKUP(INDIRECT(CHAR(39)&amp;$A3543&amp;CHAR(39)&amp;"!r2c"&amp;$C3543,0),variables,2,0)</f>
        <v>9845</v>
      </c>
      <c r="H3543" s="71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67" t="s">
        <v>1429</v>
      </c>
      <c r="B3544" s="66">
        <f t="shared" si="7250"/>
        <v>9</v>
      </c>
      <c r="C3544" s="66">
        <f t="shared" si="7253"/>
        <v>17</v>
      </c>
      <c r="E3544" s="66">
        <f t="shared" ref="E3544" si="7264">plan_id</f>
        <v>1952</v>
      </c>
      <c r="F3544" s="66">
        <f t="shared" ca="1" si="7216"/>
        <v>2007</v>
      </c>
      <c r="G3544" s="66">
        <f t="shared" ref="G3544" ca="1" si="7265">VLOOKUP(INDIRECT(CHAR(39)&amp;$A3544&amp;CHAR(39)&amp;"!r2c"&amp;$C3544,0),variables,2,0)</f>
        <v>9872</v>
      </c>
      <c r="H3544" s="71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67" t="s">
        <v>1429</v>
      </c>
      <c r="B3545" s="66">
        <f t="shared" si="7250"/>
        <v>9</v>
      </c>
      <c r="C3545" s="66">
        <f t="shared" si="7253"/>
        <v>18</v>
      </c>
      <c r="E3545" s="66">
        <f t="shared" ref="E3545" si="7266">plan_id</f>
        <v>1952</v>
      </c>
      <c r="F3545" s="66">
        <f t="shared" ca="1" si="7216"/>
        <v>2007</v>
      </c>
      <c r="G3545" s="66">
        <f t="shared" ref="G3545" ca="1" si="7267">VLOOKUP(INDIRECT(CHAR(39)&amp;$A3545&amp;CHAR(39)&amp;"!r2c"&amp;$C3545,0),variables,2,0)</f>
        <v>9887</v>
      </c>
      <c r="H3545" s="71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67" t="s">
        <v>1429</v>
      </c>
      <c r="B3546" s="66">
        <f t="shared" si="7250"/>
        <v>9</v>
      </c>
      <c r="C3546" s="66">
        <f t="shared" si="7253"/>
        <v>19</v>
      </c>
      <c r="E3546" s="66">
        <f t="shared" ref="E3546" si="7268">plan_id</f>
        <v>1952</v>
      </c>
      <c r="F3546" s="66">
        <f t="shared" ca="1" si="7216"/>
        <v>2007</v>
      </c>
      <c r="G3546" s="66">
        <f t="shared" ref="G3546" ca="1" si="7269">VLOOKUP(INDIRECT(CHAR(39)&amp;$A3546&amp;CHAR(39)&amp;"!r2c"&amp;$C3546,0),variables,2,0)</f>
        <v>9914</v>
      </c>
      <c r="H3546" s="71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67" t="s">
        <v>1429</v>
      </c>
      <c r="B3547" s="66">
        <f t="shared" si="7250"/>
        <v>9</v>
      </c>
      <c r="C3547" s="66">
        <f t="shared" si="7253"/>
        <v>20</v>
      </c>
      <c r="E3547" s="66">
        <f t="shared" ref="E3547" si="7270">plan_id</f>
        <v>1952</v>
      </c>
      <c r="F3547" s="66">
        <f t="shared" ca="1" si="7216"/>
        <v>2007</v>
      </c>
      <c r="G3547" s="66">
        <f t="shared" ref="G3547" ca="1" si="7271">VLOOKUP(INDIRECT(CHAR(39)&amp;$A3547&amp;CHAR(39)&amp;"!r2c"&amp;$C3547,0),variables,2,0)</f>
        <v>9917</v>
      </c>
      <c r="H3547" s="71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67" t="s">
        <v>1429</v>
      </c>
      <c r="B3548" s="66">
        <f t="shared" si="7250"/>
        <v>9</v>
      </c>
      <c r="C3548" s="66">
        <f t="shared" si="7253"/>
        <v>21</v>
      </c>
      <c r="E3548" s="66">
        <f t="shared" ref="E3548" si="7272">plan_id</f>
        <v>1952</v>
      </c>
      <c r="F3548" s="66">
        <f t="shared" ca="1" si="7216"/>
        <v>2007</v>
      </c>
      <c r="G3548" s="66">
        <f t="shared" ref="G3548" ca="1" si="7273">VLOOKUP(INDIRECT(CHAR(39)&amp;$A3548&amp;CHAR(39)&amp;"!r2c"&amp;$C3548,0),variables,2,0)</f>
        <v>9920</v>
      </c>
      <c r="H3548" s="71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67" t="s">
        <v>1429</v>
      </c>
      <c r="B3549" s="66">
        <f t="shared" si="7250"/>
        <v>9</v>
      </c>
      <c r="C3549" s="66">
        <f t="shared" si="7253"/>
        <v>22</v>
      </c>
      <c r="E3549" s="66">
        <f t="shared" ref="E3549" si="7274">plan_id</f>
        <v>1952</v>
      </c>
      <c r="F3549" s="66">
        <f t="shared" ca="1" si="7216"/>
        <v>2007</v>
      </c>
      <c r="G3549" s="66">
        <f t="shared" ref="G3549" ca="1" si="7275">VLOOKUP(INDIRECT(CHAR(39)&amp;$A3549&amp;CHAR(39)&amp;"!r2c"&amp;$C3549,0),variables,2,0)</f>
        <v>9648</v>
      </c>
      <c r="H3549" s="71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67" t="s">
        <v>1429</v>
      </c>
      <c r="B3550" s="66">
        <f t="shared" si="7250"/>
        <v>9</v>
      </c>
      <c r="C3550" s="66">
        <f t="shared" si="7253"/>
        <v>23</v>
      </c>
      <c r="E3550" s="66">
        <f t="shared" ref="E3550" si="7276">plan_id</f>
        <v>1952</v>
      </c>
      <c r="F3550" s="66">
        <f t="shared" ca="1" si="7216"/>
        <v>2007</v>
      </c>
      <c r="G3550" s="66">
        <f t="shared" ref="G3550" ca="1" si="7277">VLOOKUP(INDIRECT(CHAR(39)&amp;$A3550&amp;CHAR(39)&amp;"!r2c"&amp;$C3550,0),variables,2,0)</f>
        <v>9713</v>
      </c>
      <c r="H3550" s="71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67" t="s">
        <v>1429</v>
      </c>
      <c r="B3551" s="66">
        <f t="shared" si="7250"/>
        <v>9</v>
      </c>
      <c r="C3551" s="66">
        <f t="shared" si="7253"/>
        <v>24</v>
      </c>
      <c r="E3551" s="66">
        <f t="shared" ref="E3551" si="7278">plan_id</f>
        <v>1952</v>
      </c>
      <c r="F3551" s="66">
        <f t="shared" ca="1" si="7216"/>
        <v>2007</v>
      </c>
      <c r="G3551" s="66">
        <f t="shared" ref="G3551" ca="1" si="7279">VLOOKUP(INDIRECT(CHAR(39)&amp;$A3551&amp;CHAR(39)&amp;"!r2c"&amp;$C3551,0),variables,2,0)</f>
        <v>9719</v>
      </c>
      <c r="H3551" s="71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67" t="s">
        <v>1429</v>
      </c>
      <c r="B3552" s="66">
        <f t="shared" si="7250"/>
        <v>9</v>
      </c>
      <c r="C3552" s="66">
        <f t="shared" si="7253"/>
        <v>25</v>
      </c>
      <c r="E3552" s="66">
        <f t="shared" ref="E3552" si="7280">plan_id</f>
        <v>1952</v>
      </c>
      <c r="F3552" s="66">
        <f t="shared" ca="1" si="7216"/>
        <v>2007</v>
      </c>
      <c r="G3552" s="66">
        <f t="shared" ref="G3552" ca="1" si="7281">VLOOKUP(INDIRECT(CHAR(39)&amp;$A3552&amp;CHAR(39)&amp;"!r2c"&amp;$C3552,0),variables,2,0)</f>
        <v>9725</v>
      </c>
      <c r="H3552" s="71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67" t="s">
        <v>1429</v>
      </c>
      <c r="B3553" s="66">
        <f t="shared" si="7250"/>
        <v>9</v>
      </c>
      <c r="C3553" s="66">
        <f t="shared" si="7253"/>
        <v>26</v>
      </c>
      <c r="E3553" s="66">
        <f t="shared" ref="E3553" si="7282">plan_id</f>
        <v>1952</v>
      </c>
      <c r="F3553" s="66">
        <f t="shared" ca="1" si="7216"/>
        <v>2007</v>
      </c>
      <c r="G3553" s="66">
        <f t="shared" ref="G3553" ca="1" si="7283">VLOOKUP(INDIRECT(CHAR(39)&amp;$A3553&amp;CHAR(39)&amp;"!r2c"&amp;$C3553,0),variables,2,0)</f>
        <v>9743</v>
      </c>
      <c r="H3553" s="71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67" t="s">
        <v>1429</v>
      </c>
      <c r="B3554" s="66">
        <f t="shared" si="7250"/>
        <v>9</v>
      </c>
      <c r="C3554" s="66">
        <f t="shared" si="7253"/>
        <v>27</v>
      </c>
      <c r="E3554" s="66">
        <f t="shared" ref="E3554" si="7284">plan_id</f>
        <v>1952</v>
      </c>
      <c r="F3554" s="66">
        <f t="shared" ca="1" si="7216"/>
        <v>2007</v>
      </c>
      <c r="G3554" s="66">
        <f t="shared" ref="G3554" ca="1" si="7285">VLOOKUP(INDIRECT(CHAR(39)&amp;$A3554&amp;CHAR(39)&amp;"!r2c"&amp;$C3554,0),variables,2,0)</f>
        <v>9746</v>
      </c>
      <c r="H3554" s="71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67" t="s">
        <v>1429</v>
      </c>
      <c r="B3555" s="66">
        <f t="shared" si="7250"/>
        <v>9</v>
      </c>
      <c r="C3555" s="66">
        <f t="shared" si="7253"/>
        <v>28</v>
      </c>
      <c r="E3555" s="66">
        <f t="shared" ref="E3555" si="7286">plan_id</f>
        <v>1952</v>
      </c>
      <c r="F3555" s="66">
        <f t="shared" ca="1" si="7216"/>
        <v>2007</v>
      </c>
      <c r="G3555" s="66">
        <f t="shared" ref="G3555" ca="1" si="7287">VLOOKUP(INDIRECT(CHAR(39)&amp;$A3555&amp;CHAR(39)&amp;"!r2c"&amp;$C3555,0),variables,2,0)</f>
        <v>9761</v>
      </c>
      <c r="H3555" s="71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67" t="s">
        <v>1429</v>
      </c>
      <c r="B3556" s="66">
        <f t="shared" si="7250"/>
        <v>9</v>
      </c>
      <c r="C3556" s="66">
        <f t="shared" si="7253"/>
        <v>29</v>
      </c>
      <c r="E3556" s="66">
        <f t="shared" ref="E3556" si="7288">plan_id</f>
        <v>1952</v>
      </c>
      <c r="F3556" s="66">
        <f t="shared" ca="1" si="7216"/>
        <v>2007</v>
      </c>
      <c r="G3556" s="66">
        <f t="shared" ref="G3556" ca="1" si="7289">VLOOKUP(INDIRECT(CHAR(39)&amp;$A3556&amp;CHAR(39)&amp;"!r2c"&amp;$C3556,0),variables,2,0)</f>
        <v>9764</v>
      </c>
      <c r="H3556" s="71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67" t="s">
        <v>1429</v>
      </c>
      <c r="B3557" s="66">
        <f t="shared" si="7250"/>
        <v>9</v>
      </c>
      <c r="C3557" s="66">
        <f t="shared" si="7253"/>
        <v>30</v>
      </c>
      <c r="E3557" s="66">
        <f t="shared" ref="E3557" si="7290">plan_id</f>
        <v>1952</v>
      </c>
      <c r="F3557" s="66">
        <f t="shared" ca="1" si="7216"/>
        <v>2007</v>
      </c>
      <c r="G3557" s="66">
        <f t="shared" ref="G3557" ca="1" si="7291">VLOOKUP(INDIRECT(CHAR(39)&amp;$A3557&amp;CHAR(39)&amp;"!r2c"&amp;$C3557,0),variables,2,0)</f>
        <v>9767</v>
      </c>
      <c r="H3557" s="71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67" t="s">
        <v>1429</v>
      </c>
      <c r="B3558" s="66">
        <f t="shared" si="7250"/>
        <v>9</v>
      </c>
      <c r="C3558" s="66">
        <f t="shared" si="7253"/>
        <v>31</v>
      </c>
      <c r="E3558" s="66">
        <f t="shared" ref="E3558" si="7292">plan_id</f>
        <v>1952</v>
      </c>
      <c r="F3558" s="66">
        <f t="shared" ca="1" si="7216"/>
        <v>2007</v>
      </c>
      <c r="G3558" s="66">
        <f t="shared" ref="G3558" ca="1" si="7293">VLOOKUP(INDIRECT(CHAR(39)&amp;$A3558&amp;CHAR(39)&amp;"!r2c"&amp;$C3558,0),variables,2,0)</f>
        <v>9770</v>
      </c>
      <c r="H3558" s="71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67" t="s">
        <v>1429</v>
      </c>
      <c r="B3559" s="66">
        <f t="shared" si="7250"/>
        <v>9</v>
      </c>
      <c r="C3559" s="66">
        <f t="shared" si="7253"/>
        <v>32</v>
      </c>
      <c r="E3559" s="66">
        <f t="shared" ref="E3559" si="7294">plan_id</f>
        <v>1952</v>
      </c>
      <c r="F3559" s="66">
        <f t="shared" ca="1" si="7216"/>
        <v>2007</v>
      </c>
      <c r="G3559" s="66">
        <f t="shared" ref="G3559" ca="1" si="7295">VLOOKUP(INDIRECT(CHAR(39)&amp;$A3559&amp;CHAR(39)&amp;"!r2c"&amp;$C3559,0),variables,2,0)</f>
        <v>9773</v>
      </c>
      <c r="H3559" s="71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67" t="s">
        <v>1429</v>
      </c>
      <c r="B3560" s="66">
        <f t="shared" si="7250"/>
        <v>9</v>
      </c>
      <c r="C3560" s="66">
        <f t="shared" si="7253"/>
        <v>33</v>
      </c>
      <c r="E3560" s="66">
        <f t="shared" ref="E3560" si="7296">plan_id</f>
        <v>1952</v>
      </c>
      <c r="F3560" s="66">
        <f t="shared" ca="1" si="7216"/>
        <v>2007</v>
      </c>
      <c r="G3560" s="66">
        <f t="shared" ref="G3560" ca="1" si="7297">VLOOKUP(INDIRECT(CHAR(39)&amp;$A3560&amp;CHAR(39)&amp;"!r2c"&amp;$C3560,0),variables,2,0)</f>
        <v>9776</v>
      </c>
      <c r="H3560" s="71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67" t="s">
        <v>1429</v>
      </c>
      <c r="B3561" s="66">
        <f t="shared" si="7250"/>
        <v>9</v>
      </c>
      <c r="C3561" s="66">
        <f t="shared" si="7253"/>
        <v>34</v>
      </c>
      <c r="E3561" s="66">
        <f t="shared" ref="E3561" si="7298">plan_id</f>
        <v>1952</v>
      </c>
      <c r="F3561" s="66">
        <f t="shared" ca="1" si="7216"/>
        <v>2007</v>
      </c>
      <c r="G3561" s="66">
        <f t="shared" ref="G3561" ca="1" si="7299">VLOOKUP(INDIRECT(CHAR(39)&amp;$A3561&amp;CHAR(39)&amp;"!r2c"&amp;$C3561,0),variables,2,0)</f>
        <v>9779</v>
      </c>
      <c r="H3561" s="71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67" t="s">
        <v>1429</v>
      </c>
      <c r="B3562" s="66">
        <f t="shared" si="7250"/>
        <v>9</v>
      </c>
      <c r="C3562" s="66">
        <f t="shared" si="7253"/>
        <v>35</v>
      </c>
      <c r="E3562" s="66">
        <f t="shared" ref="E3562" si="7300">plan_id</f>
        <v>1952</v>
      </c>
      <c r="F3562" s="66">
        <f t="shared" ca="1" si="7216"/>
        <v>2007</v>
      </c>
      <c r="G3562" s="66">
        <f t="shared" ref="G3562" ca="1" si="7301">VLOOKUP(INDIRECT(CHAR(39)&amp;$A3562&amp;CHAR(39)&amp;"!r2c"&amp;$C3562,0),variables,2,0)</f>
        <v>9785</v>
      </c>
      <c r="H3562" s="71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67" t="s">
        <v>1429</v>
      </c>
      <c r="B3563" s="66">
        <f t="shared" si="7250"/>
        <v>9</v>
      </c>
      <c r="C3563" s="66">
        <f t="shared" si="7253"/>
        <v>36</v>
      </c>
      <c r="E3563" s="66">
        <f t="shared" ref="E3563" si="7302">plan_id</f>
        <v>1952</v>
      </c>
      <c r="F3563" s="66">
        <f t="shared" ca="1" si="7216"/>
        <v>2007</v>
      </c>
      <c r="G3563" s="66">
        <f t="shared" ref="G3563" ca="1" si="7303">VLOOKUP(INDIRECT(CHAR(39)&amp;$A3563&amp;CHAR(39)&amp;"!r2c"&amp;$C3563,0),variables,2,0)</f>
        <v>9794</v>
      </c>
      <c r="H3563" s="71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67" t="s">
        <v>1429</v>
      </c>
      <c r="B3564" s="66">
        <f t="shared" si="7250"/>
        <v>9</v>
      </c>
      <c r="C3564" s="66">
        <f t="shared" si="7253"/>
        <v>37</v>
      </c>
      <c r="E3564" s="66">
        <f t="shared" ref="E3564" si="7304">plan_id</f>
        <v>1952</v>
      </c>
      <c r="F3564" s="66">
        <f t="shared" ca="1" si="7216"/>
        <v>2007</v>
      </c>
      <c r="G3564" s="66">
        <f t="shared" ref="G3564" ca="1" si="7305">VLOOKUP(INDIRECT(CHAR(39)&amp;$A3564&amp;CHAR(39)&amp;"!r2c"&amp;$C3564,0),variables,2,0)</f>
        <v>9797</v>
      </c>
      <c r="H3564" s="71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67" t="s">
        <v>1429</v>
      </c>
      <c r="B3565" s="66">
        <f t="shared" si="7250"/>
        <v>9</v>
      </c>
      <c r="C3565" s="66">
        <f t="shared" si="7253"/>
        <v>38</v>
      </c>
      <c r="E3565" s="66">
        <f t="shared" ref="E3565" si="7306">plan_id</f>
        <v>1952</v>
      </c>
      <c r="F3565" s="66">
        <f t="shared" ca="1" si="7216"/>
        <v>2007</v>
      </c>
      <c r="G3565" s="66">
        <f t="shared" ref="G3565" ca="1" si="7307">VLOOKUP(INDIRECT(CHAR(39)&amp;$A3565&amp;CHAR(39)&amp;"!r2c"&amp;$C3565,0),variables,2,0)</f>
        <v>9806</v>
      </c>
      <c r="H3565" s="71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67" t="s">
        <v>1429</v>
      </c>
      <c r="B3566" s="66">
        <f t="shared" si="7250"/>
        <v>9</v>
      </c>
      <c r="C3566" s="66">
        <f t="shared" si="7253"/>
        <v>39</v>
      </c>
      <c r="E3566" s="66">
        <f t="shared" ref="E3566" si="7308">plan_id</f>
        <v>1952</v>
      </c>
      <c r="F3566" s="66">
        <f t="shared" ca="1" si="7216"/>
        <v>2007</v>
      </c>
      <c r="G3566" s="66">
        <f t="shared" ref="G3566" ca="1" si="7309">VLOOKUP(INDIRECT(CHAR(39)&amp;$A3566&amp;CHAR(39)&amp;"!r2c"&amp;$C3566,0),variables,2,0)</f>
        <v>9809</v>
      </c>
      <c r="H3566" s="71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67" t="s">
        <v>1429</v>
      </c>
      <c r="B3567" s="66">
        <f t="shared" si="7250"/>
        <v>9</v>
      </c>
      <c r="C3567" s="66">
        <f t="shared" si="7253"/>
        <v>40</v>
      </c>
      <c r="E3567" s="66">
        <f t="shared" ref="E3567" si="7310">plan_id</f>
        <v>1952</v>
      </c>
      <c r="F3567" s="66">
        <f t="shared" ca="1" si="7216"/>
        <v>2007</v>
      </c>
      <c r="G3567" s="66">
        <f t="shared" ref="G3567" ca="1" si="7311">VLOOKUP(INDIRECT(CHAR(39)&amp;$A3567&amp;CHAR(39)&amp;"!r2c"&amp;$C3567,0),variables,2,0)</f>
        <v>9818</v>
      </c>
      <c r="H3567" s="71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67" t="s">
        <v>1429</v>
      </c>
      <c r="B3568" s="66">
        <f t="shared" si="7250"/>
        <v>9</v>
      </c>
      <c r="C3568" s="66">
        <f t="shared" si="7253"/>
        <v>41</v>
      </c>
      <c r="E3568" s="66">
        <f t="shared" ref="E3568" si="7312">plan_id</f>
        <v>1952</v>
      </c>
      <c r="F3568" s="66">
        <f t="shared" ca="1" si="7216"/>
        <v>2007</v>
      </c>
      <c r="G3568" s="66">
        <f t="shared" ref="G3568" ca="1" si="7313">VLOOKUP(INDIRECT(CHAR(39)&amp;$A3568&amp;CHAR(39)&amp;"!r2c"&amp;$C3568,0),variables,2,0)</f>
        <v>9839</v>
      </c>
      <c r="H3568" s="71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67" t="s">
        <v>1429</v>
      </c>
      <c r="B3569" s="66">
        <f t="shared" si="7250"/>
        <v>9</v>
      </c>
      <c r="C3569" s="66">
        <f t="shared" si="7253"/>
        <v>42</v>
      </c>
      <c r="E3569" s="66">
        <f t="shared" ref="E3569" si="7314">plan_id</f>
        <v>1952</v>
      </c>
      <c r="F3569" s="66">
        <f t="shared" ca="1" si="7216"/>
        <v>2007</v>
      </c>
      <c r="G3569" s="66">
        <f t="shared" ref="G3569" ca="1" si="7315">VLOOKUP(INDIRECT(CHAR(39)&amp;$A3569&amp;CHAR(39)&amp;"!r2c"&amp;$C3569,0),variables,2,0)</f>
        <v>9860</v>
      </c>
      <c r="H3569" s="71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67" t="s">
        <v>1429</v>
      </c>
      <c r="B3570" s="66">
        <f t="shared" si="7250"/>
        <v>9</v>
      </c>
      <c r="C3570" s="66">
        <f t="shared" si="7253"/>
        <v>43</v>
      </c>
      <c r="E3570" s="66">
        <f t="shared" ref="E3570" si="7316">plan_id</f>
        <v>1952</v>
      </c>
      <c r="F3570" s="66">
        <f t="shared" ca="1" si="7216"/>
        <v>2007</v>
      </c>
      <c r="G3570" s="66">
        <f t="shared" ref="G3570" ca="1" si="7317">VLOOKUP(INDIRECT(CHAR(39)&amp;$A3570&amp;CHAR(39)&amp;"!r2c"&amp;$C3570,0),variables,2,0)</f>
        <v>9863</v>
      </c>
      <c r="H3570" s="71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67" t="s">
        <v>1429</v>
      </c>
      <c r="B3571" s="66">
        <f t="shared" si="7250"/>
        <v>9</v>
      </c>
      <c r="C3571" s="66">
        <f t="shared" si="7253"/>
        <v>44</v>
      </c>
      <c r="E3571" s="66">
        <f t="shared" ref="E3571" si="7318">plan_id</f>
        <v>1952</v>
      </c>
      <c r="F3571" s="66">
        <f t="shared" ca="1" si="7216"/>
        <v>2007</v>
      </c>
      <c r="G3571" s="66">
        <f t="shared" ref="G3571" ca="1" si="7319">VLOOKUP(INDIRECT(CHAR(39)&amp;$A3571&amp;CHAR(39)&amp;"!r2c"&amp;$C3571,0),variables,2,0)</f>
        <v>9878</v>
      </c>
      <c r="H3571" s="71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67" t="s">
        <v>1429</v>
      </c>
      <c r="B3572" s="66">
        <f t="shared" si="7250"/>
        <v>9</v>
      </c>
      <c r="C3572" s="66">
        <f t="shared" si="7253"/>
        <v>45</v>
      </c>
      <c r="E3572" s="66">
        <f t="shared" ref="E3572" si="7320">plan_id</f>
        <v>1952</v>
      </c>
      <c r="F3572" s="66">
        <f t="shared" ca="1" si="7216"/>
        <v>2007</v>
      </c>
      <c r="G3572" s="66">
        <f t="shared" ref="G3572" ca="1" si="7321">VLOOKUP(INDIRECT(CHAR(39)&amp;$A3572&amp;CHAR(39)&amp;"!r2c"&amp;$C3572,0),variables,2,0)</f>
        <v>9923</v>
      </c>
      <c r="H3572" s="71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67" t="s">
        <v>1429</v>
      </c>
      <c r="B3573" s="66">
        <f t="shared" si="7250"/>
        <v>9</v>
      </c>
      <c r="C3573" s="66">
        <f t="shared" si="7253"/>
        <v>46</v>
      </c>
      <c r="E3573" s="66">
        <f t="shared" ref="E3573" si="7322">plan_id</f>
        <v>1952</v>
      </c>
      <c r="F3573" s="66">
        <f t="shared" ca="1" si="7216"/>
        <v>2007</v>
      </c>
      <c r="G3573" s="66">
        <f t="shared" ref="G3573" ca="1" si="7323">VLOOKUP(INDIRECT(CHAR(39)&amp;$A3573&amp;CHAR(39)&amp;"!r2c"&amp;$C3573,0),variables,2,0)</f>
        <v>9932</v>
      </c>
      <c r="H3573" s="71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67" t="s">
        <v>1429</v>
      </c>
      <c r="B3574" s="66">
        <f t="shared" si="7250"/>
        <v>9</v>
      </c>
      <c r="C3574" s="66">
        <f t="shared" si="7253"/>
        <v>47</v>
      </c>
      <c r="E3574" s="66">
        <f t="shared" ref="E3574" si="7324">plan_id</f>
        <v>1952</v>
      </c>
      <c r="F3574" s="66">
        <f t="shared" ca="1" si="7216"/>
        <v>2007</v>
      </c>
      <c r="G3574" s="66">
        <f t="shared" ref="G3574" ca="1" si="7325">VLOOKUP(INDIRECT(CHAR(39)&amp;$A3574&amp;CHAR(39)&amp;"!r2c"&amp;$C3574,0),variables,2,0)</f>
        <v>9935</v>
      </c>
      <c r="H3574" s="71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67" t="s">
        <v>1429</v>
      </c>
      <c r="B3575" s="66">
        <f t="shared" si="7250"/>
        <v>9</v>
      </c>
      <c r="C3575" s="66">
        <f t="shared" si="7253"/>
        <v>48</v>
      </c>
      <c r="E3575" s="66">
        <f t="shared" ref="E3575" si="7326">plan_id</f>
        <v>1952</v>
      </c>
      <c r="F3575" s="66">
        <f t="shared" ca="1" si="7216"/>
        <v>2007</v>
      </c>
      <c r="G3575" s="66">
        <f t="shared" ref="G3575" ca="1" si="7327">VLOOKUP(INDIRECT(CHAR(39)&amp;$A3575&amp;CHAR(39)&amp;"!r2c"&amp;$C3575,0),variables,2,0)</f>
        <v>9651</v>
      </c>
      <c r="H3575" s="71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67" t="s">
        <v>1429</v>
      </c>
      <c r="B3576" s="66">
        <f t="shared" si="7250"/>
        <v>9</v>
      </c>
      <c r="C3576" s="66">
        <f t="shared" si="7253"/>
        <v>49</v>
      </c>
      <c r="E3576" s="66">
        <f t="shared" ref="E3576" si="7328">plan_id</f>
        <v>1952</v>
      </c>
      <c r="F3576" s="66">
        <f t="shared" ca="1" si="7216"/>
        <v>2007</v>
      </c>
      <c r="G3576" s="66">
        <f t="shared" ref="G3576" ca="1" si="7329">VLOOKUP(INDIRECT(CHAR(39)&amp;$A3576&amp;CHAR(39)&amp;"!r2c"&amp;$C3576,0),variables,2,0)</f>
        <v>9722</v>
      </c>
      <c r="H3576" s="71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67" t="s">
        <v>1429</v>
      </c>
      <c r="B3577" s="66">
        <f t="shared" si="7250"/>
        <v>9</v>
      </c>
      <c r="C3577" s="66">
        <f t="shared" si="7253"/>
        <v>50</v>
      </c>
      <c r="E3577" s="66">
        <f t="shared" ref="E3577" si="7330">plan_id</f>
        <v>1952</v>
      </c>
      <c r="F3577" s="66">
        <f t="shared" ca="1" si="7216"/>
        <v>2007</v>
      </c>
      <c r="G3577" s="66">
        <f t="shared" ref="G3577" ca="1" si="7331">VLOOKUP(INDIRECT(CHAR(39)&amp;$A3577&amp;CHAR(39)&amp;"!r2c"&amp;$C3577,0),variables,2,0)</f>
        <v>9848</v>
      </c>
      <c r="H3577" s="71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67" t="s">
        <v>1429</v>
      </c>
      <c r="B3578" s="66">
        <f t="shared" si="7250"/>
        <v>9</v>
      </c>
      <c r="C3578" s="66">
        <f t="shared" si="7253"/>
        <v>51</v>
      </c>
      <c r="E3578" s="66">
        <f t="shared" ref="E3578" si="7332">plan_id</f>
        <v>1952</v>
      </c>
      <c r="F3578" s="66">
        <f t="shared" ca="1" si="7216"/>
        <v>2007</v>
      </c>
      <c r="G3578" s="66">
        <f t="shared" ref="G3578" ca="1" si="7333">VLOOKUP(INDIRECT(CHAR(39)&amp;$A3578&amp;CHAR(39)&amp;"!r2c"&amp;$C3578,0),variables,2,0)</f>
        <v>9866</v>
      </c>
      <c r="H3578" s="71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67" t="s">
        <v>1429</v>
      </c>
      <c r="B3579" s="66">
        <f t="shared" si="7250"/>
        <v>9</v>
      </c>
      <c r="C3579" s="66">
        <f t="shared" si="7253"/>
        <v>52</v>
      </c>
      <c r="E3579" s="66">
        <f t="shared" ref="E3579" si="7334">plan_id</f>
        <v>1952</v>
      </c>
      <c r="F3579" s="66">
        <f t="shared" ca="1" si="7216"/>
        <v>2007</v>
      </c>
      <c r="G3579" s="66">
        <f t="shared" ref="G3579" ca="1" si="7335">VLOOKUP(INDIRECT(CHAR(39)&amp;$A3579&amp;CHAR(39)&amp;"!r2c"&amp;$C3579,0),variables,2,0)</f>
        <v>9899</v>
      </c>
      <c r="H3579" s="71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67" t="s">
        <v>1429</v>
      </c>
      <c r="B3580" s="66">
        <f t="shared" si="7250"/>
        <v>9</v>
      </c>
      <c r="C3580" s="66">
        <f t="shared" si="7253"/>
        <v>53</v>
      </c>
      <c r="E3580" s="66">
        <f t="shared" ref="E3580" si="7336">plan_id</f>
        <v>1952</v>
      </c>
      <c r="F3580" s="66">
        <f t="shared" ca="1" si="7216"/>
        <v>2007</v>
      </c>
      <c r="G3580" s="66">
        <f t="shared" ref="G3580" ca="1" si="7337">VLOOKUP(INDIRECT(CHAR(39)&amp;$A3580&amp;CHAR(39)&amp;"!r2c"&amp;$C3580,0),variables,2,0)</f>
        <v>9905</v>
      </c>
      <c r="H3580" s="71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67" t="s">
        <v>1429</v>
      </c>
      <c r="B3581" s="66">
        <f t="shared" si="7250"/>
        <v>9</v>
      </c>
      <c r="C3581" s="66">
        <f t="shared" si="7253"/>
        <v>54</v>
      </c>
      <c r="E3581" s="66">
        <f t="shared" ref="E3581" si="7338">plan_id</f>
        <v>1952</v>
      </c>
      <c r="F3581" s="66">
        <f t="shared" ca="1" si="7216"/>
        <v>2007</v>
      </c>
      <c r="G3581" s="66">
        <f t="shared" ref="G3581" ca="1" si="7339">VLOOKUP(INDIRECT(CHAR(39)&amp;$A3581&amp;CHAR(39)&amp;"!r2c"&amp;$C3581,0),variables,2,0)</f>
        <v>9929</v>
      </c>
      <c r="H3581" s="71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67" t="s">
        <v>1429</v>
      </c>
      <c r="B3582" s="66">
        <f t="shared" si="7250"/>
        <v>9</v>
      </c>
      <c r="C3582" s="66">
        <f t="shared" si="7253"/>
        <v>55</v>
      </c>
      <c r="E3582" s="66">
        <f t="shared" ref="E3582" si="7340">plan_id</f>
        <v>1952</v>
      </c>
      <c r="F3582" s="66">
        <f t="shared" ca="1" si="7216"/>
        <v>2007</v>
      </c>
      <c r="G3582" s="66">
        <f t="shared" ref="G3582" ca="1" si="7341">VLOOKUP(INDIRECT(CHAR(39)&amp;$A3582&amp;CHAR(39)&amp;"!r2c"&amp;$C3582,0),variables,2,0)</f>
        <v>9654</v>
      </c>
      <c r="H3582" s="71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67" t="s">
        <v>1429</v>
      </c>
      <c r="B3583" s="66">
        <f t="shared" si="7250"/>
        <v>9</v>
      </c>
      <c r="C3583" s="66">
        <f t="shared" si="7253"/>
        <v>56</v>
      </c>
      <c r="E3583" s="66">
        <f t="shared" ref="E3583" si="7342">plan_id</f>
        <v>1952</v>
      </c>
      <c r="F3583" s="66">
        <f t="shared" ca="1" si="7216"/>
        <v>2007</v>
      </c>
      <c r="G3583" s="66">
        <f t="shared" ref="G3583" ca="1" si="7343">VLOOKUP(INDIRECT(CHAR(39)&amp;$A3583&amp;CHAR(39)&amp;"!r2c"&amp;$C3583,0),variables,2,0)</f>
        <v>9707</v>
      </c>
      <c r="H3583" s="71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67" t="s">
        <v>1429</v>
      </c>
      <c r="B3584" s="66">
        <f t="shared" si="7250"/>
        <v>9</v>
      </c>
      <c r="C3584" s="66">
        <f t="shared" si="7253"/>
        <v>57</v>
      </c>
      <c r="E3584" s="66">
        <f t="shared" ref="E3584" si="7344">plan_id</f>
        <v>1952</v>
      </c>
      <c r="F3584" s="66">
        <f t="shared" ca="1" si="7216"/>
        <v>2007</v>
      </c>
      <c r="G3584" s="66">
        <f t="shared" ref="G3584" ca="1" si="7345">VLOOKUP(INDIRECT(CHAR(39)&amp;$A3584&amp;CHAR(39)&amp;"!r2c"&amp;$C3584,0),variables,2,0)</f>
        <v>9669</v>
      </c>
      <c r="H3584" s="71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67" t="s">
        <v>1429</v>
      </c>
      <c r="B3585" s="66">
        <f t="shared" si="7250"/>
        <v>9</v>
      </c>
      <c r="C3585" s="66">
        <f t="shared" si="7253"/>
        <v>58</v>
      </c>
      <c r="E3585" s="66">
        <f t="shared" ref="E3585" si="7346">plan_id</f>
        <v>1952</v>
      </c>
      <c r="F3585" s="66">
        <f t="shared" ref="F3585:F3648" ca="1" si="7347">INDIRECT(CHAR(39)&amp;$A3585&amp;CHAR(39)&amp;"!r"&amp;$B3585&amp;"c2",0)</f>
        <v>2007</v>
      </c>
      <c r="G3585" s="66">
        <f t="shared" ref="G3585" ca="1" si="7348">VLOOKUP(INDIRECT(CHAR(39)&amp;$A3585&amp;CHAR(39)&amp;"!r2c"&amp;$C3585,0),variables,2,0)</f>
        <v>9851</v>
      </c>
      <c r="H3585" s="71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67" t="s">
        <v>1429</v>
      </c>
      <c r="B3586" s="66">
        <f t="shared" si="7250"/>
        <v>9</v>
      </c>
      <c r="C3586" s="66">
        <f t="shared" si="7253"/>
        <v>59</v>
      </c>
      <c r="E3586" s="66">
        <f t="shared" ref="E3586" si="7349">plan_id</f>
        <v>1952</v>
      </c>
      <c r="F3586" s="66">
        <f t="shared" ca="1" si="7347"/>
        <v>2007</v>
      </c>
      <c r="G3586" s="66">
        <f t="shared" ref="G3586" ca="1" si="7350">VLOOKUP(INDIRECT(CHAR(39)&amp;$A3586&amp;CHAR(39)&amp;"!r2c"&amp;$C3586,0),variables,2,0)</f>
        <v>9890</v>
      </c>
      <c r="H3586" s="71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67" t="s">
        <v>1429</v>
      </c>
      <c r="B3587" s="66">
        <f t="shared" si="7250"/>
        <v>9</v>
      </c>
      <c r="C3587" s="66">
        <f t="shared" si="7253"/>
        <v>60</v>
      </c>
      <c r="E3587" s="66">
        <f t="shared" ref="E3587" si="7351">plan_id</f>
        <v>1952</v>
      </c>
      <c r="F3587" s="66">
        <f t="shared" ca="1" si="7347"/>
        <v>2007</v>
      </c>
      <c r="G3587" s="66">
        <f t="shared" ref="G3587" ca="1" si="7352">VLOOKUP(INDIRECT(CHAR(39)&amp;$A3587&amp;CHAR(39)&amp;"!r2c"&amp;$C3587,0),variables,2,0)</f>
        <v>9893</v>
      </c>
      <c r="H3587" s="71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67" t="s">
        <v>1429</v>
      </c>
      <c r="B3588" s="66">
        <f t="shared" si="7250"/>
        <v>9</v>
      </c>
      <c r="C3588" s="66">
        <f t="shared" si="7253"/>
        <v>61</v>
      </c>
      <c r="E3588" s="66">
        <f t="shared" ref="E3588" si="7353">plan_id</f>
        <v>1952</v>
      </c>
      <c r="F3588" s="66">
        <f t="shared" ca="1" si="7347"/>
        <v>2007</v>
      </c>
      <c r="G3588" s="66">
        <f t="shared" ref="G3588" ca="1" si="7354">VLOOKUP(INDIRECT(CHAR(39)&amp;$A3588&amp;CHAR(39)&amp;"!r2c"&amp;$C3588,0),variables,2,0)</f>
        <v>9896</v>
      </c>
      <c r="H3588" s="71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67" t="s">
        <v>1429</v>
      </c>
      <c r="B3589" s="66">
        <f t="shared" si="7250"/>
        <v>9</v>
      </c>
      <c r="C3589" s="66">
        <f t="shared" si="7253"/>
        <v>62</v>
      </c>
      <c r="E3589" s="66">
        <f t="shared" ref="E3589" si="7355">plan_id</f>
        <v>1952</v>
      </c>
      <c r="F3589" s="66">
        <f t="shared" ca="1" si="7347"/>
        <v>2007</v>
      </c>
      <c r="G3589" s="66">
        <f t="shared" ref="G3589" ca="1" si="7356">VLOOKUP(INDIRECT(CHAR(39)&amp;$A3589&amp;CHAR(39)&amp;"!r2c"&amp;$C3589,0),variables,2,0)</f>
        <v>9660</v>
      </c>
      <c r="H3589" s="71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67" t="s">
        <v>1429</v>
      </c>
      <c r="B3590" s="66">
        <f t="shared" si="7250"/>
        <v>9</v>
      </c>
      <c r="C3590" s="66">
        <f t="shared" si="7253"/>
        <v>63</v>
      </c>
      <c r="E3590" s="66">
        <f t="shared" ref="E3590" si="7357">plan_id</f>
        <v>1952</v>
      </c>
      <c r="F3590" s="66">
        <f t="shared" ca="1" si="7347"/>
        <v>2007</v>
      </c>
      <c r="G3590" s="66">
        <f t="shared" ref="G3590" ca="1" si="7358">VLOOKUP(INDIRECT(CHAR(39)&amp;$A3590&amp;CHAR(39)&amp;"!r2c"&amp;$C3590,0),variables,2,0)</f>
        <v>9701</v>
      </c>
      <c r="H3590" s="71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67" t="s">
        <v>1429</v>
      </c>
      <c r="B3591" s="66">
        <f t="shared" si="7250"/>
        <v>9</v>
      </c>
      <c r="C3591" s="66">
        <f t="shared" si="7253"/>
        <v>64</v>
      </c>
      <c r="E3591" s="66">
        <f t="shared" ref="E3591" si="7359">plan_id</f>
        <v>1952</v>
      </c>
      <c r="F3591" s="66">
        <f t="shared" ca="1" si="7347"/>
        <v>2007</v>
      </c>
      <c r="G3591" s="66">
        <f t="shared" ref="G3591" ca="1" si="7360">VLOOKUP(INDIRECT(CHAR(39)&amp;$A3591&amp;CHAR(39)&amp;"!r2c"&amp;$C3591,0),variables,2,0)</f>
        <v>9728</v>
      </c>
      <c r="H3591" s="71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67" t="s">
        <v>1429</v>
      </c>
      <c r="B3592" s="66">
        <f t="shared" si="7250"/>
        <v>9</v>
      </c>
      <c r="C3592" s="66">
        <f t="shared" si="7253"/>
        <v>65</v>
      </c>
      <c r="E3592" s="66">
        <f t="shared" ref="E3592" si="7361">plan_id</f>
        <v>1952</v>
      </c>
      <c r="F3592" s="66">
        <f t="shared" ca="1" si="7347"/>
        <v>2007</v>
      </c>
      <c r="G3592" s="66">
        <f t="shared" ref="G3592" ca="1" si="7362">VLOOKUP(INDIRECT(CHAR(39)&amp;$A3592&amp;CHAR(39)&amp;"!r2c"&amp;$C3592,0),variables,2,0)</f>
        <v>9731</v>
      </c>
      <c r="H3592" s="71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67" t="s">
        <v>1429</v>
      </c>
      <c r="B3593" s="66">
        <f t="shared" si="7250"/>
        <v>9</v>
      </c>
      <c r="C3593" s="66">
        <f t="shared" si="7253"/>
        <v>66</v>
      </c>
      <c r="E3593" s="66">
        <f t="shared" ref="E3593" si="7363">plan_id</f>
        <v>1952</v>
      </c>
      <c r="F3593" s="66">
        <f t="shared" ca="1" si="7347"/>
        <v>2007</v>
      </c>
      <c r="G3593" s="66">
        <f t="shared" ref="G3593" ca="1" si="7364">VLOOKUP(INDIRECT(CHAR(39)&amp;$A3593&amp;CHAR(39)&amp;"!r2c"&amp;$C3593,0),variables,2,0)</f>
        <v>9737</v>
      </c>
      <c r="H3593" s="71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67" t="s">
        <v>1429</v>
      </c>
      <c r="B3594" s="66">
        <f t="shared" si="7250"/>
        <v>9</v>
      </c>
      <c r="C3594" s="66">
        <f t="shared" si="7253"/>
        <v>67</v>
      </c>
      <c r="E3594" s="66">
        <f t="shared" ref="E3594" si="7365">plan_id</f>
        <v>1952</v>
      </c>
      <c r="F3594" s="66">
        <f t="shared" ca="1" si="7347"/>
        <v>2007</v>
      </c>
      <c r="G3594" s="66">
        <f t="shared" ref="G3594" ca="1" si="7366">VLOOKUP(INDIRECT(CHAR(39)&amp;$A3594&amp;CHAR(39)&amp;"!r2c"&amp;$C3594,0),variables,2,0)</f>
        <v>9740</v>
      </c>
      <c r="H3594" s="71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67" t="s">
        <v>1429</v>
      </c>
      <c r="B3595" s="66">
        <f t="shared" si="7250"/>
        <v>9</v>
      </c>
      <c r="C3595" s="66">
        <f t="shared" si="7253"/>
        <v>68</v>
      </c>
      <c r="E3595" s="66">
        <f t="shared" ref="E3595" si="7367">plan_id</f>
        <v>1952</v>
      </c>
      <c r="F3595" s="66">
        <f t="shared" ca="1" si="7347"/>
        <v>2007</v>
      </c>
      <c r="G3595" s="66">
        <f t="shared" ref="G3595" ca="1" si="7368">VLOOKUP(INDIRECT(CHAR(39)&amp;$A3595&amp;CHAR(39)&amp;"!r2c"&amp;$C3595,0),variables,2,0)</f>
        <v>9752</v>
      </c>
      <c r="H3595" s="71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67" t="s">
        <v>1429</v>
      </c>
      <c r="B3596" s="66">
        <f t="shared" si="7250"/>
        <v>9</v>
      </c>
      <c r="C3596" s="66">
        <f t="shared" si="7253"/>
        <v>69</v>
      </c>
      <c r="E3596" s="66">
        <f t="shared" ref="E3596" si="7369">plan_id</f>
        <v>1952</v>
      </c>
      <c r="F3596" s="66">
        <f t="shared" ca="1" si="7347"/>
        <v>2007</v>
      </c>
      <c r="G3596" s="66">
        <f t="shared" ref="G3596" ca="1" si="7370">VLOOKUP(INDIRECT(CHAR(39)&amp;$A3596&amp;CHAR(39)&amp;"!r2c"&amp;$C3596,0),variables,2,0)</f>
        <v>9791</v>
      </c>
      <c r="H3596" s="71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67" t="s">
        <v>1429</v>
      </c>
      <c r="B3597" s="66">
        <f t="shared" si="7250"/>
        <v>9</v>
      </c>
      <c r="C3597" s="66">
        <f t="shared" si="7253"/>
        <v>70</v>
      </c>
      <c r="E3597" s="66">
        <f t="shared" ref="E3597" si="7371">plan_id</f>
        <v>1952</v>
      </c>
      <c r="F3597" s="66">
        <f t="shared" ca="1" si="7347"/>
        <v>2007</v>
      </c>
      <c r="G3597" s="66">
        <f t="shared" ref="G3597" ca="1" si="7372">VLOOKUP(INDIRECT(CHAR(39)&amp;$A3597&amp;CHAR(39)&amp;"!r2c"&amp;$C3597,0),variables,2,0)</f>
        <v>9800</v>
      </c>
      <c r="H3597" s="71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67" t="s">
        <v>1429</v>
      </c>
      <c r="B3598" s="66">
        <f t="shared" si="7250"/>
        <v>9</v>
      </c>
      <c r="C3598" s="66">
        <f t="shared" si="7253"/>
        <v>71</v>
      </c>
      <c r="E3598" s="66">
        <f t="shared" ref="E3598" si="7373">plan_id</f>
        <v>1952</v>
      </c>
      <c r="F3598" s="66">
        <f t="shared" ca="1" si="7347"/>
        <v>2007</v>
      </c>
      <c r="G3598" s="66">
        <f t="shared" ref="G3598" ca="1" si="7374">VLOOKUP(INDIRECT(CHAR(39)&amp;$A3598&amp;CHAR(39)&amp;"!r2c"&amp;$C3598,0),variables,2,0)</f>
        <v>9842</v>
      </c>
      <c r="H3598" s="71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67" t="s">
        <v>1429</v>
      </c>
      <c r="B3599" s="66">
        <f t="shared" si="7250"/>
        <v>9</v>
      </c>
      <c r="C3599" s="66">
        <f t="shared" si="7253"/>
        <v>72</v>
      </c>
      <c r="E3599" s="66">
        <f t="shared" ref="E3599" si="7375">plan_id</f>
        <v>1952</v>
      </c>
      <c r="F3599" s="66">
        <f t="shared" ca="1" si="7347"/>
        <v>2007</v>
      </c>
      <c r="G3599" s="66">
        <f t="shared" ref="G3599" ca="1" si="7376">VLOOKUP(INDIRECT(CHAR(39)&amp;$A3599&amp;CHAR(39)&amp;"!r2c"&amp;$C3599,0),variables,2,0)</f>
        <v>9854</v>
      </c>
      <c r="H3599" s="71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67" t="s">
        <v>1429</v>
      </c>
      <c r="B3600" s="66">
        <f t="shared" si="7250"/>
        <v>9</v>
      </c>
      <c r="C3600" s="66">
        <f t="shared" si="7253"/>
        <v>73</v>
      </c>
      <c r="E3600" s="66">
        <f t="shared" ref="E3600" si="7377">plan_id</f>
        <v>1952</v>
      </c>
      <c r="F3600" s="66">
        <f t="shared" ca="1" si="7347"/>
        <v>2007</v>
      </c>
      <c r="G3600" s="66">
        <f t="shared" ref="G3600" ca="1" si="7378">VLOOKUP(INDIRECT(CHAR(39)&amp;$A3600&amp;CHAR(39)&amp;"!r2c"&amp;$C3600,0),variables,2,0)</f>
        <v>9869</v>
      </c>
      <c r="H3600" s="71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67" t="s">
        <v>1429</v>
      </c>
      <c r="B3601" s="66">
        <f t="shared" si="7250"/>
        <v>9</v>
      </c>
      <c r="C3601" s="66">
        <f t="shared" si="7253"/>
        <v>74</v>
      </c>
      <c r="E3601" s="66">
        <f t="shared" ref="E3601" si="7379">plan_id</f>
        <v>1952</v>
      </c>
      <c r="F3601" s="66">
        <f t="shared" ca="1" si="7347"/>
        <v>2007</v>
      </c>
      <c r="G3601" s="66">
        <f t="shared" ref="G3601" ca="1" si="7380">VLOOKUP(INDIRECT(CHAR(39)&amp;$A3601&amp;CHAR(39)&amp;"!r2c"&amp;$C3601,0),variables,2,0)</f>
        <v>9873</v>
      </c>
      <c r="H3601" s="71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67" t="s">
        <v>1429</v>
      </c>
      <c r="B3602" s="66">
        <f t="shared" ref="B3602:B3665" si="7381">B3514+1</f>
        <v>9</v>
      </c>
      <c r="C3602" s="66">
        <f t="shared" si="7253"/>
        <v>75</v>
      </c>
      <c r="E3602" s="66">
        <f t="shared" ref="E3602" si="7382">plan_id</f>
        <v>1952</v>
      </c>
      <c r="F3602" s="66">
        <f t="shared" ca="1" si="7347"/>
        <v>2007</v>
      </c>
      <c r="G3602" s="66">
        <f t="shared" ref="G3602" ca="1" si="7383">VLOOKUP(INDIRECT(CHAR(39)&amp;$A3602&amp;CHAR(39)&amp;"!r2c"&amp;$C3602,0),variables,2,0)</f>
        <v>9881</v>
      </c>
      <c r="H3602" s="71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67" t="s">
        <v>1429</v>
      </c>
      <c r="B3603" s="66">
        <f t="shared" si="7381"/>
        <v>9</v>
      </c>
      <c r="C3603" s="66">
        <f t="shared" ref="C3603:C3666" si="7384">C3515</f>
        <v>76</v>
      </c>
      <c r="E3603" s="66">
        <f t="shared" ref="E3603" si="7385">plan_id</f>
        <v>1952</v>
      </c>
      <c r="F3603" s="66">
        <f t="shared" ca="1" si="7347"/>
        <v>2007</v>
      </c>
      <c r="G3603" s="66">
        <f t="shared" ref="G3603" ca="1" si="7386">VLOOKUP(INDIRECT(CHAR(39)&amp;$A3603&amp;CHAR(39)&amp;"!r2c"&amp;$C3603,0),variables,2,0)</f>
        <v>9908</v>
      </c>
      <c r="H3603" s="71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67" t="s">
        <v>1429</v>
      </c>
      <c r="B3604" s="66">
        <f t="shared" si="7381"/>
        <v>9</v>
      </c>
      <c r="C3604" s="66">
        <f t="shared" si="7384"/>
        <v>77</v>
      </c>
      <c r="E3604" s="66">
        <f t="shared" ref="E3604" si="7387">plan_id</f>
        <v>1952</v>
      </c>
      <c r="F3604" s="66">
        <f t="shared" ca="1" si="7347"/>
        <v>2007</v>
      </c>
      <c r="G3604" s="66">
        <f t="shared" ref="G3604" ca="1" si="7388">VLOOKUP(INDIRECT(CHAR(39)&amp;$A3604&amp;CHAR(39)&amp;"!r2c"&amp;$C3604,0),variables,2,0)</f>
        <v>9911</v>
      </c>
      <c r="H3604" s="71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67" t="s">
        <v>1429</v>
      </c>
      <c r="B3605" s="66">
        <f t="shared" si="7381"/>
        <v>9</v>
      </c>
      <c r="C3605" s="66">
        <f t="shared" si="7384"/>
        <v>78</v>
      </c>
      <c r="E3605" s="66">
        <f t="shared" ref="E3605" si="7389">plan_id</f>
        <v>1952</v>
      </c>
      <c r="F3605" s="66">
        <f t="shared" ca="1" si="7347"/>
        <v>2007</v>
      </c>
      <c r="G3605" s="66">
        <f t="shared" ref="G3605" ca="1" si="7390">VLOOKUP(INDIRECT(CHAR(39)&amp;$A3605&amp;CHAR(39)&amp;"!r2c"&amp;$C3605,0),variables,2,0)</f>
        <v>9663</v>
      </c>
      <c r="H3605" s="71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67" t="s">
        <v>1429</v>
      </c>
      <c r="B3606" s="66">
        <f t="shared" si="7381"/>
        <v>9</v>
      </c>
      <c r="C3606" s="66">
        <f t="shared" si="7384"/>
        <v>79</v>
      </c>
      <c r="E3606" s="66">
        <f t="shared" ref="E3606" si="7391">plan_id</f>
        <v>1952</v>
      </c>
      <c r="F3606" s="66">
        <f t="shared" ca="1" si="7347"/>
        <v>2007</v>
      </c>
      <c r="G3606" s="66">
        <f t="shared" ref="G3606" ca="1" si="7392">VLOOKUP(INDIRECT(CHAR(39)&amp;$A3606&amp;CHAR(39)&amp;"!r2c"&amp;$C3606,0),variables,2,0)</f>
        <v>9710</v>
      </c>
      <c r="H3606" s="71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67" t="s">
        <v>1429</v>
      </c>
      <c r="B3607" s="66">
        <f t="shared" si="7381"/>
        <v>9</v>
      </c>
      <c r="C3607" s="66">
        <f t="shared" si="7384"/>
        <v>80</v>
      </c>
      <c r="E3607" s="66">
        <f t="shared" ref="E3607" si="7393">plan_id</f>
        <v>1952</v>
      </c>
      <c r="F3607" s="66">
        <f t="shared" ca="1" si="7347"/>
        <v>2007</v>
      </c>
      <c r="G3607" s="66">
        <f t="shared" ref="G3607" ca="1" si="7394">VLOOKUP(INDIRECT(CHAR(39)&amp;$A3607&amp;CHAR(39)&amp;"!r2c"&amp;$C3607,0),variables,2,0)</f>
        <v>9758</v>
      </c>
      <c r="H3607" s="71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67" t="s">
        <v>1429</v>
      </c>
      <c r="B3608" s="66">
        <f t="shared" si="7381"/>
        <v>9</v>
      </c>
      <c r="C3608" s="66">
        <f t="shared" si="7384"/>
        <v>81</v>
      </c>
      <c r="E3608" s="66">
        <f t="shared" ref="E3608" si="7395">plan_id</f>
        <v>1952</v>
      </c>
      <c r="F3608" s="66">
        <f t="shared" ca="1" si="7347"/>
        <v>2007</v>
      </c>
      <c r="G3608" s="66">
        <f t="shared" ref="G3608" ca="1" si="7396">VLOOKUP(INDIRECT(CHAR(39)&amp;$A3608&amp;CHAR(39)&amp;"!r2c"&amp;$C3608,0),variables,2,0)</f>
        <v>9803</v>
      </c>
      <c r="H3608" s="71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67" t="s">
        <v>1429</v>
      </c>
      <c r="B3609" s="66">
        <f t="shared" si="7381"/>
        <v>9</v>
      </c>
      <c r="C3609" s="66">
        <f t="shared" si="7384"/>
        <v>82</v>
      </c>
      <c r="E3609" s="66">
        <f t="shared" ref="E3609" si="7397">plan_id</f>
        <v>1952</v>
      </c>
      <c r="F3609" s="66">
        <f t="shared" ca="1" si="7347"/>
        <v>2007</v>
      </c>
      <c r="G3609" s="66">
        <f t="shared" ref="G3609" ca="1" si="7398">VLOOKUP(INDIRECT(CHAR(39)&amp;$A3609&amp;CHAR(39)&amp;"!r2c"&amp;$C3609,0),variables,2,0)</f>
        <v>9857</v>
      </c>
      <c r="H3609" s="71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67" t="s">
        <v>1429</v>
      </c>
      <c r="B3610" s="66">
        <f t="shared" si="7381"/>
        <v>9</v>
      </c>
      <c r="C3610" s="66">
        <f t="shared" si="7384"/>
        <v>83</v>
      </c>
      <c r="E3610" s="66">
        <f t="shared" ref="E3610" si="7399">plan_id</f>
        <v>1952</v>
      </c>
      <c r="F3610" s="66">
        <f t="shared" ca="1" si="7347"/>
        <v>2007</v>
      </c>
      <c r="G3610" s="66">
        <f t="shared" ref="G3610" ca="1" si="7400">VLOOKUP(INDIRECT(CHAR(39)&amp;$A3610&amp;CHAR(39)&amp;"!r2c"&amp;$C3610,0),variables,2,0)</f>
        <v>9902</v>
      </c>
      <c r="H3610" s="71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67" t="s">
        <v>1429</v>
      </c>
      <c r="B3611" s="66">
        <f t="shared" si="7381"/>
        <v>9</v>
      </c>
      <c r="C3611" s="66">
        <f t="shared" si="7384"/>
        <v>84</v>
      </c>
      <c r="E3611" s="66">
        <f t="shared" ref="E3611" si="7401">plan_id</f>
        <v>1952</v>
      </c>
      <c r="F3611" s="66">
        <f t="shared" ca="1" si="7347"/>
        <v>2007</v>
      </c>
      <c r="G3611" s="66">
        <f t="shared" ref="G3611" ca="1" si="7402">VLOOKUP(INDIRECT(CHAR(39)&amp;$A3611&amp;CHAR(39)&amp;"!r2c"&amp;$C3611,0),variables,2,0)</f>
        <v>9926</v>
      </c>
      <c r="H3611" s="71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67" t="s">
        <v>1429</v>
      </c>
      <c r="B3612" s="66">
        <f t="shared" si="7381"/>
        <v>9</v>
      </c>
      <c r="C3612" s="66">
        <f t="shared" si="7384"/>
        <v>85</v>
      </c>
      <c r="E3612" s="66">
        <f t="shared" ref="E3612" si="7403">plan_id</f>
        <v>1952</v>
      </c>
      <c r="F3612" s="66">
        <f t="shared" ca="1" si="7347"/>
        <v>2007</v>
      </c>
      <c r="G3612" s="66">
        <f t="shared" ref="G3612" ca="1" si="7404">VLOOKUP(INDIRECT(CHAR(39)&amp;$A3612&amp;CHAR(39)&amp;"!r2c"&amp;$C3612,0),variables,2,0)</f>
        <v>9666</v>
      </c>
      <c r="H3612" s="71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67" t="s">
        <v>1429</v>
      </c>
      <c r="B3613" s="66">
        <f t="shared" si="7381"/>
        <v>9</v>
      </c>
      <c r="C3613" s="66">
        <f t="shared" si="7384"/>
        <v>86</v>
      </c>
      <c r="E3613" s="66">
        <f t="shared" ref="E3613" si="7405">plan_id</f>
        <v>1952</v>
      </c>
      <c r="F3613" s="66">
        <f t="shared" ca="1" si="7347"/>
        <v>2007</v>
      </c>
      <c r="G3613" s="66">
        <f t="shared" ref="G3613" ca="1" si="7406">VLOOKUP(INDIRECT(CHAR(39)&amp;$A3613&amp;CHAR(39)&amp;"!r2c"&amp;$C3613,0),variables,2,0)</f>
        <v>9827</v>
      </c>
      <c r="H3613" s="71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67" t="s">
        <v>1429</v>
      </c>
      <c r="B3614" s="66">
        <f t="shared" si="7381"/>
        <v>9</v>
      </c>
      <c r="C3614" s="66">
        <f t="shared" si="7384"/>
        <v>87</v>
      </c>
      <c r="E3614" s="66">
        <f t="shared" ref="E3614" si="7407">plan_id</f>
        <v>1952</v>
      </c>
      <c r="F3614" s="66">
        <f t="shared" ca="1" si="7347"/>
        <v>2007</v>
      </c>
      <c r="G3614" s="66">
        <f t="shared" ref="G3614" ca="1" si="7408">VLOOKUP(INDIRECT(CHAR(39)&amp;$A3614&amp;CHAR(39)&amp;"!r2c"&amp;$C3614,0),variables,2,0)</f>
        <v>9657</v>
      </c>
      <c r="H3614" s="71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67" t="s">
        <v>1429</v>
      </c>
      <c r="B3615" s="66">
        <f t="shared" si="7381"/>
        <v>9</v>
      </c>
      <c r="C3615" s="66">
        <f t="shared" si="7384"/>
        <v>88</v>
      </c>
      <c r="E3615" s="66">
        <f t="shared" ref="E3615" si="7409">plan_id</f>
        <v>1952</v>
      </c>
      <c r="F3615" s="66">
        <f t="shared" ca="1" si="7347"/>
        <v>2007</v>
      </c>
      <c r="G3615" s="66">
        <f t="shared" ref="G3615" ca="1" si="7410">VLOOKUP(INDIRECT(CHAR(39)&amp;$A3615&amp;CHAR(39)&amp;"!r2c"&amp;$C3615,0),variables,2,0)</f>
        <v>9834</v>
      </c>
      <c r="H3615" s="71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67" t="s">
        <v>1429</v>
      </c>
      <c r="B3616" s="66">
        <f t="shared" si="7381"/>
        <v>9</v>
      </c>
      <c r="C3616" s="66">
        <f t="shared" si="7384"/>
        <v>89</v>
      </c>
      <c r="E3616" s="66">
        <f t="shared" ref="E3616" si="7411">plan_id</f>
        <v>1952</v>
      </c>
      <c r="F3616" s="66">
        <f t="shared" ca="1" si="7347"/>
        <v>2007</v>
      </c>
      <c r="G3616" s="66">
        <f t="shared" ref="G3616" ca="1" si="7412">VLOOKUP(INDIRECT(CHAR(39)&amp;$A3616&amp;CHAR(39)&amp;"!r2c"&amp;$C3616,0),variables,2,0)</f>
        <v>9884</v>
      </c>
      <c r="H3616" s="71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67" t="s">
        <v>1429</v>
      </c>
      <c r="B3617" s="66">
        <f t="shared" si="7381"/>
        <v>9</v>
      </c>
      <c r="C3617" s="66">
        <f t="shared" si="7384"/>
        <v>90</v>
      </c>
      <c r="E3617" s="66">
        <f t="shared" ref="E3617" si="7413">plan_id</f>
        <v>1952</v>
      </c>
      <c r="F3617" s="66">
        <f t="shared" ca="1" si="7347"/>
        <v>2007</v>
      </c>
      <c r="G3617" s="66">
        <f t="shared" ref="G3617" ca="1" si="7414">VLOOKUP(INDIRECT(CHAR(39)&amp;$A3617&amp;CHAR(39)&amp;"!r2c"&amp;$C3617,0),variables,2,0)</f>
        <v>9672</v>
      </c>
      <c r="H3617" s="71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67" t="s">
        <v>1429</v>
      </c>
      <c r="B3618" s="66">
        <f t="shared" si="7381"/>
        <v>10</v>
      </c>
      <c r="C3618" s="66">
        <f t="shared" si="7384"/>
        <v>3</v>
      </c>
      <c r="E3618" s="66">
        <f t="shared" ref="E3618" si="7415">plan_id</f>
        <v>1952</v>
      </c>
      <c r="F3618" s="66">
        <f t="shared" ca="1" si="7347"/>
        <v>2008</v>
      </c>
      <c r="G3618" s="66">
        <f t="shared" ref="G3618" ca="1" si="7416">VLOOKUP(INDIRECT(CHAR(39)&amp;$A3618&amp;CHAR(39)&amp;"!r2c"&amp;$C3618,0),variables,2,0)</f>
        <v>9704</v>
      </c>
      <c r="H3618" s="71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67" t="s">
        <v>1429</v>
      </c>
      <c r="B3619" s="66">
        <f t="shared" si="7381"/>
        <v>10</v>
      </c>
      <c r="C3619" s="66">
        <f t="shared" si="7384"/>
        <v>4</v>
      </c>
      <c r="E3619" s="66">
        <f t="shared" ref="E3619" si="7417">plan_id</f>
        <v>1952</v>
      </c>
      <c r="F3619" s="66">
        <f t="shared" ca="1" si="7347"/>
        <v>2008</v>
      </c>
      <c r="G3619" s="66">
        <f t="shared" ref="G3619" ca="1" si="7418">VLOOKUP(INDIRECT(CHAR(39)&amp;$A3619&amp;CHAR(39)&amp;"!r2c"&amp;$C3619,0),variables,2,0)</f>
        <v>9716</v>
      </c>
      <c r="H3619" s="71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67" t="s">
        <v>1429</v>
      </c>
      <c r="B3620" s="66">
        <f t="shared" si="7381"/>
        <v>10</v>
      </c>
      <c r="C3620" s="66">
        <f t="shared" si="7384"/>
        <v>5</v>
      </c>
      <c r="E3620" s="66">
        <f t="shared" ref="E3620" si="7419">plan_id</f>
        <v>1952</v>
      </c>
      <c r="F3620" s="66">
        <f t="shared" ca="1" si="7347"/>
        <v>2008</v>
      </c>
      <c r="G3620" s="66">
        <f t="shared" ref="G3620" ca="1" si="7420">VLOOKUP(INDIRECT(CHAR(39)&amp;$A3620&amp;CHAR(39)&amp;"!r2c"&amp;$C3620,0),variables,2,0)</f>
        <v>9734</v>
      </c>
      <c r="H3620" s="71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67" t="s">
        <v>1429</v>
      </c>
      <c r="B3621" s="66">
        <f t="shared" si="7381"/>
        <v>10</v>
      </c>
      <c r="C3621" s="66">
        <f t="shared" si="7384"/>
        <v>6</v>
      </c>
      <c r="E3621" s="66">
        <f t="shared" ref="E3621" si="7421">plan_id</f>
        <v>1952</v>
      </c>
      <c r="F3621" s="66">
        <f t="shared" ca="1" si="7347"/>
        <v>2008</v>
      </c>
      <c r="G3621" s="66">
        <f t="shared" ref="G3621" ca="1" si="7422">VLOOKUP(INDIRECT(CHAR(39)&amp;$A3621&amp;CHAR(39)&amp;"!r2c"&amp;$C3621,0),variables,2,0)</f>
        <v>9749</v>
      </c>
      <c r="H3621" s="71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67" t="s">
        <v>1429</v>
      </c>
      <c r="B3622" s="66">
        <f t="shared" si="7381"/>
        <v>10</v>
      </c>
      <c r="C3622" s="66">
        <f t="shared" si="7384"/>
        <v>7</v>
      </c>
      <c r="E3622" s="66">
        <f t="shared" ref="E3622" si="7423">plan_id</f>
        <v>1952</v>
      </c>
      <c r="F3622" s="66">
        <f t="shared" ca="1" si="7347"/>
        <v>2008</v>
      </c>
      <c r="G3622" s="66">
        <f t="shared" ref="G3622" ca="1" si="7424">VLOOKUP(INDIRECT(CHAR(39)&amp;$A3622&amp;CHAR(39)&amp;"!r2c"&amp;$C3622,0),variables,2,0)</f>
        <v>9755</v>
      </c>
      <c r="H3622" s="71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67" t="s">
        <v>1429</v>
      </c>
      <c r="B3623" s="66">
        <f t="shared" si="7381"/>
        <v>10</v>
      </c>
      <c r="C3623" s="66">
        <f t="shared" si="7384"/>
        <v>8</v>
      </c>
      <c r="E3623" s="66">
        <f t="shared" ref="E3623" si="7425">plan_id</f>
        <v>1952</v>
      </c>
      <c r="F3623" s="66">
        <f t="shared" ca="1" si="7347"/>
        <v>2008</v>
      </c>
      <c r="G3623" s="66">
        <f t="shared" ref="G3623" ca="1" si="7426">VLOOKUP(INDIRECT(CHAR(39)&amp;$A3623&amp;CHAR(39)&amp;"!r2c"&amp;$C3623,0),variables,2,0)</f>
        <v>9782</v>
      </c>
      <c r="H3623" s="71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67" t="s">
        <v>1429</v>
      </c>
      <c r="B3624" s="66">
        <f t="shared" si="7381"/>
        <v>10</v>
      </c>
      <c r="C3624" s="66">
        <f t="shared" si="7384"/>
        <v>9</v>
      </c>
      <c r="E3624" s="66">
        <f t="shared" ref="E3624" si="7427">plan_id</f>
        <v>1952</v>
      </c>
      <c r="F3624" s="66">
        <f t="shared" ca="1" si="7347"/>
        <v>2008</v>
      </c>
      <c r="G3624" s="66">
        <f t="shared" ref="G3624" ca="1" si="7428">VLOOKUP(INDIRECT(CHAR(39)&amp;$A3624&amp;CHAR(39)&amp;"!r2c"&amp;$C3624,0),variables,2,0)</f>
        <v>9788</v>
      </c>
      <c r="H3624" s="71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67" t="s">
        <v>1429</v>
      </c>
      <c r="B3625" s="66">
        <f t="shared" si="7381"/>
        <v>10</v>
      </c>
      <c r="C3625" s="66">
        <f t="shared" si="7384"/>
        <v>10</v>
      </c>
      <c r="E3625" s="66">
        <f t="shared" ref="E3625" si="7429">plan_id</f>
        <v>1952</v>
      </c>
      <c r="F3625" s="66">
        <f t="shared" ca="1" si="7347"/>
        <v>2008</v>
      </c>
      <c r="G3625" s="66">
        <f t="shared" ref="G3625" ca="1" si="7430">VLOOKUP(INDIRECT(CHAR(39)&amp;$A3625&amp;CHAR(39)&amp;"!r2c"&amp;$C3625,0),variables,2,0)</f>
        <v>9812</v>
      </c>
      <c r="H3625" s="71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67" t="s">
        <v>1429</v>
      </c>
      <c r="B3626" s="66">
        <f t="shared" si="7381"/>
        <v>10</v>
      </c>
      <c r="C3626" s="66">
        <f t="shared" si="7384"/>
        <v>11</v>
      </c>
      <c r="E3626" s="66">
        <f t="shared" ref="E3626" si="7431">plan_id</f>
        <v>1952</v>
      </c>
      <c r="F3626" s="66">
        <f t="shared" ca="1" si="7347"/>
        <v>2008</v>
      </c>
      <c r="G3626" s="66">
        <f t="shared" ref="G3626" ca="1" si="7432">VLOOKUP(INDIRECT(CHAR(39)&amp;$A3626&amp;CHAR(39)&amp;"!r2c"&amp;$C3626,0),variables,2,0)</f>
        <v>9815</v>
      </c>
      <c r="H3626" s="71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67" t="s">
        <v>1429</v>
      </c>
      <c r="B3627" s="66">
        <f t="shared" si="7381"/>
        <v>10</v>
      </c>
      <c r="C3627" s="66">
        <f t="shared" si="7384"/>
        <v>12</v>
      </c>
      <c r="E3627" s="66">
        <f t="shared" ref="E3627" si="7433">plan_id</f>
        <v>1952</v>
      </c>
      <c r="F3627" s="66">
        <f t="shared" ca="1" si="7347"/>
        <v>2008</v>
      </c>
      <c r="G3627" s="66">
        <f t="shared" ref="G3627" ca="1" si="7434">VLOOKUP(INDIRECT(CHAR(39)&amp;$A3627&amp;CHAR(39)&amp;"!r2c"&amp;$C3627,0),variables,2,0)</f>
        <v>9821</v>
      </c>
      <c r="H3627" s="71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67" t="s">
        <v>1429</v>
      </c>
      <c r="B3628" s="66">
        <f t="shared" si="7381"/>
        <v>10</v>
      </c>
      <c r="C3628" s="66">
        <f t="shared" si="7384"/>
        <v>13</v>
      </c>
      <c r="E3628" s="66">
        <f t="shared" ref="E3628" si="7435">plan_id</f>
        <v>1952</v>
      </c>
      <c r="F3628" s="66">
        <f t="shared" ca="1" si="7347"/>
        <v>2008</v>
      </c>
      <c r="G3628" s="66">
        <f t="shared" ref="G3628" ca="1" si="7436">VLOOKUP(INDIRECT(CHAR(39)&amp;$A3628&amp;CHAR(39)&amp;"!r2c"&amp;$C3628,0),variables,2,0)</f>
        <v>9824</v>
      </c>
      <c r="H3628" s="71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67" t="s">
        <v>1429</v>
      </c>
      <c r="B3629" s="66">
        <f t="shared" si="7381"/>
        <v>10</v>
      </c>
      <c r="C3629" s="66">
        <f t="shared" si="7384"/>
        <v>14</v>
      </c>
      <c r="E3629" s="66">
        <f t="shared" ref="E3629" si="7437">plan_id</f>
        <v>1952</v>
      </c>
      <c r="F3629" s="66">
        <f t="shared" ca="1" si="7347"/>
        <v>2008</v>
      </c>
      <c r="G3629" s="66">
        <f t="shared" ref="G3629" ca="1" si="7438">VLOOKUP(INDIRECT(CHAR(39)&amp;$A3629&amp;CHAR(39)&amp;"!r2c"&amp;$C3629,0),variables,2,0)</f>
        <v>9830</v>
      </c>
      <c r="H3629" s="71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67" t="s">
        <v>1429</v>
      </c>
      <c r="B3630" s="66">
        <f t="shared" si="7381"/>
        <v>10</v>
      </c>
      <c r="C3630" s="66">
        <f t="shared" si="7384"/>
        <v>15</v>
      </c>
      <c r="E3630" s="66">
        <f t="shared" ref="E3630" si="7439">plan_id</f>
        <v>1952</v>
      </c>
      <c r="F3630" s="66">
        <f t="shared" ca="1" si="7347"/>
        <v>2008</v>
      </c>
      <c r="G3630" s="66">
        <f t="shared" ref="G3630" ca="1" si="7440">VLOOKUP(INDIRECT(CHAR(39)&amp;$A3630&amp;CHAR(39)&amp;"!r2c"&amp;$C3630,0),variables,2,0)</f>
        <v>9833</v>
      </c>
      <c r="H3630" s="71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67" t="s">
        <v>1429</v>
      </c>
      <c r="B3631" s="66">
        <f t="shared" si="7381"/>
        <v>10</v>
      </c>
      <c r="C3631" s="66">
        <f t="shared" si="7384"/>
        <v>16</v>
      </c>
      <c r="E3631" s="66">
        <f t="shared" ref="E3631" si="7441">plan_id</f>
        <v>1952</v>
      </c>
      <c r="F3631" s="66">
        <f t="shared" ca="1" si="7347"/>
        <v>2008</v>
      </c>
      <c r="G3631" s="66">
        <f t="shared" ref="G3631" ca="1" si="7442">VLOOKUP(INDIRECT(CHAR(39)&amp;$A3631&amp;CHAR(39)&amp;"!r2c"&amp;$C3631,0),variables,2,0)</f>
        <v>9845</v>
      </c>
      <c r="H3631" s="71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67" t="s">
        <v>1429</v>
      </c>
      <c r="B3632" s="66">
        <f t="shared" si="7381"/>
        <v>10</v>
      </c>
      <c r="C3632" s="66">
        <f t="shared" si="7384"/>
        <v>17</v>
      </c>
      <c r="E3632" s="66">
        <f t="shared" ref="E3632" si="7443">plan_id</f>
        <v>1952</v>
      </c>
      <c r="F3632" s="66">
        <f t="shared" ca="1" si="7347"/>
        <v>2008</v>
      </c>
      <c r="G3632" s="66">
        <f t="shared" ref="G3632" ca="1" si="7444">VLOOKUP(INDIRECT(CHAR(39)&amp;$A3632&amp;CHAR(39)&amp;"!r2c"&amp;$C3632,0),variables,2,0)</f>
        <v>9872</v>
      </c>
      <c r="H3632" s="71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67" t="s">
        <v>1429</v>
      </c>
      <c r="B3633" s="66">
        <f t="shared" si="7381"/>
        <v>10</v>
      </c>
      <c r="C3633" s="66">
        <f t="shared" si="7384"/>
        <v>18</v>
      </c>
      <c r="E3633" s="66">
        <f t="shared" ref="E3633" si="7445">plan_id</f>
        <v>1952</v>
      </c>
      <c r="F3633" s="66">
        <f t="shared" ca="1" si="7347"/>
        <v>2008</v>
      </c>
      <c r="G3633" s="66">
        <f t="shared" ref="G3633" ca="1" si="7446">VLOOKUP(INDIRECT(CHAR(39)&amp;$A3633&amp;CHAR(39)&amp;"!r2c"&amp;$C3633,0),variables,2,0)</f>
        <v>9887</v>
      </c>
      <c r="H3633" s="71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67" t="s">
        <v>1429</v>
      </c>
      <c r="B3634" s="66">
        <f t="shared" si="7381"/>
        <v>10</v>
      </c>
      <c r="C3634" s="66">
        <f t="shared" si="7384"/>
        <v>19</v>
      </c>
      <c r="E3634" s="66">
        <f t="shared" ref="E3634" si="7447">plan_id</f>
        <v>1952</v>
      </c>
      <c r="F3634" s="66">
        <f t="shared" ca="1" si="7347"/>
        <v>2008</v>
      </c>
      <c r="G3634" s="66">
        <f t="shared" ref="G3634" ca="1" si="7448">VLOOKUP(INDIRECT(CHAR(39)&amp;$A3634&amp;CHAR(39)&amp;"!r2c"&amp;$C3634,0),variables,2,0)</f>
        <v>9914</v>
      </c>
      <c r="H3634" s="71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67" t="s">
        <v>1429</v>
      </c>
      <c r="B3635" s="66">
        <f t="shared" si="7381"/>
        <v>10</v>
      </c>
      <c r="C3635" s="66">
        <f t="shared" si="7384"/>
        <v>20</v>
      </c>
      <c r="E3635" s="66">
        <f t="shared" ref="E3635" si="7449">plan_id</f>
        <v>1952</v>
      </c>
      <c r="F3635" s="66">
        <f t="shared" ca="1" si="7347"/>
        <v>2008</v>
      </c>
      <c r="G3635" s="66">
        <f t="shared" ref="G3635" ca="1" si="7450">VLOOKUP(INDIRECT(CHAR(39)&amp;$A3635&amp;CHAR(39)&amp;"!r2c"&amp;$C3635,0),variables,2,0)</f>
        <v>9917</v>
      </c>
      <c r="H3635" s="71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67" t="s">
        <v>1429</v>
      </c>
      <c r="B3636" s="66">
        <f t="shared" si="7381"/>
        <v>10</v>
      </c>
      <c r="C3636" s="66">
        <f t="shared" si="7384"/>
        <v>21</v>
      </c>
      <c r="E3636" s="66">
        <f t="shared" ref="E3636" si="7451">plan_id</f>
        <v>1952</v>
      </c>
      <c r="F3636" s="66">
        <f t="shared" ca="1" si="7347"/>
        <v>2008</v>
      </c>
      <c r="G3636" s="66">
        <f t="shared" ref="G3636" ca="1" si="7452">VLOOKUP(INDIRECT(CHAR(39)&amp;$A3636&amp;CHAR(39)&amp;"!r2c"&amp;$C3636,0),variables,2,0)</f>
        <v>9920</v>
      </c>
      <c r="H3636" s="71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67" t="s">
        <v>1429</v>
      </c>
      <c r="B3637" s="66">
        <f t="shared" si="7381"/>
        <v>10</v>
      </c>
      <c r="C3637" s="66">
        <f t="shared" si="7384"/>
        <v>22</v>
      </c>
      <c r="E3637" s="66">
        <f t="shared" ref="E3637" si="7453">plan_id</f>
        <v>1952</v>
      </c>
      <c r="F3637" s="66">
        <f t="shared" ca="1" si="7347"/>
        <v>2008</v>
      </c>
      <c r="G3637" s="66">
        <f t="shared" ref="G3637" ca="1" si="7454">VLOOKUP(INDIRECT(CHAR(39)&amp;$A3637&amp;CHAR(39)&amp;"!r2c"&amp;$C3637,0),variables,2,0)</f>
        <v>9648</v>
      </c>
      <c r="H3637" s="71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67" t="s">
        <v>1429</v>
      </c>
      <c r="B3638" s="66">
        <f t="shared" si="7381"/>
        <v>10</v>
      </c>
      <c r="C3638" s="66">
        <f t="shared" si="7384"/>
        <v>23</v>
      </c>
      <c r="E3638" s="66">
        <f t="shared" ref="E3638" si="7455">plan_id</f>
        <v>1952</v>
      </c>
      <c r="F3638" s="66">
        <f t="shared" ca="1" si="7347"/>
        <v>2008</v>
      </c>
      <c r="G3638" s="66">
        <f t="shared" ref="G3638" ca="1" si="7456">VLOOKUP(INDIRECT(CHAR(39)&amp;$A3638&amp;CHAR(39)&amp;"!r2c"&amp;$C3638,0),variables,2,0)</f>
        <v>9713</v>
      </c>
      <c r="H3638" s="71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67" t="s">
        <v>1429</v>
      </c>
      <c r="B3639" s="66">
        <f t="shared" si="7381"/>
        <v>10</v>
      </c>
      <c r="C3639" s="66">
        <f t="shared" si="7384"/>
        <v>24</v>
      </c>
      <c r="E3639" s="66">
        <f t="shared" ref="E3639" si="7457">plan_id</f>
        <v>1952</v>
      </c>
      <c r="F3639" s="66">
        <f t="shared" ca="1" si="7347"/>
        <v>2008</v>
      </c>
      <c r="G3639" s="66">
        <f t="shared" ref="G3639" ca="1" si="7458">VLOOKUP(INDIRECT(CHAR(39)&amp;$A3639&amp;CHAR(39)&amp;"!r2c"&amp;$C3639,0),variables,2,0)</f>
        <v>9719</v>
      </c>
      <c r="H3639" s="71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67" t="s">
        <v>1429</v>
      </c>
      <c r="B3640" s="66">
        <f t="shared" si="7381"/>
        <v>10</v>
      </c>
      <c r="C3640" s="66">
        <f t="shared" si="7384"/>
        <v>25</v>
      </c>
      <c r="E3640" s="66">
        <f t="shared" ref="E3640" si="7459">plan_id</f>
        <v>1952</v>
      </c>
      <c r="F3640" s="66">
        <f t="shared" ca="1" si="7347"/>
        <v>2008</v>
      </c>
      <c r="G3640" s="66">
        <f t="shared" ref="G3640" ca="1" si="7460">VLOOKUP(INDIRECT(CHAR(39)&amp;$A3640&amp;CHAR(39)&amp;"!r2c"&amp;$C3640,0),variables,2,0)</f>
        <v>9725</v>
      </c>
      <c r="H3640" s="71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67" t="s">
        <v>1429</v>
      </c>
      <c r="B3641" s="66">
        <f t="shared" si="7381"/>
        <v>10</v>
      </c>
      <c r="C3641" s="66">
        <f t="shared" si="7384"/>
        <v>26</v>
      </c>
      <c r="E3641" s="66">
        <f t="shared" ref="E3641" si="7461">plan_id</f>
        <v>1952</v>
      </c>
      <c r="F3641" s="66">
        <f t="shared" ca="1" si="7347"/>
        <v>2008</v>
      </c>
      <c r="G3641" s="66">
        <f t="shared" ref="G3641" ca="1" si="7462">VLOOKUP(INDIRECT(CHAR(39)&amp;$A3641&amp;CHAR(39)&amp;"!r2c"&amp;$C3641,0),variables,2,0)</f>
        <v>9743</v>
      </c>
      <c r="H3641" s="71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67" t="s">
        <v>1429</v>
      </c>
      <c r="B3642" s="66">
        <f t="shared" si="7381"/>
        <v>10</v>
      </c>
      <c r="C3642" s="66">
        <f t="shared" si="7384"/>
        <v>27</v>
      </c>
      <c r="E3642" s="66">
        <f t="shared" ref="E3642" si="7463">plan_id</f>
        <v>1952</v>
      </c>
      <c r="F3642" s="66">
        <f t="shared" ca="1" si="7347"/>
        <v>2008</v>
      </c>
      <c r="G3642" s="66">
        <f t="shared" ref="G3642" ca="1" si="7464">VLOOKUP(INDIRECT(CHAR(39)&amp;$A3642&amp;CHAR(39)&amp;"!r2c"&amp;$C3642,0),variables,2,0)</f>
        <v>9746</v>
      </c>
      <c r="H3642" s="71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67" t="s">
        <v>1429</v>
      </c>
      <c r="B3643" s="66">
        <f t="shared" si="7381"/>
        <v>10</v>
      </c>
      <c r="C3643" s="66">
        <f t="shared" si="7384"/>
        <v>28</v>
      </c>
      <c r="E3643" s="66">
        <f t="shared" ref="E3643" si="7465">plan_id</f>
        <v>1952</v>
      </c>
      <c r="F3643" s="66">
        <f t="shared" ca="1" si="7347"/>
        <v>2008</v>
      </c>
      <c r="G3643" s="66">
        <f t="shared" ref="G3643" ca="1" si="7466">VLOOKUP(INDIRECT(CHAR(39)&amp;$A3643&amp;CHAR(39)&amp;"!r2c"&amp;$C3643,0),variables,2,0)</f>
        <v>9761</v>
      </c>
      <c r="H3643" s="71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67" t="s">
        <v>1429</v>
      </c>
      <c r="B3644" s="66">
        <f t="shared" si="7381"/>
        <v>10</v>
      </c>
      <c r="C3644" s="66">
        <f t="shared" si="7384"/>
        <v>29</v>
      </c>
      <c r="E3644" s="66">
        <f t="shared" ref="E3644" si="7467">plan_id</f>
        <v>1952</v>
      </c>
      <c r="F3644" s="66">
        <f t="shared" ca="1" si="7347"/>
        <v>2008</v>
      </c>
      <c r="G3644" s="66">
        <f t="shared" ref="G3644" ca="1" si="7468">VLOOKUP(INDIRECT(CHAR(39)&amp;$A3644&amp;CHAR(39)&amp;"!r2c"&amp;$C3644,0),variables,2,0)</f>
        <v>9764</v>
      </c>
      <c r="H3644" s="71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67" t="s">
        <v>1429</v>
      </c>
      <c r="B3645" s="66">
        <f t="shared" si="7381"/>
        <v>10</v>
      </c>
      <c r="C3645" s="66">
        <f t="shared" si="7384"/>
        <v>30</v>
      </c>
      <c r="E3645" s="66">
        <f t="shared" ref="E3645" si="7469">plan_id</f>
        <v>1952</v>
      </c>
      <c r="F3645" s="66">
        <f t="shared" ca="1" si="7347"/>
        <v>2008</v>
      </c>
      <c r="G3645" s="66">
        <f t="shared" ref="G3645" ca="1" si="7470">VLOOKUP(INDIRECT(CHAR(39)&amp;$A3645&amp;CHAR(39)&amp;"!r2c"&amp;$C3645,0),variables,2,0)</f>
        <v>9767</v>
      </c>
      <c r="H3645" s="71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67" t="s">
        <v>1429</v>
      </c>
      <c r="B3646" s="66">
        <f t="shared" si="7381"/>
        <v>10</v>
      </c>
      <c r="C3646" s="66">
        <f t="shared" si="7384"/>
        <v>31</v>
      </c>
      <c r="E3646" s="66">
        <f t="shared" ref="E3646" si="7471">plan_id</f>
        <v>1952</v>
      </c>
      <c r="F3646" s="66">
        <f t="shared" ca="1" si="7347"/>
        <v>2008</v>
      </c>
      <c r="G3646" s="66">
        <f t="shared" ref="G3646" ca="1" si="7472">VLOOKUP(INDIRECT(CHAR(39)&amp;$A3646&amp;CHAR(39)&amp;"!r2c"&amp;$C3646,0),variables,2,0)</f>
        <v>9770</v>
      </c>
      <c r="H3646" s="71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67" t="s">
        <v>1429</v>
      </c>
      <c r="B3647" s="66">
        <f t="shared" si="7381"/>
        <v>10</v>
      </c>
      <c r="C3647" s="66">
        <f t="shared" si="7384"/>
        <v>32</v>
      </c>
      <c r="E3647" s="66">
        <f t="shared" ref="E3647" si="7473">plan_id</f>
        <v>1952</v>
      </c>
      <c r="F3647" s="66">
        <f t="shared" ca="1" si="7347"/>
        <v>2008</v>
      </c>
      <c r="G3647" s="66">
        <f t="shared" ref="G3647" ca="1" si="7474">VLOOKUP(INDIRECT(CHAR(39)&amp;$A3647&amp;CHAR(39)&amp;"!r2c"&amp;$C3647,0),variables,2,0)</f>
        <v>9773</v>
      </c>
      <c r="H3647" s="71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67" t="s">
        <v>1429</v>
      </c>
      <c r="B3648" s="66">
        <f t="shared" si="7381"/>
        <v>10</v>
      </c>
      <c r="C3648" s="66">
        <f t="shared" si="7384"/>
        <v>33</v>
      </c>
      <c r="E3648" s="66">
        <f t="shared" ref="E3648" si="7475">plan_id</f>
        <v>1952</v>
      </c>
      <c r="F3648" s="66">
        <f t="shared" ca="1" si="7347"/>
        <v>2008</v>
      </c>
      <c r="G3648" s="66">
        <f t="shared" ref="G3648" ca="1" si="7476">VLOOKUP(INDIRECT(CHAR(39)&amp;$A3648&amp;CHAR(39)&amp;"!r2c"&amp;$C3648,0),variables,2,0)</f>
        <v>9776</v>
      </c>
      <c r="H3648" s="71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67" t="s">
        <v>1429</v>
      </c>
      <c r="B3649" s="66">
        <f t="shared" si="7381"/>
        <v>10</v>
      </c>
      <c r="C3649" s="66">
        <f t="shared" si="7384"/>
        <v>34</v>
      </c>
      <c r="E3649" s="66">
        <f t="shared" ref="E3649" si="7477">plan_id</f>
        <v>1952</v>
      </c>
      <c r="F3649" s="66">
        <f t="shared" ref="F3649:F3712" ca="1" si="7478">INDIRECT(CHAR(39)&amp;$A3649&amp;CHAR(39)&amp;"!r"&amp;$B3649&amp;"c2",0)</f>
        <v>2008</v>
      </c>
      <c r="G3649" s="66">
        <f t="shared" ref="G3649" ca="1" si="7479">VLOOKUP(INDIRECT(CHAR(39)&amp;$A3649&amp;CHAR(39)&amp;"!r2c"&amp;$C3649,0),variables,2,0)</f>
        <v>9779</v>
      </c>
      <c r="H3649" s="71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67" t="s">
        <v>1429</v>
      </c>
      <c r="B3650" s="66">
        <f t="shared" si="7381"/>
        <v>10</v>
      </c>
      <c r="C3650" s="66">
        <f t="shared" si="7384"/>
        <v>35</v>
      </c>
      <c r="E3650" s="66">
        <f t="shared" ref="E3650" si="7480">plan_id</f>
        <v>1952</v>
      </c>
      <c r="F3650" s="66">
        <f t="shared" ca="1" si="7478"/>
        <v>2008</v>
      </c>
      <c r="G3650" s="66">
        <f t="shared" ref="G3650" ca="1" si="7481">VLOOKUP(INDIRECT(CHAR(39)&amp;$A3650&amp;CHAR(39)&amp;"!r2c"&amp;$C3650,0),variables,2,0)</f>
        <v>9785</v>
      </c>
      <c r="H3650" s="71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67" t="s">
        <v>1429</v>
      </c>
      <c r="B3651" s="66">
        <f t="shared" si="7381"/>
        <v>10</v>
      </c>
      <c r="C3651" s="66">
        <f t="shared" si="7384"/>
        <v>36</v>
      </c>
      <c r="E3651" s="66">
        <f t="shared" ref="E3651" si="7482">plan_id</f>
        <v>1952</v>
      </c>
      <c r="F3651" s="66">
        <f t="shared" ca="1" si="7478"/>
        <v>2008</v>
      </c>
      <c r="G3651" s="66">
        <f t="shared" ref="G3651" ca="1" si="7483">VLOOKUP(INDIRECT(CHAR(39)&amp;$A3651&amp;CHAR(39)&amp;"!r2c"&amp;$C3651,0),variables,2,0)</f>
        <v>9794</v>
      </c>
      <c r="H3651" s="71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67" t="s">
        <v>1429</v>
      </c>
      <c r="B3652" s="66">
        <f t="shared" si="7381"/>
        <v>10</v>
      </c>
      <c r="C3652" s="66">
        <f t="shared" si="7384"/>
        <v>37</v>
      </c>
      <c r="E3652" s="66">
        <f t="shared" ref="E3652" si="7484">plan_id</f>
        <v>1952</v>
      </c>
      <c r="F3652" s="66">
        <f t="shared" ca="1" si="7478"/>
        <v>2008</v>
      </c>
      <c r="G3652" s="66">
        <f t="shared" ref="G3652" ca="1" si="7485">VLOOKUP(INDIRECT(CHAR(39)&amp;$A3652&amp;CHAR(39)&amp;"!r2c"&amp;$C3652,0),variables,2,0)</f>
        <v>9797</v>
      </c>
      <c r="H3652" s="71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67" t="s">
        <v>1429</v>
      </c>
      <c r="B3653" s="66">
        <f t="shared" si="7381"/>
        <v>10</v>
      </c>
      <c r="C3653" s="66">
        <f t="shared" si="7384"/>
        <v>38</v>
      </c>
      <c r="E3653" s="66">
        <f t="shared" ref="E3653" si="7486">plan_id</f>
        <v>1952</v>
      </c>
      <c r="F3653" s="66">
        <f t="shared" ca="1" si="7478"/>
        <v>2008</v>
      </c>
      <c r="G3653" s="66">
        <f t="shared" ref="G3653" ca="1" si="7487">VLOOKUP(INDIRECT(CHAR(39)&amp;$A3653&amp;CHAR(39)&amp;"!r2c"&amp;$C3653,0),variables,2,0)</f>
        <v>9806</v>
      </c>
      <c r="H3653" s="71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67" t="s">
        <v>1429</v>
      </c>
      <c r="B3654" s="66">
        <f t="shared" si="7381"/>
        <v>10</v>
      </c>
      <c r="C3654" s="66">
        <f t="shared" si="7384"/>
        <v>39</v>
      </c>
      <c r="E3654" s="66">
        <f t="shared" ref="E3654" si="7488">plan_id</f>
        <v>1952</v>
      </c>
      <c r="F3654" s="66">
        <f t="shared" ca="1" si="7478"/>
        <v>2008</v>
      </c>
      <c r="G3654" s="66">
        <f t="shared" ref="G3654" ca="1" si="7489">VLOOKUP(INDIRECT(CHAR(39)&amp;$A3654&amp;CHAR(39)&amp;"!r2c"&amp;$C3654,0),variables,2,0)</f>
        <v>9809</v>
      </c>
      <c r="H3654" s="71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67" t="s">
        <v>1429</v>
      </c>
      <c r="B3655" s="66">
        <f t="shared" si="7381"/>
        <v>10</v>
      </c>
      <c r="C3655" s="66">
        <f t="shared" si="7384"/>
        <v>40</v>
      </c>
      <c r="E3655" s="66">
        <f t="shared" ref="E3655" si="7490">plan_id</f>
        <v>1952</v>
      </c>
      <c r="F3655" s="66">
        <f t="shared" ca="1" si="7478"/>
        <v>2008</v>
      </c>
      <c r="G3655" s="66">
        <f t="shared" ref="G3655" ca="1" si="7491">VLOOKUP(INDIRECT(CHAR(39)&amp;$A3655&amp;CHAR(39)&amp;"!r2c"&amp;$C3655,0),variables,2,0)</f>
        <v>9818</v>
      </c>
      <c r="H3655" s="71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67" t="s">
        <v>1429</v>
      </c>
      <c r="B3656" s="66">
        <f t="shared" si="7381"/>
        <v>10</v>
      </c>
      <c r="C3656" s="66">
        <f t="shared" si="7384"/>
        <v>41</v>
      </c>
      <c r="E3656" s="66">
        <f t="shared" ref="E3656" si="7492">plan_id</f>
        <v>1952</v>
      </c>
      <c r="F3656" s="66">
        <f t="shared" ca="1" si="7478"/>
        <v>2008</v>
      </c>
      <c r="G3656" s="66">
        <f t="shared" ref="G3656" ca="1" si="7493">VLOOKUP(INDIRECT(CHAR(39)&amp;$A3656&amp;CHAR(39)&amp;"!r2c"&amp;$C3656,0),variables,2,0)</f>
        <v>9839</v>
      </c>
      <c r="H3656" s="71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67" t="s">
        <v>1429</v>
      </c>
      <c r="B3657" s="66">
        <f t="shared" si="7381"/>
        <v>10</v>
      </c>
      <c r="C3657" s="66">
        <f t="shared" si="7384"/>
        <v>42</v>
      </c>
      <c r="E3657" s="66">
        <f t="shared" ref="E3657" si="7494">plan_id</f>
        <v>1952</v>
      </c>
      <c r="F3657" s="66">
        <f t="shared" ca="1" si="7478"/>
        <v>2008</v>
      </c>
      <c r="G3657" s="66">
        <f t="shared" ref="G3657" ca="1" si="7495">VLOOKUP(INDIRECT(CHAR(39)&amp;$A3657&amp;CHAR(39)&amp;"!r2c"&amp;$C3657,0),variables,2,0)</f>
        <v>9860</v>
      </c>
      <c r="H3657" s="71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67" t="s">
        <v>1429</v>
      </c>
      <c r="B3658" s="66">
        <f t="shared" si="7381"/>
        <v>10</v>
      </c>
      <c r="C3658" s="66">
        <f t="shared" si="7384"/>
        <v>43</v>
      </c>
      <c r="E3658" s="66">
        <f t="shared" ref="E3658" si="7496">plan_id</f>
        <v>1952</v>
      </c>
      <c r="F3658" s="66">
        <f t="shared" ca="1" si="7478"/>
        <v>2008</v>
      </c>
      <c r="G3658" s="66">
        <f t="shared" ref="G3658" ca="1" si="7497">VLOOKUP(INDIRECT(CHAR(39)&amp;$A3658&amp;CHAR(39)&amp;"!r2c"&amp;$C3658,0),variables,2,0)</f>
        <v>9863</v>
      </c>
      <c r="H3658" s="71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67" t="s">
        <v>1429</v>
      </c>
      <c r="B3659" s="66">
        <f t="shared" si="7381"/>
        <v>10</v>
      </c>
      <c r="C3659" s="66">
        <f t="shared" si="7384"/>
        <v>44</v>
      </c>
      <c r="E3659" s="66">
        <f t="shared" ref="E3659" si="7498">plan_id</f>
        <v>1952</v>
      </c>
      <c r="F3659" s="66">
        <f t="shared" ca="1" si="7478"/>
        <v>2008</v>
      </c>
      <c r="G3659" s="66">
        <f t="shared" ref="G3659" ca="1" si="7499">VLOOKUP(INDIRECT(CHAR(39)&amp;$A3659&amp;CHAR(39)&amp;"!r2c"&amp;$C3659,0),variables,2,0)</f>
        <v>9878</v>
      </c>
      <c r="H3659" s="71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67" t="s">
        <v>1429</v>
      </c>
      <c r="B3660" s="66">
        <f t="shared" si="7381"/>
        <v>10</v>
      </c>
      <c r="C3660" s="66">
        <f t="shared" si="7384"/>
        <v>45</v>
      </c>
      <c r="E3660" s="66">
        <f t="shared" ref="E3660" si="7500">plan_id</f>
        <v>1952</v>
      </c>
      <c r="F3660" s="66">
        <f t="shared" ca="1" si="7478"/>
        <v>2008</v>
      </c>
      <c r="G3660" s="66">
        <f t="shared" ref="G3660" ca="1" si="7501">VLOOKUP(INDIRECT(CHAR(39)&amp;$A3660&amp;CHAR(39)&amp;"!r2c"&amp;$C3660,0),variables,2,0)</f>
        <v>9923</v>
      </c>
      <c r="H3660" s="71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67" t="s">
        <v>1429</v>
      </c>
      <c r="B3661" s="66">
        <f t="shared" si="7381"/>
        <v>10</v>
      </c>
      <c r="C3661" s="66">
        <f t="shared" si="7384"/>
        <v>46</v>
      </c>
      <c r="E3661" s="66">
        <f t="shared" ref="E3661" si="7502">plan_id</f>
        <v>1952</v>
      </c>
      <c r="F3661" s="66">
        <f t="shared" ca="1" si="7478"/>
        <v>2008</v>
      </c>
      <c r="G3661" s="66">
        <f t="shared" ref="G3661" ca="1" si="7503">VLOOKUP(INDIRECT(CHAR(39)&amp;$A3661&amp;CHAR(39)&amp;"!r2c"&amp;$C3661,0),variables,2,0)</f>
        <v>9932</v>
      </c>
      <c r="H3661" s="71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67" t="s">
        <v>1429</v>
      </c>
      <c r="B3662" s="66">
        <f t="shared" si="7381"/>
        <v>10</v>
      </c>
      <c r="C3662" s="66">
        <f t="shared" si="7384"/>
        <v>47</v>
      </c>
      <c r="E3662" s="66">
        <f t="shared" ref="E3662" si="7504">plan_id</f>
        <v>1952</v>
      </c>
      <c r="F3662" s="66">
        <f t="shared" ca="1" si="7478"/>
        <v>2008</v>
      </c>
      <c r="G3662" s="66">
        <f t="shared" ref="G3662" ca="1" si="7505">VLOOKUP(INDIRECT(CHAR(39)&amp;$A3662&amp;CHAR(39)&amp;"!r2c"&amp;$C3662,0),variables,2,0)</f>
        <v>9935</v>
      </c>
      <c r="H3662" s="71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67" t="s">
        <v>1429</v>
      </c>
      <c r="B3663" s="66">
        <f t="shared" si="7381"/>
        <v>10</v>
      </c>
      <c r="C3663" s="66">
        <f t="shared" si="7384"/>
        <v>48</v>
      </c>
      <c r="E3663" s="66">
        <f t="shared" ref="E3663" si="7506">plan_id</f>
        <v>1952</v>
      </c>
      <c r="F3663" s="66">
        <f t="shared" ca="1" si="7478"/>
        <v>2008</v>
      </c>
      <c r="G3663" s="66">
        <f t="shared" ref="G3663" ca="1" si="7507">VLOOKUP(INDIRECT(CHAR(39)&amp;$A3663&amp;CHAR(39)&amp;"!r2c"&amp;$C3663,0),variables,2,0)</f>
        <v>9651</v>
      </c>
      <c r="H3663" s="71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67" t="s">
        <v>1429</v>
      </c>
      <c r="B3664" s="66">
        <f t="shared" si="7381"/>
        <v>10</v>
      </c>
      <c r="C3664" s="66">
        <f t="shared" si="7384"/>
        <v>49</v>
      </c>
      <c r="E3664" s="66">
        <f t="shared" ref="E3664" si="7508">plan_id</f>
        <v>1952</v>
      </c>
      <c r="F3664" s="66">
        <f t="shared" ca="1" si="7478"/>
        <v>2008</v>
      </c>
      <c r="G3664" s="66">
        <f t="shared" ref="G3664" ca="1" si="7509">VLOOKUP(INDIRECT(CHAR(39)&amp;$A3664&amp;CHAR(39)&amp;"!r2c"&amp;$C3664,0),variables,2,0)</f>
        <v>9722</v>
      </c>
      <c r="H3664" s="71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67" t="s">
        <v>1429</v>
      </c>
      <c r="B3665" s="66">
        <f t="shared" si="7381"/>
        <v>10</v>
      </c>
      <c r="C3665" s="66">
        <f t="shared" si="7384"/>
        <v>50</v>
      </c>
      <c r="E3665" s="66">
        <f t="shared" ref="E3665" si="7510">plan_id</f>
        <v>1952</v>
      </c>
      <c r="F3665" s="66">
        <f t="shared" ca="1" si="7478"/>
        <v>2008</v>
      </c>
      <c r="G3665" s="66">
        <f t="shared" ref="G3665" ca="1" si="7511">VLOOKUP(INDIRECT(CHAR(39)&amp;$A3665&amp;CHAR(39)&amp;"!r2c"&amp;$C3665,0),variables,2,0)</f>
        <v>9848</v>
      </c>
      <c r="H3665" s="71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67" t="s">
        <v>1429</v>
      </c>
      <c r="B3666" s="66">
        <f t="shared" ref="B3666:B3729" si="7512">B3578+1</f>
        <v>10</v>
      </c>
      <c r="C3666" s="66">
        <f t="shared" si="7384"/>
        <v>51</v>
      </c>
      <c r="E3666" s="66">
        <f t="shared" ref="E3666" si="7513">plan_id</f>
        <v>1952</v>
      </c>
      <c r="F3666" s="66">
        <f t="shared" ca="1" si="7478"/>
        <v>2008</v>
      </c>
      <c r="G3666" s="66">
        <f t="shared" ref="G3666" ca="1" si="7514">VLOOKUP(INDIRECT(CHAR(39)&amp;$A3666&amp;CHAR(39)&amp;"!r2c"&amp;$C3666,0),variables,2,0)</f>
        <v>9866</v>
      </c>
      <c r="H3666" s="71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67" t="s">
        <v>1429</v>
      </c>
      <c r="B3667" s="66">
        <f t="shared" si="7512"/>
        <v>10</v>
      </c>
      <c r="C3667" s="66">
        <f t="shared" ref="C3667:C3730" si="7515">C3579</f>
        <v>52</v>
      </c>
      <c r="E3667" s="66">
        <f t="shared" ref="E3667" si="7516">plan_id</f>
        <v>1952</v>
      </c>
      <c r="F3667" s="66">
        <f t="shared" ca="1" si="7478"/>
        <v>2008</v>
      </c>
      <c r="G3667" s="66">
        <f t="shared" ref="G3667" ca="1" si="7517">VLOOKUP(INDIRECT(CHAR(39)&amp;$A3667&amp;CHAR(39)&amp;"!r2c"&amp;$C3667,0),variables,2,0)</f>
        <v>9899</v>
      </c>
      <c r="H3667" s="71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67" t="s">
        <v>1429</v>
      </c>
      <c r="B3668" s="66">
        <f t="shared" si="7512"/>
        <v>10</v>
      </c>
      <c r="C3668" s="66">
        <f t="shared" si="7515"/>
        <v>53</v>
      </c>
      <c r="E3668" s="66">
        <f t="shared" ref="E3668" si="7518">plan_id</f>
        <v>1952</v>
      </c>
      <c r="F3668" s="66">
        <f t="shared" ca="1" si="7478"/>
        <v>2008</v>
      </c>
      <c r="G3668" s="66">
        <f t="shared" ref="G3668" ca="1" si="7519">VLOOKUP(INDIRECT(CHAR(39)&amp;$A3668&amp;CHAR(39)&amp;"!r2c"&amp;$C3668,0),variables,2,0)</f>
        <v>9905</v>
      </c>
      <c r="H3668" s="71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67" t="s">
        <v>1429</v>
      </c>
      <c r="B3669" s="66">
        <f t="shared" si="7512"/>
        <v>10</v>
      </c>
      <c r="C3669" s="66">
        <f t="shared" si="7515"/>
        <v>54</v>
      </c>
      <c r="E3669" s="66">
        <f t="shared" ref="E3669" si="7520">plan_id</f>
        <v>1952</v>
      </c>
      <c r="F3669" s="66">
        <f t="shared" ca="1" si="7478"/>
        <v>2008</v>
      </c>
      <c r="G3669" s="66">
        <f t="shared" ref="G3669" ca="1" si="7521">VLOOKUP(INDIRECT(CHAR(39)&amp;$A3669&amp;CHAR(39)&amp;"!r2c"&amp;$C3669,0),variables,2,0)</f>
        <v>9929</v>
      </c>
      <c r="H3669" s="71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67" t="s">
        <v>1429</v>
      </c>
      <c r="B3670" s="66">
        <f t="shared" si="7512"/>
        <v>10</v>
      </c>
      <c r="C3670" s="66">
        <f t="shared" si="7515"/>
        <v>55</v>
      </c>
      <c r="E3670" s="66">
        <f t="shared" ref="E3670" si="7522">plan_id</f>
        <v>1952</v>
      </c>
      <c r="F3670" s="66">
        <f t="shared" ca="1" si="7478"/>
        <v>2008</v>
      </c>
      <c r="G3670" s="66">
        <f t="shared" ref="G3670" ca="1" si="7523">VLOOKUP(INDIRECT(CHAR(39)&amp;$A3670&amp;CHAR(39)&amp;"!r2c"&amp;$C3670,0),variables,2,0)</f>
        <v>9654</v>
      </c>
      <c r="H3670" s="71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67" t="s">
        <v>1429</v>
      </c>
      <c r="B3671" s="66">
        <f t="shared" si="7512"/>
        <v>10</v>
      </c>
      <c r="C3671" s="66">
        <f t="shared" si="7515"/>
        <v>56</v>
      </c>
      <c r="E3671" s="66">
        <f t="shared" ref="E3671" si="7524">plan_id</f>
        <v>1952</v>
      </c>
      <c r="F3671" s="66">
        <f t="shared" ca="1" si="7478"/>
        <v>2008</v>
      </c>
      <c r="G3671" s="66">
        <f t="shared" ref="G3671" ca="1" si="7525">VLOOKUP(INDIRECT(CHAR(39)&amp;$A3671&amp;CHAR(39)&amp;"!r2c"&amp;$C3671,0),variables,2,0)</f>
        <v>9707</v>
      </c>
      <c r="H3671" s="71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67" t="s">
        <v>1429</v>
      </c>
      <c r="B3672" s="66">
        <f t="shared" si="7512"/>
        <v>10</v>
      </c>
      <c r="C3672" s="66">
        <f t="shared" si="7515"/>
        <v>57</v>
      </c>
      <c r="E3672" s="66">
        <f t="shared" ref="E3672" si="7526">plan_id</f>
        <v>1952</v>
      </c>
      <c r="F3672" s="66">
        <f t="shared" ca="1" si="7478"/>
        <v>2008</v>
      </c>
      <c r="G3672" s="66">
        <f t="shared" ref="G3672" ca="1" si="7527">VLOOKUP(INDIRECT(CHAR(39)&amp;$A3672&amp;CHAR(39)&amp;"!r2c"&amp;$C3672,0),variables,2,0)</f>
        <v>9669</v>
      </c>
      <c r="H3672" s="71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67" t="s">
        <v>1429</v>
      </c>
      <c r="B3673" s="66">
        <f t="shared" si="7512"/>
        <v>10</v>
      </c>
      <c r="C3673" s="66">
        <f t="shared" si="7515"/>
        <v>58</v>
      </c>
      <c r="E3673" s="66">
        <f t="shared" ref="E3673" si="7528">plan_id</f>
        <v>1952</v>
      </c>
      <c r="F3673" s="66">
        <f t="shared" ca="1" si="7478"/>
        <v>2008</v>
      </c>
      <c r="G3673" s="66">
        <f t="shared" ref="G3673" ca="1" si="7529">VLOOKUP(INDIRECT(CHAR(39)&amp;$A3673&amp;CHAR(39)&amp;"!r2c"&amp;$C3673,0),variables,2,0)</f>
        <v>9851</v>
      </c>
      <c r="H3673" s="71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67" t="s">
        <v>1429</v>
      </c>
      <c r="B3674" s="66">
        <f t="shared" si="7512"/>
        <v>10</v>
      </c>
      <c r="C3674" s="66">
        <f t="shared" si="7515"/>
        <v>59</v>
      </c>
      <c r="E3674" s="66">
        <f t="shared" ref="E3674" si="7530">plan_id</f>
        <v>1952</v>
      </c>
      <c r="F3674" s="66">
        <f t="shared" ca="1" si="7478"/>
        <v>2008</v>
      </c>
      <c r="G3674" s="66">
        <f t="shared" ref="G3674" ca="1" si="7531">VLOOKUP(INDIRECT(CHAR(39)&amp;$A3674&amp;CHAR(39)&amp;"!r2c"&amp;$C3674,0),variables,2,0)</f>
        <v>9890</v>
      </c>
      <c r="H3674" s="71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67" t="s">
        <v>1429</v>
      </c>
      <c r="B3675" s="66">
        <f t="shared" si="7512"/>
        <v>10</v>
      </c>
      <c r="C3675" s="66">
        <f t="shared" si="7515"/>
        <v>60</v>
      </c>
      <c r="E3675" s="66">
        <f t="shared" ref="E3675" si="7532">plan_id</f>
        <v>1952</v>
      </c>
      <c r="F3675" s="66">
        <f t="shared" ca="1" si="7478"/>
        <v>2008</v>
      </c>
      <c r="G3675" s="66">
        <f t="shared" ref="G3675" ca="1" si="7533">VLOOKUP(INDIRECT(CHAR(39)&amp;$A3675&amp;CHAR(39)&amp;"!r2c"&amp;$C3675,0),variables,2,0)</f>
        <v>9893</v>
      </c>
      <c r="H3675" s="71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67" t="s">
        <v>1429</v>
      </c>
      <c r="B3676" s="66">
        <f t="shared" si="7512"/>
        <v>10</v>
      </c>
      <c r="C3676" s="66">
        <f t="shared" si="7515"/>
        <v>61</v>
      </c>
      <c r="E3676" s="66">
        <f t="shared" ref="E3676" si="7534">plan_id</f>
        <v>1952</v>
      </c>
      <c r="F3676" s="66">
        <f t="shared" ca="1" si="7478"/>
        <v>2008</v>
      </c>
      <c r="G3676" s="66">
        <f t="shared" ref="G3676" ca="1" si="7535">VLOOKUP(INDIRECT(CHAR(39)&amp;$A3676&amp;CHAR(39)&amp;"!r2c"&amp;$C3676,0),variables,2,0)</f>
        <v>9896</v>
      </c>
      <c r="H3676" s="71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67" t="s">
        <v>1429</v>
      </c>
      <c r="B3677" s="66">
        <f t="shared" si="7512"/>
        <v>10</v>
      </c>
      <c r="C3677" s="66">
        <f t="shared" si="7515"/>
        <v>62</v>
      </c>
      <c r="E3677" s="66">
        <f t="shared" ref="E3677" si="7536">plan_id</f>
        <v>1952</v>
      </c>
      <c r="F3677" s="66">
        <f t="shared" ca="1" si="7478"/>
        <v>2008</v>
      </c>
      <c r="G3677" s="66">
        <f t="shared" ref="G3677" ca="1" si="7537">VLOOKUP(INDIRECT(CHAR(39)&amp;$A3677&amp;CHAR(39)&amp;"!r2c"&amp;$C3677,0),variables,2,0)</f>
        <v>9660</v>
      </c>
      <c r="H3677" s="71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67" t="s">
        <v>1429</v>
      </c>
      <c r="B3678" s="66">
        <f t="shared" si="7512"/>
        <v>10</v>
      </c>
      <c r="C3678" s="66">
        <f t="shared" si="7515"/>
        <v>63</v>
      </c>
      <c r="E3678" s="66">
        <f t="shared" ref="E3678" si="7538">plan_id</f>
        <v>1952</v>
      </c>
      <c r="F3678" s="66">
        <f t="shared" ca="1" si="7478"/>
        <v>2008</v>
      </c>
      <c r="G3678" s="66">
        <f t="shared" ref="G3678" ca="1" si="7539">VLOOKUP(INDIRECT(CHAR(39)&amp;$A3678&amp;CHAR(39)&amp;"!r2c"&amp;$C3678,0),variables,2,0)</f>
        <v>9701</v>
      </c>
      <c r="H3678" s="71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67" t="s">
        <v>1429</v>
      </c>
      <c r="B3679" s="66">
        <f t="shared" si="7512"/>
        <v>10</v>
      </c>
      <c r="C3679" s="66">
        <f t="shared" si="7515"/>
        <v>64</v>
      </c>
      <c r="E3679" s="66">
        <f t="shared" ref="E3679" si="7540">plan_id</f>
        <v>1952</v>
      </c>
      <c r="F3679" s="66">
        <f t="shared" ca="1" si="7478"/>
        <v>2008</v>
      </c>
      <c r="G3679" s="66">
        <f t="shared" ref="G3679" ca="1" si="7541">VLOOKUP(INDIRECT(CHAR(39)&amp;$A3679&amp;CHAR(39)&amp;"!r2c"&amp;$C3679,0),variables,2,0)</f>
        <v>9728</v>
      </c>
      <c r="H3679" s="71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67" t="s">
        <v>1429</v>
      </c>
      <c r="B3680" s="66">
        <f t="shared" si="7512"/>
        <v>10</v>
      </c>
      <c r="C3680" s="66">
        <f t="shared" si="7515"/>
        <v>65</v>
      </c>
      <c r="E3680" s="66">
        <f t="shared" ref="E3680" si="7542">plan_id</f>
        <v>1952</v>
      </c>
      <c r="F3680" s="66">
        <f t="shared" ca="1" si="7478"/>
        <v>2008</v>
      </c>
      <c r="G3680" s="66">
        <f t="shared" ref="G3680" ca="1" si="7543">VLOOKUP(INDIRECT(CHAR(39)&amp;$A3680&amp;CHAR(39)&amp;"!r2c"&amp;$C3680,0),variables,2,0)</f>
        <v>9731</v>
      </c>
      <c r="H3680" s="71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67" t="s">
        <v>1429</v>
      </c>
      <c r="B3681" s="66">
        <f t="shared" si="7512"/>
        <v>10</v>
      </c>
      <c r="C3681" s="66">
        <f t="shared" si="7515"/>
        <v>66</v>
      </c>
      <c r="E3681" s="66">
        <f t="shared" ref="E3681" si="7544">plan_id</f>
        <v>1952</v>
      </c>
      <c r="F3681" s="66">
        <f t="shared" ca="1" si="7478"/>
        <v>2008</v>
      </c>
      <c r="G3681" s="66">
        <f t="shared" ref="G3681" ca="1" si="7545">VLOOKUP(INDIRECT(CHAR(39)&amp;$A3681&amp;CHAR(39)&amp;"!r2c"&amp;$C3681,0),variables,2,0)</f>
        <v>9737</v>
      </c>
      <c r="H3681" s="71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67" t="s">
        <v>1429</v>
      </c>
      <c r="B3682" s="66">
        <f t="shared" si="7512"/>
        <v>10</v>
      </c>
      <c r="C3682" s="66">
        <f t="shared" si="7515"/>
        <v>67</v>
      </c>
      <c r="E3682" s="66">
        <f t="shared" ref="E3682" si="7546">plan_id</f>
        <v>1952</v>
      </c>
      <c r="F3682" s="66">
        <f t="shared" ca="1" si="7478"/>
        <v>2008</v>
      </c>
      <c r="G3682" s="66">
        <f t="shared" ref="G3682" ca="1" si="7547">VLOOKUP(INDIRECT(CHAR(39)&amp;$A3682&amp;CHAR(39)&amp;"!r2c"&amp;$C3682,0),variables,2,0)</f>
        <v>9740</v>
      </c>
      <c r="H3682" s="71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67" t="s">
        <v>1429</v>
      </c>
      <c r="B3683" s="66">
        <f t="shared" si="7512"/>
        <v>10</v>
      </c>
      <c r="C3683" s="66">
        <f t="shared" si="7515"/>
        <v>68</v>
      </c>
      <c r="E3683" s="66">
        <f t="shared" ref="E3683" si="7548">plan_id</f>
        <v>1952</v>
      </c>
      <c r="F3683" s="66">
        <f t="shared" ca="1" si="7478"/>
        <v>2008</v>
      </c>
      <c r="G3683" s="66">
        <f t="shared" ref="G3683" ca="1" si="7549">VLOOKUP(INDIRECT(CHAR(39)&amp;$A3683&amp;CHAR(39)&amp;"!r2c"&amp;$C3683,0),variables,2,0)</f>
        <v>9752</v>
      </c>
      <c r="H3683" s="71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67" t="s">
        <v>1429</v>
      </c>
      <c r="B3684" s="66">
        <f t="shared" si="7512"/>
        <v>10</v>
      </c>
      <c r="C3684" s="66">
        <f t="shared" si="7515"/>
        <v>69</v>
      </c>
      <c r="E3684" s="66">
        <f t="shared" ref="E3684" si="7550">plan_id</f>
        <v>1952</v>
      </c>
      <c r="F3684" s="66">
        <f t="shared" ca="1" si="7478"/>
        <v>2008</v>
      </c>
      <c r="G3684" s="66">
        <f t="shared" ref="G3684" ca="1" si="7551">VLOOKUP(INDIRECT(CHAR(39)&amp;$A3684&amp;CHAR(39)&amp;"!r2c"&amp;$C3684,0),variables,2,0)</f>
        <v>9791</v>
      </c>
      <c r="H3684" s="71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67" t="s">
        <v>1429</v>
      </c>
      <c r="B3685" s="66">
        <f t="shared" si="7512"/>
        <v>10</v>
      </c>
      <c r="C3685" s="66">
        <f t="shared" si="7515"/>
        <v>70</v>
      </c>
      <c r="E3685" s="66">
        <f t="shared" ref="E3685" si="7552">plan_id</f>
        <v>1952</v>
      </c>
      <c r="F3685" s="66">
        <f t="shared" ca="1" si="7478"/>
        <v>2008</v>
      </c>
      <c r="G3685" s="66">
        <f t="shared" ref="G3685" ca="1" si="7553">VLOOKUP(INDIRECT(CHAR(39)&amp;$A3685&amp;CHAR(39)&amp;"!r2c"&amp;$C3685,0),variables,2,0)</f>
        <v>9800</v>
      </c>
      <c r="H3685" s="71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67" t="s">
        <v>1429</v>
      </c>
      <c r="B3686" s="66">
        <f t="shared" si="7512"/>
        <v>10</v>
      </c>
      <c r="C3686" s="66">
        <f t="shared" si="7515"/>
        <v>71</v>
      </c>
      <c r="E3686" s="66">
        <f t="shared" ref="E3686" si="7554">plan_id</f>
        <v>1952</v>
      </c>
      <c r="F3686" s="66">
        <f t="shared" ca="1" si="7478"/>
        <v>2008</v>
      </c>
      <c r="G3686" s="66">
        <f t="shared" ref="G3686" ca="1" si="7555">VLOOKUP(INDIRECT(CHAR(39)&amp;$A3686&amp;CHAR(39)&amp;"!r2c"&amp;$C3686,0),variables,2,0)</f>
        <v>9842</v>
      </c>
      <c r="H3686" s="71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67" t="s">
        <v>1429</v>
      </c>
      <c r="B3687" s="66">
        <f t="shared" si="7512"/>
        <v>10</v>
      </c>
      <c r="C3687" s="66">
        <f t="shared" si="7515"/>
        <v>72</v>
      </c>
      <c r="E3687" s="66">
        <f t="shared" ref="E3687" si="7556">plan_id</f>
        <v>1952</v>
      </c>
      <c r="F3687" s="66">
        <f t="shared" ca="1" si="7478"/>
        <v>2008</v>
      </c>
      <c r="G3687" s="66">
        <f t="shared" ref="G3687" ca="1" si="7557">VLOOKUP(INDIRECT(CHAR(39)&amp;$A3687&amp;CHAR(39)&amp;"!r2c"&amp;$C3687,0),variables,2,0)</f>
        <v>9854</v>
      </c>
      <c r="H3687" s="71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67" t="s">
        <v>1429</v>
      </c>
      <c r="B3688" s="66">
        <f t="shared" si="7512"/>
        <v>10</v>
      </c>
      <c r="C3688" s="66">
        <f t="shared" si="7515"/>
        <v>73</v>
      </c>
      <c r="E3688" s="66">
        <f t="shared" ref="E3688" si="7558">plan_id</f>
        <v>1952</v>
      </c>
      <c r="F3688" s="66">
        <f t="shared" ca="1" si="7478"/>
        <v>2008</v>
      </c>
      <c r="G3688" s="66">
        <f t="shared" ref="G3688" ca="1" si="7559">VLOOKUP(INDIRECT(CHAR(39)&amp;$A3688&amp;CHAR(39)&amp;"!r2c"&amp;$C3688,0),variables,2,0)</f>
        <v>9869</v>
      </c>
      <c r="H3688" s="71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67" t="s">
        <v>1429</v>
      </c>
      <c r="B3689" s="66">
        <f t="shared" si="7512"/>
        <v>10</v>
      </c>
      <c r="C3689" s="66">
        <f t="shared" si="7515"/>
        <v>74</v>
      </c>
      <c r="E3689" s="66">
        <f t="shared" ref="E3689" si="7560">plan_id</f>
        <v>1952</v>
      </c>
      <c r="F3689" s="66">
        <f t="shared" ca="1" si="7478"/>
        <v>2008</v>
      </c>
      <c r="G3689" s="66">
        <f t="shared" ref="G3689" ca="1" si="7561">VLOOKUP(INDIRECT(CHAR(39)&amp;$A3689&amp;CHAR(39)&amp;"!r2c"&amp;$C3689,0),variables,2,0)</f>
        <v>9873</v>
      </c>
      <c r="H3689" s="71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67" t="s">
        <v>1429</v>
      </c>
      <c r="B3690" s="66">
        <f t="shared" si="7512"/>
        <v>10</v>
      </c>
      <c r="C3690" s="66">
        <f t="shared" si="7515"/>
        <v>75</v>
      </c>
      <c r="E3690" s="66">
        <f t="shared" ref="E3690" si="7562">plan_id</f>
        <v>1952</v>
      </c>
      <c r="F3690" s="66">
        <f t="shared" ca="1" si="7478"/>
        <v>2008</v>
      </c>
      <c r="G3690" s="66">
        <f t="shared" ref="G3690" ca="1" si="7563">VLOOKUP(INDIRECT(CHAR(39)&amp;$A3690&amp;CHAR(39)&amp;"!r2c"&amp;$C3690,0),variables,2,0)</f>
        <v>9881</v>
      </c>
      <c r="H3690" s="71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67" t="s">
        <v>1429</v>
      </c>
      <c r="B3691" s="66">
        <f t="shared" si="7512"/>
        <v>10</v>
      </c>
      <c r="C3691" s="66">
        <f t="shared" si="7515"/>
        <v>76</v>
      </c>
      <c r="E3691" s="66">
        <f t="shared" ref="E3691" si="7564">plan_id</f>
        <v>1952</v>
      </c>
      <c r="F3691" s="66">
        <f t="shared" ca="1" si="7478"/>
        <v>2008</v>
      </c>
      <c r="G3691" s="66">
        <f t="shared" ref="G3691" ca="1" si="7565">VLOOKUP(INDIRECT(CHAR(39)&amp;$A3691&amp;CHAR(39)&amp;"!r2c"&amp;$C3691,0),variables,2,0)</f>
        <v>9908</v>
      </c>
      <c r="H3691" s="71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67" t="s">
        <v>1429</v>
      </c>
      <c r="B3692" s="66">
        <f t="shared" si="7512"/>
        <v>10</v>
      </c>
      <c r="C3692" s="66">
        <f t="shared" si="7515"/>
        <v>77</v>
      </c>
      <c r="E3692" s="66">
        <f t="shared" ref="E3692" si="7566">plan_id</f>
        <v>1952</v>
      </c>
      <c r="F3692" s="66">
        <f t="shared" ca="1" si="7478"/>
        <v>2008</v>
      </c>
      <c r="G3692" s="66">
        <f t="shared" ref="G3692" ca="1" si="7567">VLOOKUP(INDIRECT(CHAR(39)&amp;$A3692&amp;CHAR(39)&amp;"!r2c"&amp;$C3692,0),variables,2,0)</f>
        <v>9911</v>
      </c>
      <c r="H3692" s="71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67" t="s">
        <v>1429</v>
      </c>
      <c r="B3693" s="66">
        <f t="shared" si="7512"/>
        <v>10</v>
      </c>
      <c r="C3693" s="66">
        <f t="shared" si="7515"/>
        <v>78</v>
      </c>
      <c r="E3693" s="66">
        <f t="shared" ref="E3693" si="7568">plan_id</f>
        <v>1952</v>
      </c>
      <c r="F3693" s="66">
        <f t="shared" ca="1" si="7478"/>
        <v>2008</v>
      </c>
      <c r="G3693" s="66">
        <f t="shared" ref="G3693" ca="1" si="7569">VLOOKUP(INDIRECT(CHAR(39)&amp;$A3693&amp;CHAR(39)&amp;"!r2c"&amp;$C3693,0),variables,2,0)</f>
        <v>9663</v>
      </c>
      <c r="H3693" s="71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67" t="s">
        <v>1429</v>
      </c>
      <c r="B3694" s="66">
        <f t="shared" si="7512"/>
        <v>10</v>
      </c>
      <c r="C3694" s="66">
        <f t="shared" si="7515"/>
        <v>79</v>
      </c>
      <c r="E3694" s="66">
        <f t="shared" ref="E3694" si="7570">plan_id</f>
        <v>1952</v>
      </c>
      <c r="F3694" s="66">
        <f t="shared" ca="1" si="7478"/>
        <v>2008</v>
      </c>
      <c r="G3694" s="66">
        <f t="shared" ref="G3694" ca="1" si="7571">VLOOKUP(INDIRECT(CHAR(39)&amp;$A3694&amp;CHAR(39)&amp;"!r2c"&amp;$C3694,0),variables,2,0)</f>
        <v>9710</v>
      </c>
      <c r="H3694" s="71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67" t="s">
        <v>1429</v>
      </c>
      <c r="B3695" s="66">
        <f t="shared" si="7512"/>
        <v>10</v>
      </c>
      <c r="C3695" s="66">
        <f t="shared" si="7515"/>
        <v>80</v>
      </c>
      <c r="E3695" s="66">
        <f t="shared" ref="E3695" si="7572">plan_id</f>
        <v>1952</v>
      </c>
      <c r="F3695" s="66">
        <f t="shared" ca="1" si="7478"/>
        <v>2008</v>
      </c>
      <c r="G3695" s="66">
        <f t="shared" ref="G3695" ca="1" si="7573">VLOOKUP(INDIRECT(CHAR(39)&amp;$A3695&amp;CHAR(39)&amp;"!r2c"&amp;$C3695,0),variables,2,0)</f>
        <v>9758</v>
      </c>
      <c r="H3695" s="71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67" t="s">
        <v>1429</v>
      </c>
      <c r="B3696" s="66">
        <f t="shared" si="7512"/>
        <v>10</v>
      </c>
      <c r="C3696" s="66">
        <f t="shared" si="7515"/>
        <v>81</v>
      </c>
      <c r="E3696" s="66">
        <f t="shared" ref="E3696" si="7574">plan_id</f>
        <v>1952</v>
      </c>
      <c r="F3696" s="66">
        <f t="shared" ca="1" si="7478"/>
        <v>2008</v>
      </c>
      <c r="G3696" s="66">
        <f t="shared" ref="G3696" ca="1" si="7575">VLOOKUP(INDIRECT(CHAR(39)&amp;$A3696&amp;CHAR(39)&amp;"!r2c"&amp;$C3696,0),variables,2,0)</f>
        <v>9803</v>
      </c>
      <c r="H3696" s="71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67" t="s">
        <v>1429</v>
      </c>
      <c r="B3697" s="66">
        <f t="shared" si="7512"/>
        <v>10</v>
      </c>
      <c r="C3697" s="66">
        <f t="shared" si="7515"/>
        <v>82</v>
      </c>
      <c r="E3697" s="66">
        <f t="shared" ref="E3697" si="7576">plan_id</f>
        <v>1952</v>
      </c>
      <c r="F3697" s="66">
        <f t="shared" ca="1" si="7478"/>
        <v>2008</v>
      </c>
      <c r="G3697" s="66">
        <f t="shared" ref="G3697" ca="1" si="7577">VLOOKUP(INDIRECT(CHAR(39)&amp;$A3697&amp;CHAR(39)&amp;"!r2c"&amp;$C3697,0),variables,2,0)</f>
        <v>9857</v>
      </c>
      <c r="H3697" s="71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67" t="s">
        <v>1429</v>
      </c>
      <c r="B3698" s="66">
        <f t="shared" si="7512"/>
        <v>10</v>
      </c>
      <c r="C3698" s="66">
        <f t="shared" si="7515"/>
        <v>83</v>
      </c>
      <c r="E3698" s="66">
        <f t="shared" ref="E3698" si="7578">plan_id</f>
        <v>1952</v>
      </c>
      <c r="F3698" s="66">
        <f t="shared" ca="1" si="7478"/>
        <v>2008</v>
      </c>
      <c r="G3698" s="66">
        <f t="shared" ref="G3698" ca="1" si="7579">VLOOKUP(INDIRECT(CHAR(39)&amp;$A3698&amp;CHAR(39)&amp;"!r2c"&amp;$C3698,0),variables,2,0)</f>
        <v>9902</v>
      </c>
      <c r="H3698" s="71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67" t="s">
        <v>1429</v>
      </c>
      <c r="B3699" s="66">
        <f t="shared" si="7512"/>
        <v>10</v>
      </c>
      <c r="C3699" s="66">
        <f t="shared" si="7515"/>
        <v>84</v>
      </c>
      <c r="E3699" s="66">
        <f t="shared" ref="E3699" si="7580">plan_id</f>
        <v>1952</v>
      </c>
      <c r="F3699" s="66">
        <f t="shared" ca="1" si="7478"/>
        <v>2008</v>
      </c>
      <c r="G3699" s="66">
        <f t="shared" ref="G3699" ca="1" si="7581">VLOOKUP(INDIRECT(CHAR(39)&amp;$A3699&amp;CHAR(39)&amp;"!r2c"&amp;$C3699,0),variables,2,0)</f>
        <v>9926</v>
      </c>
      <c r="H3699" s="71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67" t="s">
        <v>1429</v>
      </c>
      <c r="B3700" s="66">
        <f t="shared" si="7512"/>
        <v>10</v>
      </c>
      <c r="C3700" s="66">
        <f t="shared" si="7515"/>
        <v>85</v>
      </c>
      <c r="E3700" s="66">
        <f t="shared" ref="E3700" si="7582">plan_id</f>
        <v>1952</v>
      </c>
      <c r="F3700" s="66">
        <f t="shared" ca="1" si="7478"/>
        <v>2008</v>
      </c>
      <c r="G3700" s="66">
        <f t="shared" ref="G3700" ca="1" si="7583">VLOOKUP(INDIRECT(CHAR(39)&amp;$A3700&amp;CHAR(39)&amp;"!r2c"&amp;$C3700,0),variables,2,0)</f>
        <v>9666</v>
      </c>
      <c r="H3700" s="71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67" t="s">
        <v>1429</v>
      </c>
      <c r="B3701" s="66">
        <f t="shared" si="7512"/>
        <v>10</v>
      </c>
      <c r="C3701" s="66">
        <f t="shared" si="7515"/>
        <v>86</v>
      </c>
      <c r="E3701" s="66">
        <f t="shared" ref="E3701" si="7584">plan_id</f>
        <v>1952</v>
      </c>
      <c r="F3701" s="66">
        <f t="shared" ca="1" si="7478"/>
        <v>2008</v>
      </c>
      <c r="G3701" s="66">
        <f t="shared" ref="G3701" ca="1" si="7585">VLOOKUP(INDIRECT(CHAR(39)&amp;$A3701&amp;CHAR(39)&amp;"!r2c"&amp;$C3701,0),variables,2,0)</f>
        <v>9827</v>
      </c>
      <c r="H3701" s="71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67" t="s">
        <v>1429</v>
      </c>
      <c r="B3702" s="66">
        <f t="shared" si="7512"/>
        <v>10</v>
      </c>
      <c r="C3702" s="66">
        <f t="shared" si="7515"/>
        <v>87</v>
      </c>
      <c r="E3702" s="66">
        <f t="shared" ref="E3702" si="7586">plan_id</f>
        <v>1952</v>
      </c>
      <c r="F3702" s="66">
        <f t="shared" ca="1" si="7478"/>
        <v>2008</v>
      </c>
      <c r="G3702" s="66">
        <f t="shared" ref="G3702" ca="1" si="7587">VLOOKUP(INDIRECT(CHAR(39)&amp;$A3702&amp;CHAR(39)&amp;"!r2c"&amp;$C3702,0),variables,2,0)</f>
        <v>9657</v>
      </c>
      <c r="H3702" s="71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67" t="s">
        <v>1429</v>
      </c>
      <c r="B3703" s="66">
        <f t="shared" si="7512"/>
        <v>10</v>
      </c>
      <c r="C3703" s="66">
        <f t="shared" si="7515"/>
        <v>88</v>
      </c>
      <c r="E3703" s="66">
        <f t="shared" ref="E3703" si="7588">plan_id</f>
        <v>1952</v>
      </c>
      <c r="F3703" s="66">
        <f t="shared" ca="1" si="7478"/>
        <v>2008</v>
      </c>
      <c r="G3703" s="66">
        <f t="shared" ref="G3703" ca="1" si="7589">VLOOKUP(INDIRECT(CHAR(39)&amp;$A3703&amp;CHAR(39)&amp;"!r2c"&amp;$C3703,0),variables,2,0)</f>
        <v>9834</v>
      </c>
      <c r="H3703" s="71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67" t="s">
        <v>1429</v>
      </c>
      <c r="B3704" s="66">
        <f t="shared" si="7512"/>
        <v>10</v>
      </c>
      <c r="C3704" s="66">
        <f t="shared" si="7515"/>
        <v>89</v>
      </c>
      <c r="E3704" s="66">
        <f t="shared" ref="E3704" si="7590">plan_id</f>
        <v>1952</v>
      </c>
      <c r="F3704" s="66">
        <f t="shared" ca="1" si="7478"/>
        <v>2008</v>
      </c>
      <c r="G3704" s="66">
        <f t="shared" ref="G3704" ca="1" si="7591">VLOOKUP(INDIRECT(CHAR(39)&amp;$A3704&amp;CHAR(39)&amp;"!r2c"&amp;$C3704,0),variables,2,0)</f>
        <v>9884</v>
      </c>
      <c r="H3704" s="71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67" t="s">
        <v>1429</v>
      </c>
      <c r="B3705" s="66">
        <f t="shared" si="7512"/>
        <v>10</v>
      </c>
      <c r="C3705" s="66">
        <f t="shared" si="7515"/>
        <v>90</v>
      </c>
      <c r="E3705" s="66">
        <f t="shared" ref="E3705" si="7592">plan_id</f>
        <v>1952</v>
      </c>
      <c r="F3705" s="66">
        <f t="shared" ca="1" si="7478"/>
        <v>2008</v>
      </c>
      <c r="G3705" s="66">
        <f t="shared" ref="G3705" ca="1" si="7593">VLOOKUP(INDIRECT(CHAR(39)&amp;$A3705&amp;CHAR(39)&amp;"!r2c"&amp;$C3705,0),variables,2,0)</f>
        <v>9672</v>
      </c>
      <c r="H3705" s="71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67" t="s">
        <v>1429</v>
      </c>
      <c r="B3706" s="66">
        <f t="shared" si="7512"/>
        <v>11</v>
      </c>
      <c r="C3706" s="66">
        <f t="shared" si="7515"/>
        <v>3</v>
      </c>
      <c r="E3706" s="66">
        <f t="shared" ref="E3706" si="7594">plan_id</f>
        <v>1952</v>
      </c>
      <c r="F3706" s="66">
        <f t="shared" ca="1" si="7478"/>
        <v>2009</v>
      </c>
      <c r="G3706" s="66">
        <f t="shared" ref="G3706" ca="1" si="7595">VLOOKUP(INDIRECT(CHAR(39)&amp;$A3706&amp;CHAR(39)&amp;"!r2c"&amp;$C3706,0),variables,2,0)</f>
        <v>9704</v>
      </c>
      <c r="H3706" s="71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67" t="s">
        <v>1429</v>
      </c>
      <c r="B3707" s="66">
        <f t="shared" si="7512"/>
        <v>11</v>
      </c>
      <c r="C3707" s="66">
        <f t="shared" si="7515"/>
        <v>4</v>
      </c>
      <c r="E3707" s="66">
        <f t="shared" ref="E3707" si="7596">plan_id</f>
        <v>1952</v>
      </c>
      <c r="F3707" s="66">
        <f t="shared" ca="1" si="7478"/>
        <v>2009</v>
      </c>
      <c r="G3707" s="66">
        <f t="shared" ref="G3707" ca="1" si="7597">VLOOKUP(INDIRECT(CHAR(39)&amp;$A3707&amp;CHAR(39)&amp;"!r2c"&amp;$C3707,0),variables,2,0)</f>
        <v>9716</v>
      </c>
      <c r="H3707" s="71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67" t="s">
        <v>1429</v>
      </c>
      <c r="B3708" s="66">
        <f t="shared" si="7512"/>
        <v>11</v>
      </c>
      <c r="C3708" s="66">
        <f t="shared" si="7515"/>
        <v>5</v>
      </c>
      <c r="E3708" s="66">
        <f t="shared" ref="E3708" si="7598">plan_id</f>
        <v>1952</v>
      </c>
      <c r="F3708" s="66">
        <f t="shared" ca="1" si="7478"/>
        <v>2009</v>
      </c>
      <c r="G3708" s="66">
        <f t="shared" ref="G3708" ca="1" si="7599">VLOOKUP(INDIRECT(CHAR(39)&amp;$A3708&amp;CHAR(39)&amp;"!r2c"&amp;$C3708,0),variables,2,0)</f>
        <v>9734</v>
      </c>
      <c r="H3708" s="71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67" t="s">
        <v>1429</v>
      </c>
      <c r="B3709" s="66">
        <f t="shared" si="7512"/>
        <v>11</v>
      </c>
      <c r="C3709" s="66">
        <f t="shared" si="7515"/>
        <v>6</v>
      </c>
      <c r="E3709" s="66">
        <f t="shared" ref="E3709" si="7600">plan_id</f>
        <v>1952</v>
      </c>
      <c r="F3709" s="66">
        <f t="shared" ca="1" si="7478"/>
        <v>2009</v>
      </c>
      <c r="G3709" s="66">
        <f t="shared" ref="G3709" ca="1" si="7601">VLOOKUP(INDIRECT(CHAR(39)&amp;$A3709&amp;CHAR(39)&amp;"!r2c"&amp;$C3709,0),variables,2,0)</f>
        <v>9749</v>
      </c>
      <c r="H3709" s="71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67" t="s">
        <v>1429</v>
      </c>
      <c r="B3710" s="66">
        <f t="shared" si="7512"/>
        <v>11</v>
      </c>
      <c r="C3710" s="66">
        <f t="shared" si="7515"/>
        <v>7</v>
      </c>
      <c r="E3710" s="66">
        <f t="shared" ref="E3710" si="7602">plan_id</f>
        <v>1952</v>
      </c>
      <c r="F3710" s="66">
        <f t="shared" ca="1" si="7478"/>
        <v>2009</v>
      </c>
      <c r="G3710" s="66">
        <f t="shared" ref="G3710" ca="1" si="7603">VLOOKUP(INDIRECT(CHAR(39)&amp;$A3710&amp;CHAR(39)&amp;"!r2c"&amp;$C3710,0),variables,2,0)</f>
        <v>9755</v>
      </c>
      <c r="H3710" s="71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67" t="s">
        <v>1429</v>
      </c>
      <c r="B3711" s="66">
        <f t="shared" si="7512"/>
        <v>11</v>
      </c>
      <c r="C3711" s="66">
        <f t="shared" si="7515"/>
        <v>8</v>
      </c>
      <c r="E3711" s="66">
        <f t="shared" ref="E3711" si="7604">plan_id</f>
        <v>1952</v>
      </c>
      <c r="F3711" s="66">
        <f t="shared" ca="1" si="7478"/>
        <v>2009</v>
      </c>
      <c r="G3711" s="66">
        <f t="shared" ref="G3711" ca="1" si="7605">VLOOKUP(INDIRECT(CHAR(39)&amp;$A3711&amp;CHAR(39)&amp;"!r2c"&amp;$C3711,0),variables,2,0)</f>
        <v>9782</v>
      </c>
      <c r="H3711" s="71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67" t="s">
        <v>1429</v>
      </c>
      <c r="B3712" s="66">
        <f t="shared" si="7512"/>
        <v>11</v>
      </c>
      <c r="C3712" s="66">
        <f t="shared" si="7515"/>
        <v>9</v>
      </c>
      <c r="E3712" s="66">
        <f t="shared" ref="E3712" si="7606">plan_id</f>
        <v>1952</v>
      </c>
      <c r="F3712" s="66">
        <f t="shared" ca="1" si="7478"/>
        <v>2009</v>
      </c>
      <c r="G3712" s="66">
        <f t="shared" ref="G3712" ca="1" si="7607">VLOOKUP(INDIRECT(CHAR(39)&amp;$A3712&amp;CHAR(39)&amp;"!r2c"&amp;$C3712,0),variables,2,0)</f>
        <v>9788</v>
      </c>
      <c r="H3712" s="71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67" t="s">
        <v>1429</v>
      </c>
      <c r="B3713" s="66">
        <f t="shared" si="7512"/>
        <v>11</v>
      </c>
      <c r="C3713" s="66">
        <f t="shared" si="7515"/>
        <v>10</v>
      </c>
      <c r="E3713" s="66">
        <f t="shared" ref="E3713" si="7608">plan_id</f>
        <v>1952</v>
      </c>
      <c r="F3713" s="66">
        <f t="shared" ref="F3713:F3776" ca="1" si="7609">INDIRECT(CHAR(39)&amp;$A3713&amp;CHAR(39)&amp;"!r"&amp;$B3713&amp;"c2",0)</f>
        <v>2009</v>
      </c>
      <c r="G3713" s="66">
        <f t="shared" ref="G3713" ca="1" si="7610">VLOOKUP(INDIRECT(CHAR(39)&amp;$A3713&amp;CHAR(39)&amp;"!r2c"&amp;$C3713,0),variables,2,0)</f>
        <v>9812</v>
      </c>
      <c r="H3713" s="71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67" t="s">
        <v>1429</v>
      </c>
      <c r="B3714" s="66">
        <f t="shared" si="7512"/>
        <v>11</v>
      </c>
      <c r="C3714" s="66">
        <f t="shared" si="7515"/>
        <v>11</v>
      </c>
      <c r="E3714" s="66">
        <f t="shared" ref="E3714" si="7611">plan_id</f>
        <v>1952</v>
      </c>
      <c r="F3714" s="66">
        <f t="shared" ca="1" si="7609"/>
        <v>2009</v>
      </c>
      <c r="G3714" s="66">
        <f t="shared" ref="G3714" ca="1" si="7612">VLOOKUP(INDIRECT(CHAR(39)&amp;$A3714&amp;CHAR(39)&amp;"!r2c"&amp;$C3714,0),variables,2,0)</f>
        <v>9815</v>
      </c>
      <c r="H3714" s="71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67" t="s">
        <v>1429</v>
      </c>
      <c r="B3715" s="66">
        <f t="shared" si="7512"/>
        <v>11</v>
      </c>
      <c r="C3715" s="66">
        <f t="shared" si="7515"/>
        <v>12</v>
      </c>
      <c r="E3715" s="66">
        <f t="shared" ref="E3715" si="7613">plan_id</f>
        <v>1952</v>
      </c>
      <c r="F3715" s="66">
        <f t="shared" ca="1" si="7609"/>
        <v>2009</v>
      </c>
      <c r="G3715" s="66">
        <f t="shared" ref="G3715" ca="1" si="7614">VLOOKUP(INDIRECT(CHAR(39)&amp;$A3715&amp;CHAR(39)&amp;"!r2c"&amp;$C3715,0),variables,2,0)</f>
        <v>9821</v>
      </c>
      <c r="H3715" s="71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67" t="s">
        <v>1429</v>
      </c>
      <c r="B3716" s="66">
        <f t="shared" si="7512"/>
        <v>11</v>
      </c>
      <c r="C3716" s="66">
        <f t="shared" si="7515"/>
        <v>13</v>
      </c>
      <c r="E3716" s="66">
        <f t="shared" ref="E3716" si="7615">plan_id</f>
        <v>1952</v>
      </c>
      <c r="F3716" s="66">
        <f t="shared" ca="1" si="7609"/>
        <v>2009</v>
      </c>
      <c r="G3716" s="66">
        <f t="shared" ref="G3716" ca="1" si="7616">VLOOKUP(INDIRECT(CHAR(39)&amp;$A3716&amp;CHAR(39)&amp;"!r2c"&amp;$C3716,0),variables,2,0)</f>
        <v>9824</v>
      </c>
      <c r="H3716" s="71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67" t="s">
        <v>1429</v>
      </c>
      <c r="B3717" s="66">
        <f t="shared" si="7512"/>
        <v>11</v>
      </c>
      <c r="C3717" s="66">
        <f t="shared" si="7515"/>
        <v>14</v>
      </c>
      <c r="E3717" s="66">
        <f t="shared" ref="E3717" si="7617">plan_id</f>
        <v>1952</v>
      </c>
      <c r="F3717" s="66">
        <f t="shared" ca="1" si="7609"/>
        <v>2009</v>
      </c>
      <c r="G3717" s="66">
        <f t="shared" ref="G3717" ca="1" si="7618">VLOOKUP(INDIRECT(CHAR(39)&amp;$A3717&amp;CHAR(39)&amp;"!r2c"&amp;$C3717,0),variables,2,0)</f>
        <v>9830</v>
      </c>
      <c r="H3717" s="71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67" t="s">
        <v>1429</v>
      </c>
      <c r="B3718" s="66">
        <f t="shared" si="7512"/>
        <v>11</v>
      </c>
      <c r="C3718" s="66">
        <f t="shared" si="7515"/>
        <v>15</v>
      </c>
      <c r="E3718" s="66">
        <f t="shared" ref="E3718" si="7619">plan_id</f>
        <v>1952</v>
      </c>
      <c r="F3718" s="66">
        <f t="shared" ca="1" si="7609"/>
        <v>2009</v>
      </c>
      <c r="G3718" s="66">
        <f t="shared" ref="G3718" ca="1" si="7620">VLOOKUP(INDIRECT(CHAR(39)&amp;$A3718&amp;CHAR(39)&amp;"!r2c"&amp;$C3718,0),variables,2,0)</f>
        <v>9833</v>
      </c>
      <c r="H3718" s="71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67" t="s">
        <v>1429</v>
      </c>
      <c r="B3719" s="66">
        <f t="shared" si="7512"/>
        <v>11</v>
      </c>
      <c r="C3719" s="66">
        <f t="shared" si="7515"/>
        <v>16</v>
      </c>
      <c r="E3719" s="66">
        <f t="shared" ref="E3719" si="7621">plan_id</f>
        <v>1952</v>
      </c>
      <c r="F3719" s="66">
        <f t="shared" ca="1" si="7609"/>
        <v>2009</v>
      </c>
      <c r="G3719" s="66">
        <f t="shared" ref="G3719" ca="1" si="7622">VLOOKUP(INDIRECT(CHAR(39)&amp;$A3719&amp;CHAR(39)&amp;"!r2c"&amp;$C3719,0),variables,2,0)</f>
        <v>9845</v>
      </c>
      <c r="H3719" s="71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67" t="s">
        <v>1429</v>
      </c>
      <c r="B3720" s="66">
        <f t="shared" si="7512"/>
        <v>11</v>
      </c>
      <c r="C3720" s="66">
        <f t="shared" si="7515"/>
        <v>17</v>
      </c>
      <c r="E3720" s="66">
        <f t="shared" ref="E3720" si="7623">plan_id</f>
        <v>1952</v>
      </c>
      <c r="F3720" s="66">
        <f t="shared" ca="1" si="7609"/>
        <v>2009</v>
      </c>
      <c r="G3720" s="66">
        <f t="shared" ref="G3720" ca="1" si="7624">VLOOKUP(INDIRECT(CHAR(39)&amp;$A3720&amp;CHAR(39)&amp;"!r2c"&amp;$C3720,0),variables,2,0)</f>
        <v>9872</v>
      </c>
      <c r="H3720" s="71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67" t="s">
        <v>1429</v>
      </c>
      <c r="B3721" s="66">
        <f t="shared" si="7512"/>
        <v>11</v>
      </c>
      <c r="C3721" s="66">
        <f t="shared" si="7515"/>
        <v>18</v>
      </c>
      <c r="E3721" s="66">
        <f t="shared" ref="E3721" si="7625">plan_id</f>
        <v>1952</v>
      </c>
      <c r="F3721" s="66">
        <f t="shared" ca="1" si="7609"/>
        <v>2009</v>
      </c>
      <c r="G3721" s="66">
        <f t="shared" ref="G3721" ca="1" si="7626">VLOOKUP(INDIRECT(CHAR(39)&amp;$A3721&amp;CHAR(39)&amp;"!r2c"&amp;$C3721,0),variables,2,0)</f>
        <v>9887</v>
      </c>
      <c r="H3721" s="71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67" t="s">
        <v>1429</v>
      </c>
      <c r="B3722" s="66">
        <f t="shared" si="7512"/>
        <v>11</v>
      </c>
      <c r="C3722" s="66">
        <f t="shared" si="7515"/>
        <v>19</v>
      </c>
      <c r="E3722" s="66">
        <f t="shared" ref="E3722" si="7627">plan_id</f>
        <v>1952</v>
      </c>
      <c r="F3722" s="66">
        <f t="shared" ca="1" si="7609"/>
        <v>2009</v>
      </c>
      <c r="G3722" s="66">
        <f t="shared" ref="G3722" ca="1" si="7628">VLOOKUP(INDIRECT(CHAR(39)&amp;$A3722&amp;CHAR(39)&amp;"!r2c"&amp;$C3722,0),variables,2,0)</f>
        <v>9914</v>
      </c>
      <c r="H3722" s="71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67" t="s">
        <v>1429</v>
      </c>
      <c r="B3723" s="66">
        <f t="shared" si="7512"/>
        <v>11</v>
      </c>
      <c r="C3723" s="66">
        <f t="shared" si="7515"/>
        <v>20</v>
      </c>
      <c r="E3723" s="66">
        <f t="shared" ref="E3723" si="7629">plan_id</f>
        <v>1952</v>
      </c>
      <c r="F3723" s="66">
        <f t="shared" ca="1" si="7609"/>
        <v>2009</v>
      </c>
      <c r="G3723" s="66">
        <f t="shared" ref="G3723" ca="1" si="7630">VLOOKUP(INDIRECT(CHAR(39)&amp;$A3723&amp;CHAR(39)&amp;"!r2c"&amp;$C3723,0),variables,2,0)</f>
        <v>9917</v>
      </c>
      <c r="H3723" s="71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67" t="s">
        <v>1429</v>
      </c>
      <c r="B3724" s="66">
        <f t="shared" si="7512"/>
        <v>11</v>
      </c>
      <c r="C3724" s="66">
        <f t="shared" si="7515"/>
        <v>21</v>
      </c>
      <c r="E3724" s="66">
        <f t="shared" ref="E3724" si="7631">plan_id</f>
        <v>1952</v>
      </c>
      <c r="F3724" s="66">
        <f t="shared" ca="1" si="7609"/>
        <v>2009</v>
      </c>
      <c r="G3724" s="66">
        <f t="shared" ref="G3724" ca="1" si="7632">VLOOKUP(INDIRECT(CHAR(39)&amp;$A3724&amp;CHAR(39)&amp;"!r2c"&amp;$C3724,0),variables,2,0)</f>
        <v>9920</v>
      </c>
      <c r="H3724" s="71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67" t="s">
        <v>1429</v>
      </c>
      <c r="B3725" s="66">
        <f t="shared" si="7512"/>
        <v>11</v>
      </c>
      <c r="C3725" s="66">
        <f t="shared" si="7515"/>
        <v>22</v>
      </c>
      <c r="E3725" s="66">
        <f t="shared" ref="E3725" si="7633">plan_id</f>
        <v>1952</v>
      </c>
      <c r="F3725" s="66">
        <f t="shared" ca="1" si="7609"/>
        <v>2009</v>
      </c>
      <c r="G3725" s="66">
        <f t="shared" ref="G3725" ca="1" si="7634">VLOOKUP(INDIRECT(CHAR(39)&amp;$A3725&amp;CHAR(39)&amp;"!r2c"&amp;$C3725,0),variables,2,0)</f>
        <v>9648</v>
      </c>
      <c r="H3725" s="71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67" t="s">
        <v>1429</v>
      </c>
      <c r="B3726" s="66">
        <f t="shared" si="7512"/>
        <v>11</v>
      </c>
      <c r="C3726" s="66">
        <f t="shared" si="7515"/>
        <v>23</v>
      </c>
      <c r="E3726" s="66">
        <f t="shared" ref="E3726" si="7635">plan_id</f>
        <v>1952</v>
      </c>
      <c r="F3726" s="66">
        <f t="shared" ca="1" si="7609"/>
        <v>2009</v>
      </c>
      <c r="G3726" s="66">
        <f t="shared" ref="G3726" ca="1" si="7636">VLOOKUP(INDIRECT(CHAR(39)&amp;$A3726&amp;CHAR(39)&amp;"!r2c"&amp;$C3726,0),variables,2,0)</f>
        <v>9713</v>
      </c>
      <c r="H3726" s="71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67" t="s">
        <v>1429</v>
      </c>
      <c r="B3727" s="66">
        <f t="shared" si="7512"/>
        <v>11</v>
      </c>
      <c r="C3727" s="66">
        <f t="shared" si="7515"/>
        <v>24</v>
      </c>
      <c r="E3727" s="66">
        <f t="shared" ref="E3727" si="7637">plan_id</f>
        <v>1952</v>
      </c>
      <c r="F3727" s="66">
        <f t="shared" ca="1" si="7609"/>
        <v>2009</v>
      </c>
      <c r="G3727" s="66">
        <f t="shared" ref="G3727" ca="1" si="7638">VLOOKUP(INDIRECT(CHAR(39)&amp;$A3727&amp;CHAR(39)&amp;"!r2c"&amp;$C3727,0),variables,2,0)</f>
        <v>9719</v>
      </c>
      <c r="H3727" s="71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67" t="s">
        <v>1429</v>
      </c>
      <c r="B3728" s="66">
        <f t="shared" si="7512"/>
        <v>11</v>
      </c>
      <c r="C3728" s="66">
        <f t="shared" si="7515"/>
        <v>25</v>
      </c>
      <c r="E3728" s="66">
        <f t="shared" ref="E3728" si="7639">plan_id</f>
        <v>1952</v>
      </c>
      <c r="F3728" s="66">
        <f t="shared" ca="1" si="7609"/>
        <v>2009</v>
      </c>
      <c r="G3728" s="66">
        <f t="shared" ref="G3728" ca="1" si="7640">VLOOKUP(INDIRECT(CHAR(39)&amp;$A3728&amp;CHAR(39)&amp;"!r2c"&amp;$C3728,0),variables,2,0)</f>
        <v>9725</v>
      </c>
      <c r="H3728" s="71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67" t="s">
        <v>1429</v>
      </c>
      <c r="B3729" s="66">
        <f t="shared" si="7512"/>
        <v>11</v>
      </c>
      <c r="C3729" s="66">
        <f t="shared" si="7515"/>
        <v>26</v>
      </c>
      <c r="E3729" s="66">
        <f t="shared" ref="E3729" si="7641">plan_id</f>
        <v>1952</v>
      </c>
      <c r="F3729" s="66">
        <f t="shared" ca="1" si="7609"/>
        <v>2009</v>
      </c>
      <c r="G3729" s="66">
        <f t="shared" ref="G3729" ca="1" si="7642">VLOOKUP(INDIRECT(CHAR(39)&amp;$A3729&amp;CHAR(39)&amp;"!r2c"&amp;$C3729,0),variables,2,0)</f>
        <v>9743</v>
      </c>
      <c r="H3729" s="71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67" t="s">
        <v>1429</v>
      </c>
      <c r="B3730" s="66">
        <f t="shared" ref="B3730:B3793" si="7643">B3642+1</f>
        <v>11</v>
      </c>
      <c r="C3730" s="66">
        <f t="shared" si="7515"/>
        <v>27</v>
      </c>
      <c r="E3730" s="66">
        <f t="shared" ref="E3730" si="7644">plan_id</f>
        <v>1952</v>
      </c>
      <c r="F3730" s="66">
        <f t="shared" ca="1" si="7609"/>
        <v>2009</v>
      </c>
      <c r="G3730" s="66">
        <f t="shared" ref="G3730" ca="1" si="7645">VLOOKUP(INDIRECT(CHAR(39)&amp;$A3730&amp;CHAR(39)&amp;"!r2c"&amp;$C3730,0),variables,2,0)</f>
        <v>9746</v>
      </c>
      <c r="H3730" s="71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67" t="s">
        <v>1429</v>
      </c>
      <c r="B3731" s="66">
        <f t="shared" si="7643"/>
        <v>11</v>
      </c>
      <c r="C3731" s="66">
        <f t="shared" ref="C3731:C3794" si="7646">C3643</f>
        <v>28</v>
      </c>
      <c r="E3731" s="66">
        <f t="shared" ref="E3731" si="7647">plan_id</f>
        <v>1952</v>
      </c>
      <c r="F3731" s="66">
        <f t="shared" ca="1" si="7609"/>
        <v>2009</v>
      </c>
      <c r="G3731" s="66">
        <f t="shared" ref="G3731" ca="1" si="7648">VLOOKUP(INDIRECT(CHAR(39)&amp;$A3731&amp;CHAR(39)&amp;"!r2c"&amp;$C3731,0),variables,2,0)</f>
        <v>9761</v>
      </c>
      <c r="H3731" s="71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67" t="s">
        <v>1429</v>
      </c>
      <c r="B3732" s="66">
        <f t="shared" si="7643"/>
        <v>11</v>
      </c>
      <c r="C3732" s="66">
        <f t="shared" si="7646"/>
        <v>29</v>
      </c>
      <c r="E3732" s="66">
        <f t="shared" ref="E3732" si="7649">plan_id</f>
        <v>1952</v>
      </c>
      <c r="F3732" s="66">
        <f t="shared" ca="1" si="7609"/>
        <v>2009</v>
      </c>
      <c r="G3732" s="66">
        <f t="shared" ref="G3732" ca="1" si="7650">VLOOKUP(INDIRECT(CHAR(39)&amp;$A3732&amp;CHAR(39)&amp;"!r2c"&amp;$C3732,0),variables,2,0)</f>
        <v>9764</v>
      </c>
      <c r="H3732" s="71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67" t="s">
        <v>1429</v>
      </c>
      <c r="B3733" s="66">
        <f t="shared" si="7643"/>
        <v>11</v>
      </c>
      <c r="C3733" s="66">
        <f t="shared" si="7646"/>
        <v>30</v>
      </c>
      <c r="E3733" s="66">
        <f t="shared" ref="E3733" si="7651">plan_id</f>
        <v>1952</v>
      </c>
      <c r="F3733" s="66">
        <f t="shared" ca="1" si="7609"/>
        <v>2009</v>
      </c>
      <c r="G3733" s="66">
        <f t="shared" ref="G3733" ca="1" si="7652">VLOOKUP(INDIRECT(CHAR(39)&amp;$A3733&amp;CHAR(39)&amp;"!r2c"&amp;$C3733,0),variables,2,0)</f>
        <v>9767</v>
      </c>
      <c r="H3733" s="71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67" t="s">
        <v>1429</v>
      </c>
      <c r="B3734" s="66">
        <f t="shared" si="7643"/>
        <v>11</v>
      </c>
      <c r="C3734" s="66">
        <f t="shared" si="7646"/>
        <v>31</v>
      </c>
      <c r="E3734" s="66">
        <f t="shared" ref="E3734" si="7653">plan_id</f>
        <v>1952</v>
      </c>
      <c r="F3734" s="66">
        <f t="shared" ca="1" si="7609"/>
        <v>2009</v>
      </c>
      <c r="G3734" s="66">
        <f t="shared" ref="G3734" ca="1" si="7654">VLOOKUP(INDIRECT(CHAR(39)&amp;$A3734&amp;CHAR(39)&amp;"!r2c"&amp;$C3734,0),variables,2,0)</f>
        <v>9770</v>
      </c>
      <c r="H3734" s="71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67" t="s">
        <v>1429</v>
      </c>
      <c r="B3735" s="66">
        <f t="shared" si="7643"/>
        <v>11</v>
      </c>
      <c r="C3735" s="66">
        <f t="shared" si="7646"/>
        <v>32</v>
      </c>
      <c r="E3735" s="66">
        <f t="shared" ref="E3735" si="7655">plan_id</f>
        <v>1952</v>
      </c>
      <c r="F3735" s="66">
        <f t="shared" ca="1" si="7609"/>
        <v>2009</v>
      </c>
      <c r="G3735" s="66">
        <f t="shared" ref="G3735" ca="1" si="7656">VLOOKUP(INDIRECT(CHAR(39)&amp;$A3735&amp;CHAR(39)&amp;"!r2c"&amp;$C3735,0),variables,2,0)</f>
        <v>9773</v>
      </c>
      <c r="H3735" s="71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67" t="s">
        <v>1429</v>
      </c>
      <c r="B3736" s="66">
        <f t="shared" si="7643"/>
        <v>11</v>
      </c>
      <c r="C3736" s="66">
        <f t="shared" si="7646"/>
        <v>33</v>
      </c>
      <c r="E3736" s="66">
        <f t="shared" ref="E3736" si="7657">plan_id</f>
        <v>1952</v>
      </c>
      <c r="F3736" s="66">
        <f t="shared" ca="1" si="7609"/>
        <v>2009</v>
      </c>
      <c r="G3736" s="66">
        <f t="shared" ref="G3736" ca="1" si="7658">VLOOKUP(INDIRECT(CHAR(39)&amp;$A3736&amp;CHAR(39)&amp;"!r2c"&amp;$C3736,0),variables,2,0)</f>
        <v>9776</v>
      </c>
      <c r="H3736" s="71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67" t="s">
        <v>1429</v>
      </c>
      <c r="B3737" s="66">
        <f t="shared" si="7643"/>
        <v>11</v>
      </c>
      <c r="C3737" s="66">
        <f t="shared" si="7646"/>
        <v>34</v>
      </c>
      <c r="E3737" s="66">
        <f t="shared" ref="E3737" si="7659">plan_id</f>
        <v>1952</v>
      </c>
      <c r="F3737" s="66">
        <f t="shared" ca="1" si="7609"/>
        <v>2009</v>
      </c>
      <c r="G3737" s="66">
        <f t="shared" ref="G3737" ca="1" si="7660">VLOOKUP(INDIRECT(CHAR(39)&amp;$A3737&amp;CHAR(39)&amp;"!r2c"&amp;$C3737,0),variables,2,0)</f>
        <v>9779</v>
      </c>
      <c r="H3737" s="71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67" t="s">
        <v>1429</v>
      </c>
      <c r="B3738" s="66">
        <f t="shared" si="7643"/>
        <v>11</v>
      </c>
      <c r="C3738" s="66">
        <f t="shared" si="7646"/>
        <v>35</v>
      </c>
      <c r="E3738" s="66">
        <f t="shared" ref="E3738" si="7661">plan_id</f>
        <v>1952</v>
      </c>
      <c r="F3738" s="66">
        <f t="shared" ca="1" si="7609"/>
        <v>2009</v>
      </c>
      <c r="G3738" s="66">
        <f t="shared" ref="G3738" ca="1" si="7662">VLOOKUP(INDIRECT(CHAR(39)&amp;$A3738&amp;CHAR(39)&amp;"!r2c"&amp;$C3738,0),variables,2,0)</f>
        <v>9785</v>
      </c>
      <c r="H3738" s="71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67" t="s">
        <v>1429</v>
      </c>
      <c r="B3739" s="66">
        <f t="shared" si="7643"/>
        <v>11</v>
      </c>
      <c r="C3739" s="66">
        <f t="shared" si="7646"/>
        <v>36</v>
      </c>
      <c r="E3739" s="66">
        <f t="shared" ref="E3739" si="7663">plan_id</f>
        <v>1952</v>
      </c>
      <c r="F3739" s="66">
        <f t="shared" ca="1" si="7609"/>
        <v>2009</v>
      </c>
      <c r="G3739" s="66">
        <f t="shared" ref="G3739" ca="1" si="7664">VLOOKUP(INDIRECT(CHAR(39)&amp;$A3739&amp;CHAR(39)&amp;"!r2c"&amp;$C3739,0),variables,2,0)</f>
        <v>9794</v>
      </c>
      <c r="H3739" s="71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67" t="s">
        <v>1429</v>
      </c>
      <c r="B3740" s="66">
        <f t="shared" si="7643"/>
        <v>11</v>
      </c>
      <c r="C3740" s="66">
        <f t="shared" si="7646"/>
        <v>37</v>
      </c>
      <c r="E3740" s="66">
        <f t="shared" ref="E3740" si="7665">plan_id</f>
        <v>1952</v>
      </c>
      <c r="F3740" s="66">
        <f t="shared" ca="1" si="7609"/>
        <v>2009</v>
      </c>
      <c r="G3740" s="66">
        <f t="shared" ref="G3740" ca="1" si="7666">VLOOKUP(INDIRECT(CHAR(39)&amp;$A3740&amp;CHAR(39)&amp;"!r2c"&amp;$C3740,0),variables,2,0)</f>
        <v>9797</v>
      </c>
      <c r="H3740" s="71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67" t="s">
        <v>1429</v>
      </c>
      <c r="B3741" s="66">
        <f t="shared" si="7643"/>
        <v>11</v>
      </c>
      <c r="C3741" s="66">
        <f t="shared" si="7646"/>
        <v>38</v>
      </c>
      <c r="E3741" s="66">
        <f t="shared" ref="E3741" si="7667">plan_id</f>
        <v>1952</v>
      </c>
      <c r="F3741" s="66">
        <f t="shared" ca="1" si="7609"/>
        <v>2009</v>
      </c>
      <c r="G3741" s="66">
        <f t="shared" ref="G3741" ca="1" si="7668">VLOOKUP(INDIRECT(CHAR(39)&amp;$A3741&amp;CHAR(39)&amp;"!r2c"&amp;$C3741,0),variables,2,0)</f>
        <v>9806</v>
      </c>
      <c r="H3741" s="71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67" t="s">
        <v>1429</v>
      </c>
      <c r="B3742" s="66">
        <f t="shared" si="7643"/>
        <v>11</v>
      </c>
      <c r="C3742" s="66">
        <f t="shared" si="7646"/>
        <v>39</v>
      </c>
      <c r="E3742" s="66">
        <f t="shared" ref="E3742" si="7669">plan_id</f>
        <v>1952</v>
      </c>
      <c r="F3742" s="66">
        <f t="shared" ca="1" si="7609"/>
        <v>2009</v>
      </c>
      <c r="G3742" s="66">
        <f t="shared" ref="G3742" ca="1" si="7670">VLOOKUP(INDIRECT(CHAR(39)&amp;$A3742&amp;CHAR(39)&amp;"!r2c"&amp;$C3742,0),variables,2,0)</f>
        <v>9809</v>
      </c>
      <c r="H3742" s="71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67" t="s">
        <v>1429</v>
      </c>
      <c r="B3743" s="66">
        <f t="shared" si="7643"/>
        <v>11</v>
      </c>
      <c r="C3743" s="66">
        <f t="shared" si="7646"/>
        <v>40</v>
      </c>
      <c r="E3743" s="66">
        <f t="shared" ref="E3743" si="7671">plan_id</f>
        <v>1952</v>
      </c>
      <c r="F3743" s="66">
        <f t="shared" ca="1" si="7609"/>
        <v>2009</v>
      </c>
      <c r="G3743" s="66">
        <f t="shared" ref="G3743" ca="1" si="7672">VLOOKUP(INDIRECT(CHAR(39)&amp;$A3743&amp;CHAR(39)&amp;"!r2c"&amp;$C3743,0),variables,2,0)</f>
        <v>9818</v>
      </c>
      <c r="H3743" s="71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67" t="s">
        <v>1429</v>
      </c>
      <c r="B3744" s="66">
        <f t="shared" si="7643"/>
        <v>11</v>
      </c>
      <c r="C3744" s="66">
        <f t="shared" si="7646"/>
        <v>41</v>
      </c>
      <c r="E3744" s="66">
        <f t="shared" ref="E3744" si="7673">plan_id</f>
        <v>1952</v>
      </c>
      <c r="F3744" s="66">
        <f t="shared" ca="1" si="7609"/>
        <v>2009</v>
      </c>
      <c r="G3744" s="66">
        <f t="shared" ref="G3744" ca="1" si="7674">VLOOKUP(INDIRECT(CHAR(39)&amp;$A3744&amp;CHAR(39)&amp;"!r2c"&amp;$C3744,0),variables,2,0)</f>
        <v>9839</v>
      </c>
      <c r="H3744" s="71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67" t="s">
        <v>1429</v>
      </c>
      <c r="B3745" s="66">
        <f t="shared" si="7643"/>
        <v>11</v>
      </c>
      <c r="C3745" s="66">
        <f t="shared" si="7646"/>
        <v>42</v>
      </c>
      <c r="E3745" s="66">
        <f t="shared" ref="E3745" si="7675">plan_id</f>
        <v>1952</v>
      </c>
      <c r="F3745" s="66">
        <f t="shared" ca="1" si="7609"/>
        <v>2009</v>
      </c>
      <c r="G3745" s="66">
        <f t="shared" ref="G3745" ca="1" si="7676">VLOOKUP(INDIRECT(CHAR(39)&amp;$A3745&amp;CHAR(39)&amp;"!r2c"&amp;$C3745,0),variables,2,0)</f>
        <v>9860</v>
      </c>
      <c r="H3745" s="71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67" t="s">
        <v>1429</v>
      </c>
      <c r="B3746" s="66">
        <f t="shared" si="7643"/>
        <v>11</v>
      </c>
      <c r="C3746" s="66">
        <f t="shared" si="7646"/>
        <v>43</v>
      </c>
      <c r="E3746" s="66">
        <f t="shared" ref="E3746" si="7677">plan_id</f>
        <v>1952</v>
      </c>
      <c r="F3746" s="66">
        <f t="shared" ca="1" si="7609"/>
        <v>2009</v>
      </c>
      <c r="G3746" s="66">
        <f t="shared" ref="G3746" ca="1" si="7678">VLOOKUP(INDIRECT(CHAR(39)&amp;$A3746&amp;CHAR(39)&amp;"!r2c"&amp;$C3746,0),variables,2,0)</f>
        <v>9863</v>
      </c>
      <c r="H3746" s="71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67" t="s">
        <v>1429</v>
      </c>
      <c r="B3747" s="66">
        <f t="shared" si="7643"/>
        <v>11</v>
      </c>
      <c r="C3747" s="66">
        <f t="shared" si="7646"/>
        <v>44</v>
      </c>
      <c r="E3747" s="66">
        <f t="shared" ref="E3747" si="7679">plan_id</f>
        <v>1952</v>
      </c>
      <c r="F3747" s="66">
        <f t="shared" ca="1" si="7609"/>
        <v>2009</v>
      </c>
      <c r="G3747" s="66">
        <f t="shared" ref="G3747" ca="1" si="7680">VLOOKUP(INDIRECT(CHAR(39)&amp;$A3747&amp;CHAR(39)&amp;"!r2c"&amp;$C3747,0),variables,2,0)</f>
        <v>9878</v>
      </c>
      <c r="H3747" s="71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67" t="s">
        <v>1429</v>
      </c>
      <c r="B3748" s="66">
        <f t="shared" si="7643"/>
        <v>11</v>
      </c>
      <c r="C3748" s="66">
        <f t="shared" si="7646"/>
        <v>45</v>
      </c>
      <c r="E3748" s="66">
        <f t="shared" ref="E3748" si="7681">plan_id</f>
        <v>1952</v>
      </c>
      <c r="F3748" s="66">
        <f t="shared" ca="1" si="7609"/>
        <v>2009</v>
      </c>
      <c r="G3748" s="66">
        <f t="shared" ref="G3748" ca="1" si="7682">VLOOKUP(INDIRECT(CHAR(39)&amp;$A3748&amp;CHAR(39)&amp;"!r2c"&amp;$C3748,0),variables,2,0)</f>
        <v>9923</v>
      </c>
      <c r="H3748" s="71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67" t="s">
        <v>1429</v>
      </c>
      <c r="B3749" s="66">
        <f t="shared" si="7643"/>
        <v>11</v>
      </c>
      <c r="C3749" s="66">
        <f t="shared" si="7646"/>
        <v>46</v>
      </c>
      <c r="E3749" s="66">
        <f t="shared" ref="E3749" si="7683">plan_id</f>
        <v>1952</v>
      </c>
      <c r="F3749" s="66">
        <f t="shared" ca="1" si="7609"/>
        <v>2009</v>
      </c>
      <c r="G3749" s="66">
        <f t="shared" ref="G3749" ca="1" si="7684">VLOOKUP(INDIRECT(CHAR(39)&amp;$A3749&amp;CHAR(39)&amp;"!r2c"&amp;$C3749,0),variables,2,0)</f>
        <v>9932</v>
      </c>
      <c r="H3749" s="71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67" t="s">
        <v>1429</v>
      </c>
      <c r="B3750" s="66">
        <f t="shared" si="7643"/>
        <v>11</v>
      </c>
      <c r="C3750" s="66">
        <f t="shared" si="7646"/>
        <v>47</v>
      </c>
      <c r="E3750" s="66">
        <f t="shared" ref="E3750" si="7685">plan_id</f>
        <v>1952</v>
      </c>
      <c r="F3750" s="66">
        <f t="shared" ca="1" si="7609"/>
        <v>2009</v>
      </c>
      <c r="G3750" s="66">
        <f t="shared" ref="G3750" ca="1" si="7686">VLOOKUP(INDIRECT(CHAR(39)&amp;$A3750&amp;CHAR(39)&amp;"!r2c"&amp;$C3750,0),variables,2,0)</f>
        <v>9935</v>
      </c>
      <c r="H3750" s="71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67" t="s">
        <v>1429</v>
      </c>
      <c r="B3751" s="66">
        <f t="shared" si="7643"/>
        <v>11</v>
      </c>
      <c r="C3751" s="66">
        <f t="shared" si="7646"/>
        <v>48</v>
      </c>
      <c r="E3751" s="66">
        <f t="shared" ref="E3751" si="7687">plan_id</f>
        <v>1952</v>
      </c>
      <c r="F3751" s="66">
        <f t="shared" ca="1" si="7609"/>
        <v>2009</v>
      </c>
      <c r="G3751" s="66">
        <f t="shared" ref="G3751" ca="1" si="7688">VLOOKUP(INDIRECT(CHAR(39)&amp;$A3751&amp;CHAR(39)&amp;"!r2c"&amp;$C3751,0),variables,2,0)</f>
        <v>9651</v>
      </c>
      <c r="H3751" s="71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67" t="s">
        <v>1429</v>
      </c>
      <c r="B3752" s="66">
        <f t="shared" si="7643"/>
        <v>11</v>
      </c>
      <c r="C3752" s="66">
        <f t="shared" si="7646"/>
        <v>49</v>
      </c>
      <c r="E3752" s="66">
        <f t="shared" ref="E3752" si="7689">plan_id</f>
        <v>1952</v>
      </c>
      <c r="F3752" s="66">
        <f t="shared" ca="1" si="7609"/>
        <v>2009</v>
      </c>
      <c r="G3752" s="66">
        <f t="shared" ref="G3752" ca="1" si="7690">VLOOKUP(INDIRECT(CHAR(39)&amp;$A3752&amp;CHAR(39)&amp;"!r2c"&amp;$C3752,0),variables,2,0)</f>
        <v>9722</v>
      </c>
      <c r="H3752" s="71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67" t="s">
        <v>1429</v>
      </c>
      <c r="B3753" s="66">
        <f t="shared" si="7643"/>
        <v>11</v>
      </c>
      <c r="C3753" s="66">
        <f t="shared" si="7646"/>
        <v>50</v>
      </c>
      <c r="E3753" s="66">
        <f t="shared" ref="E3753" si="7691">plan_id</f>
        <v>1952</v>
      </c>
      <c r="F3753" s="66">
        <f t="shared" ca="1" si="7609"/>
        <v>2009</v>
      </c>
      <c r="G3753" s="66">
        <f t="shared" ref="G3753" ca="1" si="7692">VLOOKUP(INDIRECT(CHAR(39)&amp;$A3753&amp;CHAR(39)&amp;"!r2c"&amp;$C3753,0),variables,2,0)</f>
        <v>9848</v>
      </c>
      <c r="H3753" s="71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67" t="s">
        <v>1429</v>
      </c>
      <c r="B3754" s="66">
        <f t="shared" si="7643"/>
        <v>11</v>
      </c>
      <c r="C3754" s="66">
        <f t="shared" si="7646"/>
        <v>51</v>
      </c>
      <c r="E3754" s="66">
        <f t="shared" ref="E3754" si="7693">plan_id</f>
        <v>1952</v>
      </c>
      <c r="F3754" s="66">
        <f t="shared" ca="1" si="7609"/>
        <v>2009</v>
      </c>
      <c r="G3754" s="66">
        <f t="shared" ref="G3754" ca="1" si="7694">VLOOKUP(INDIRECT(CHAR(39)&amp;$A3754&amp;CHAR(39)&amp;"!r2c"&amp;$C3754,0),variables,2,0)</f>
        <v>9866</v>
      </c>
      <c r="H3754" s="71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67" t="s">
        <v>1429</v>
      </c>
      <c r="B3755" s="66">
        <f t="shared" si="7643"/>
        <v>11</v>
      </c>
      <c r="C3755" s="66">
        <f t="shared" si="7646"/>
        <v>52</v>
      </c>
      <c r="E3755" s="66">
        <f t="shared" ref="E3755" si="7695">plan_id</f>
        <v>1952</v>
      </c>
      <c r="F3755" s="66">
        <f t="shared" ca="1" si="7609"/>
        <v>2009</v>
      </c>
      <c r="G3755" s="66">
        <f t="shared" ref="G3755" ca="1" si="7696">VLOOKUP(INDIRECT(CHAR(39)&amp;$A3755&amp;CHAR(39)&amp;"!r2c"&amp;$C3755,0),variables,2,0)</f>
        <v>9899</v>
      </c>
      <c r="H3755" s="71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67" t="s">
        <v>1429</v>
      </c>
      <c r="B3756" s="66">
        <f t="shared" si="7643"/>
        <v>11</v>
      </c>
      <c r="C3756" s="66">
        <f t="shared" si="7646"/>
        <v>53</v>
      </c>
      <c r="E3756" s="66">
        <f t="shared" ref="E3756" si="7697">plan_id</f>
        <v>1952</v>
      </c>
      <c r="F3756" s="66">
        <f t="shared" ca="1" si="7609"/>
        <v>2009</v>
      </c>
      <c r="G3756" s="66">
        <f t="shared" ref="G3756" ca="1" si="7698">VLOOKUP(INDIRECT(CHAR(39)&amp;$A3756&amp;CHAR(39)&amp;"!r2c"&amp;$C3756,0),variables,2,0)</f>
        <v>9905</v>
      </c>
      <c r="H3756" s="71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67" t="s">
        <v>1429</v>
      </c>
      <c r="B3757" s="66">
        <f t="shared" si="7643"/>
        <v>11</v>
      </c>
      <c r="C3757" s="66">
        <f t="shared" si="7646"/>
        <v>54</v>
      </c>
      <c r="E3757" s="66">
        <f t="shared" ref="E3757" si="7699">plan_id</f>
        <v>1952</v>
      </c>
      <c r="F3757" s="66">
        <f t="shared" ca="1" si="7609"/>
        <v>2009</v>
      </c>
      <c r="G3757" s="66">
        <f t="shared" ref="G3757" ca="1" si="7700">VLOOKUP(INDIRECT(CHAR(39)&amp;$A3757&amp;CHAR(39)&amp;"!r2c"&amp;$C3757,0),variables,2,0)</f>
        <v>9929</v>
      </c>
      <c r="H3757" s="71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67" t="s">
        <v>1429</v>
      </c>
      <c r="B3758" s="66">
        <f t="shared" si="7643"/>
        <v>11</v>
      </c>
      <c r="C3758" s="66">
        <f t="shared" si="7646"/>
        <v>55</v>
      </c>
      <c r="E3758" s="66">
        <f t="shared" ref="E3758" si="7701">plan_id</f>
        <v>1952</v>
      </c>
      <c r="F3758" s="66">
        <f t="shared" ca="1" si="7609"/>
        <v>2009</v>
      </c>
      <c r="G3758" s="66">
        <f t="shared" ref="G3758" ca="1" si="7702">VLOOKUP(INDIRECT(CHAR(39)&amp;$A3758&amp;CHAR(39)&amp;"!r2c"&amp;$C3758,0),variables,2,0)</f>
        <v>9654</v>
      </c>
      <c r="H3758" s="71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67" t="s">
        <v>1429</v>
      </c>
      <c r="B3759" s="66">
        <f t="shared" si="7643"/>
        <v>11</v>
      </c>
      <c r="C3759" s="66">
        <f t="shared" si="7646"/>
        <v>56</v>
      </c>
      <c r="E3759" s="66">
        <f t="shared" ref="E3759" si="7703">plan_id</f>
        <v>1952</v>
      </c>
      <c r="F3759" s="66">
        <f t="shared" ca="1" si="7609"/>
        <v>2009</v>
      </c>
      <c r="G3759" s="66">
        <f t="shared" ref="G3759" ca="1" si="7704">VLOOKUP(INDIRECT(CHAR(39)&amp;$A3759&amp;CHAR(39)&amp;"!r2c"&amp;$C3759,0),variables,2,0)</f>
        <v>9707</v>
      </c>
      <c r="H3759" s="71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67" t="s">
        <v>1429</v>
      </c>
      <c r="B3760" s="66">
        <f t="shared" si="7643"/>
        <v>11</v>
      </c>
      <c r="C3760" s="66">
        <f t="shared" si="7646"/>
        <v>57</v>
      </c>
      <c r="E3760" s="66">
        <f t="shared" ref="E3760" si="7705">plan_id</f>
        <v>1952</v>
      </c>
      <c r="F3760" s="66">
        <f t="shared" ca="1" si="7609"/>
        <v>2009</v>
      </c>
      <c r="G3760" s="66">
        <f t="shared" ref="G3760" ca="1" si="7706">VLOOKUP(INDIRECT(CHAR(39)&amp;$A3760&amp;CHAR(39)&amp;"!r2c"&amp;$C3760,0),variables,2,0)</f>
        <v>9669</v>
      </c>
      <c r="H3760" s="71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67" t="s">
        <v>1429</v>
      </c>
      <c r="B3761" s="66">
        <f t="shared" si="7643"/>
        <v>11</v>
      </c>
      <c r="C3761" s="66">
        <f t="shared" si="7646"/>
        <v>58</v>
      </c>
      <c r="E3761" s="66">
        <f t="shared" ref="E3761" si="7707">plan_id</f>
        <v>1952</v>
      </c>
      <c r="F3761" s="66">
        <f t="shared" ca="1" si="7609"/>
        <v>2009</v>
      </c>
      <c r="G3761" s="66">
        <f t="shared" ref="G3761" ca="1" si="7708">VLOOKUP(INDIRECT(CHAR(39)&amp;$A3761&amp;CHAR(39)&amp;"!r2c"&amp;$C3761,0),variables,2,0)</f>
        <v>9851</v>
      </c>
      <c r="H3761" s="71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67" t="s">
        <v>1429</v>
      </c>
      <c r="B3762" s="66">
        <f t="shared" si="7643"/>
        <v>11</v>
      </c>
      <c r="C3762" s="66">
        <f t="shared" si="7646"/>
        <v>59</v>
      </c>
      <c r="E3762" s="66">
        <f t="shared" ref="E3762" si="7709">plan_id</f>
        <v>1952</v>
      </c>
      <c r="F3762" s="66">
        <f t="shared" ca="1" si="7609"/>
        <v>2009</v>
      </c>
      <c r="G3762" s="66">
        <f t="shared" ref="G3762" ca="1" si="7710">VLOOKUP(INDIRECT(CHAR(39)&amp;$A3762&amp;CHAR(39)&amp;"!r2c"&amp;$C3762,0),variables,2,0)</f>
        <v>9890</v>
      </c>
      <c r="H3762" s="71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67" t="s">
        <v>1429</v>
      </c>
      <c r="B3763" s="66">
        <f t="shared" si="7643"/>
        <v>11</v>
      </c>
      <c r="C3763" s="66">
        <f t="shared" si="7646"/>
        <v>60</v>
      </c>
      <c r="E3763" s="66">
        <f t="shared" ref="E3763" si="7711">plan_id</f>
        <v>1952</v>
      </c>
      <c r="F3763" s="66">
        <f t="shared" ca="1" si="7609"/>
        <v>2009</v>
      </c>
      <c r="G3763" s="66">
        <f t="shared" ref="G3763" ca="1" si="7712">VLOOKUP(INDIRECT(CHAR(39)&amp;$A3763&amp;CHAR(39)&amp;"!r2c"&amp;$C3763,0),variables,2,0)</f>
        <v>9893</v>
      </c>
      <c r="H3763" s="71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67" t="s">
        <v>1429</v>
      </c>
      <c r="B3764" s="66">
        <f t="shared" si="7643"/>
        <v>11</v>
      </c>
      <c r="C3764" s="66">
        <f t="shared" si="7646"/>
        <v>61</v>
      </c>
      <c r="E3764" s="66">
        <f t="shared" ref="E3764" si="7713">plan_id</f>
        <v>1952</v>
      </c>
      <c r="F3764" s="66">
        <f t="shared" ca="1" si="7609"/>
        <v>2009</v>
      </c>
      <c r="G3764" s="66">
        <f t="shared" ref="G3764" ca="1" si="7714">VLOOKUP(INDIRECT(CHAR(39)&amp;$A3764&amp;CHAR(39)&amp;"!r2c"&amp;$C3764,0),variables,2,0)</f>
        <v>9896</v>
      </c>
      <c r="H3764" s="71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67" t="s">
        <v>1429</v>
      </c>
      <c r="B3765" s="66">
        <f t="shared" si="7643"/>
        <v>11</v>
      </c>
      <c r="C3765" s="66">
        <f t="shared" si="7646"/>
        <v>62</v>
      </c>
      <c r="E3765" s="66">
        <f t="shared" ref="E3765" si="7715">plan_id</f>
        <v>1952</v>
      </c>
      <c r="F3765" s="66">
        <f t="shared" ca="1" si="7609"/>
        <v>2009</v>
      </c>
      <c r="G3765" s="66">
        <f t="shared" ref="G3765" ca="1" si="7716">VLOOKUP(INDIRECT(CHAR(39)&amp;$A3765&amp;CHAR(39)&amp;"!r2c"&amp;$C3765,0),variables,2,0)</f>
        <v>9660</v>
      </c>
      <c r="H3765" s="71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67" t="s">
        <v>1429</v>
      </c>
      <c r="B3766" s="66">
        <f t="shared" si="7643"/>
        <v>11</v>
      </c>
      <c r="C3766" s="66">
        <f t="shared" si="7646"/>
        <v>63</v>
      </c>
      <c r="E3766" s="66">
        <f t="shared" ref="E3766" si="7717">plan_id</f>
        <v>1952</v>
      </c>
      <c r="F3766" s="66">
        <f t="shared" ca="1" si="7609"/>
        <v>2009</v>
      </c>
      <c r="G3766" s="66">
        <f t="shared" ref="G3766" ca="1" si="7718">VLOOKUP(INDIRECT(CHAR(39)&amp;$A3766&amp;CHAR(39)&amp;"!r2c"&amp;$C3766,0),variables,2,0)</f>
        <v>9701</v>
      </c>
      <c r="H3766" s="71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67" t="s">
        <v>1429</v>
      </c>
      <c r="B3767" s="66">
        <f t="shared" si="7643"/>
        <v>11</v>
      </c>
      <c r="C3767" s="66">
        <f t="shared" si="7646"/>
        <v>64</v>
      </c>
      <c r="E3767" s="66">
        <f t="shared" ref="E3767" si="7719">plan_id</f>
        <v>1952</v>
      </c>
      <c r="F3767" s="66">
        <f t="shared" ca="1" si="7609"/>
        <v>2009</v>
      </c>
      <c r="G3767" s="66">
        <f t="shared" ref="G3767" ca="1" si="7720">VLOOKUP(INDIRECT(CHAR(39)&amp;$A3767&amp;CHAR(39)&amp;"!r2c"&amp;$C3767,0),variables,2,0)</f>
        <v>9728</v>
      </c>
      <c r="H3767" s="71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67" t="s">
        <v>1429</v>
      </c>
      <c r="B3768" s="66">
        <f t="shared" si="7643"/>
        <v>11</v>
      </c>
      <c r="C3768" s="66">
        <f t="shared" si="7646"/>
        <v>65</v>
      </c>
      <c r="E3768" s="66">
        <f t="shared" ref="E3768" si="7721">plan_id</f>
        <v>1952</v>
      </c>
      <c r="F3768" s="66">
        <f t="shared" ca="1" si="7609"/>
        <v>2009</v>
      </c>
      <c r="G3768" s="66">
        <f t="shared" ref="G3768" ca="1" si="7722">VLOOKUP(INDIRECT(CHAR(39)&amp;$A3768&amp;CHAR(39)&amp;"!r2c"&amp;$C3768,0),variables,2,0)</f>
        <v>9731</v>
      </c>
      <c r="H3768" s="71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67" t="s">
        <v>1429</v>
      </c>
      <c r="B3769" s="66">
        <f t="shared" si="7643"/>
        <v>11</v>
      </c>
      <c r="C3769" s="66">
        <f t="shared" si="7646"/>
        <v>66</v>
      </c>
      <c r="E3769" s="66">
        <f t="shared" ref="E3769" si="7723">plan_id</f>
        <v>1952</v>
      </c>
      <c r="F3769" s="66">
        <f t="shared" ca="1" si="7609"/>
        <v>2009</v>
      </c>
      <c r="G3769" s="66">
        <f t="shared" ref="G3769" ca="1" si="7724">VLOOKUP(INDIRECT(CHAR(39)&amp;$A3769&amp;CHAR(39)&amp;"!r2c"&amp;$C3769,0),variables,2,0)</f>
        <v>9737</v>
      </c>
      <c r="H3769" s="71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67" t="s">
        <v>1429</v>
      </c>
      <c r="B3770" s="66">
        <f t="shared" si="7643"/>
        <v>11</v>
      </c>
      <c r="C3770" s="66">
        <f t="shared" si="7646"/>
        <v>67</v>
      </c>
      <c r="E3770" s="66">
        <f t="shared" ref="E3770" si="7725">plan_id</f>
        <v>1952</v>
      </c>
      <c r="F3770" s="66">
        <f t="shared" ca="1" si="7609"/>
        <v>2009</v>
      </c>
      <c r="G3770" s="66">
        <f t="shared" ref="G3770" ca="1" si="7726">VLOOKUP(INDIRECT(CHAR(39)&amp;$A3770&amp;CHAR(39)&amp;"!r2c"&amp;$C3770,0),variables,2,0)</f>
        <v>9740</v>
      </c>
      <c r="H3770" s="71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67" t="s">
        <v>1429</v>
      </c>
      <c r="B3771" s="66">
        <f t="shared" si="7643"/>
        <v>11</v>
      </c>
      <c r="C3771" s="66">
        <f t="shared" si="7646"/>
        <v>68</v>
      </c>
      <c r="E3771" s="66">
        <f t="shared" ref="E3771" si="7727">plan_id</f>
        <v>1952</v>
      </c>
      <c r="F3771" s="66">
        <f t="shared" ca="1" si="7609"/>
        <v>2009</v>
      </c>
      <c r="G3771" s="66">
        <f t="shared" ref="G3771" ca="1" si="7728">VLOOKUP(INDIRECT(CHAR(39)&amp;$A3771&amp;CHAR(39)&amp;"!r2c"&amp;$C3771,0),variables,2,0)</f>
        <v>9752</v>
      </c>
      <c r="H3771" s="71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67" t="s">
        <v>1429</v>
      </c>
      <c r="B3772" s="66">
        <f t="shared" si="7643"/>
        <v>11</v>
      </c>
      <c r="C3772" s="66">
        <f t="shared" si="7646"/>
        <v>69</v>
      </c>
      <c r="E3772" s="66">
        <f t="shared" ref="E3772" si="7729">plan_id</f>
        <v>1952</v>
      </c>
      <c r="F3772" s="66">
        <f t="shared" ca="1" si="7609"/>
        <v>2009</v>
      </c>
      <c r="G3772" s="66">
        <f t="shared" ref="G3772" ca="1" si="7730">VLOOKUP(INDIRECT(CHAR(39)&amp;$A3772&amp;CHAR(39)&amp;"!r2c"&amp;$C3772,0),variables,2,0)</f>
        <v>9791</v>
      </c>
      <c r="H3772" s="71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67" t="s">
        <v>1429</v>
      </c>
      <c r="B3773" s="66">
        <f t="shared" si="7643"/>
        <v>11</v>
      </c>
      <c r="C3773" s="66">
        <f t="shared" si="7646"/>
        <v>70</v>
      </c>
      <c r="E3773" s="66">
        <f t="shared" ref="E3773" si="7731">plan_id</f>
        <v>1952</v>
      </c>
      <c r="F3773" s="66">
        <f t="shared" ca="1" si="7609"/>
        <v>2009</v>
      </c>
      <c r="G3773" s="66">
        <f t="shared" ref="G3773" ca="1" si="7732">VLOOKUP(INDIRECT(CHAR(39)&amp;$A3773&amp;CHAR(39)&amp;"!r2c"&amp;$C3773,0),variables,2,0)</f>
        <v>9800</v>
      </c>
      <c r="H3773" s="71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67" t="s">
        <v>1429</v>
      </c>
      <c r="B3774" s="66">
        <f t="shared" si="7643"/>
        <v>11</v>
      </c>
      <c r="C3774" s="66">
        <f t="shared" si="7646"/>
        <v>71</v>
      </c>
      <c r="E3774" s="66">
        <f t="shared" ref="E3774" si="7733">plan_id</f>
        <v>1952</v>
      </c>
      <c r="F3774" s="66">
        <f t="shared" ca="1" si="7609"/>
        <v>2009</v>
      </c>
      <c r="G3774" s="66">
        <f t="shared" ref="G3774" ca="1" si="7734">VLOOKUP(INDIRECT(CHAR(39)&amp;$A3774&amp;CHAR(39)&amp;"!r2c"&amp;$C3774,0),variables,2,0)</f>
        <v>9842</v>
      </c>
      <c r="H3774" s="71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67" t="s">
        <v>1429</v>
      </c>
      <c r="B3775" s="66">
        <f t="shared" si="7643"/>
        <v>11</v>
      </c>
      <c r="C3775" s="66">
        <f t="shared" si="7646"/>
        <v>72</v>
      </c>
      <c r="E3775" s="66">
        <f t="shared" ref="E3775" si="7735">plan_id</f>
        <v>1952</v>
      </c>
      <c r="F3775" s="66">
        <f t="shared" ca="1" si="7609"/>
        <v>2009</v>
      </c>
      <c r="G3775" s="66">
        <f t="shared" ref="G3775" ca="1" si="7736">VLOOKUP(INDIRECT(CHAR(39)&amp;$A3775&amp;CHAR(39)&amp;"!r2c"&amp;$C3775,0),variables,2,0)</f>
        <v>9854</v>
      </c>
      <c r="H3775" s="71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67" t="s">
        <v>1429</v>
      </c>
      <c r="B3776" s="66">
        <f t="shared" si="7643"/>
        <v>11</v>
      </c>
      <c r="C3776" s="66">
        <f t="shared" si="7646"/>
        <v>73</v>
      </c>
      <c r="E3776" s="66">
        <f t="shared" ref="E3776" si="7737">plan_id</f>
        <v>1952</v>
      </c>
      <c r="F3776" s="66">
        <f t="shared" ca="1" si="7609"/>
        <v>2009</v>
      </c>
      <c r="G3776" s="66">
        <f t="shared" ref="G3776" ca="1" si="7738">VLOOKUP(INDIRECT(CHAR(39)&amp;$A3776&amp;CHAR(39)&amp;"!r2c"&amp;$C3776,0),variables,2,0)</f>
        <v>9869</v>
      </c>
      <c r="H3776" s="71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67" t="s">
        <v>1429</v>
      </c>
      <c r="B3777" s="66">
        <f t="shared" si="7643"/>
        <v>11</v>
      </c>
      <c r="C3777" s="66">
        <f t="shared" si="7646"/>
        <v>74</v>
      </c>
      <c r="E3777" s="66">
        <f t="shared" ref="E3777" si="7739">plan_id</f>
        <v>1952</v>
      </c>
      <c r="F3777" s="66">
        <f t="shared" ref="F3777:F3840" ca="1" si="7740">INDIRECT(CHAR(39)&amp;$A3777&amp;CHAR(39)&amp;"!r"&amp;$B3777&amp;"c2",0)</f>
        <v>2009</v>
      </c>
      <c r="G3777" s="66">
        <f t="shared" ref="G3777" ca="1" si="7741">VLOOKUP(INDIRECT(CHAR(39)&amp;$A3777&amp;CHAR(39)&amp;"!r2c"&amp;$C3777,0),variables,2,0)</f>
        <v>9873</v>
      </c>
      <c r="H3777" s="71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67" t="s">
        <v>1429</v>
      </c>
      <c r="B3778" s="66">
        <f t="shared" si="7643"/>
        <v>11</v>
      </c>
      <c r="C3778" s="66">
        <f t="shared" si="7646"/>
        <v>75</v>
      </c>
      <c r="E3778" s="66">
        <f t="shared" ref="E3778" si="7742">plan_id</f>
        <v>1952</v>
      </c>
      <c r="F3778" s="66">
        <f t="shared" ca="1" si="7740"/>
        <v>2009</v>
      </c>
      <c r="G3778" s="66">
        <f t="shared" ref="G3778" ca="1" si="7743">VLOOKUP(INDIRECT(CHAR(39)&amp;$A3778&amp;CHAR(39)&amp;"!r2c"&amp;$C3778,0),variables,2,0)</f>
        <v>9881</v>
      </c>
      <c r="H3778" s="71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67" t="s">
        <v>1429</v>
      </c>
      <c r="B3779" s="66">
        <f t="shared" si="7643"/>
        <v>11</v>
      </c>
      <c r="C3779" s="66">
        <f t="shared" si="7646"/>
        <v>76</v>
      </c>
      <c r="E3779" s="66">
        <f t="shared" ref="E3779" si="7744">plan_id</f>
        <v>1952</v>
      </c>
      <c r="F3779" s="66">
        <f t="shared" ca="1" si="7740"/>
        <v>2009</v>
      </c>
      <c r="G3779" s="66">
        <f t="shared" ref="G3779" ca="1" si="7745">VLOOKUP(INDIRECT(CHAR(39)&amp;$A3779&amp;CHAR(39)&amp;"!r2c"&amp;$C3779,0),variables,2,0)</f>
        <v>9908</v>
      </c>
      <c r="H3779" s="71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67" t="s">
        <v>1429</v>
      </c>
      <c r="B3780" s="66">
        <f t="shared" si="7643"/>
        <v>11</v>
      </c>
      <c r="C3780" s="66">
        <f t="shared" si="7646"/>
        <v>77</v>
      </c>
      <c r="E3780" s="66">
        <f t="shared" ref="E3780" si="7746">plan_id</f>
        <v>1952</v>
      </c>
      <c r="F3780" s="66">
        <f t="shared" ca="1" si="7740"/>
        <v>2009</v>
      </c>
      <c r="G3780" s="66">
        <f t="shared" ref="G3780" ca="1" si="7747">VLOOKUP(INDIRECT(CHAR(39)&amp;$A3780&amp;CHAR(39)&amp;"!r2c"&amp;$C3780,0),variables,2,0)</f>
        <v>9911</v>
      </c>
      <c r="H3780" s="71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67" t="s">
        <v>1429</v>
      </c>
      <c r="B3781" s="66">
        <f t="shared" si="7643"/>
        <v>11</v>
      </c>
      <c r="C3781" s="66">
        <f t="shared" si="7646"/>
        <v>78</v>
      </c>
      <c r="E3781" s="66">
        <f t="shared" ref="E3781" si="7748">plan_id</f>
        <v>1952</v>
      </c>
      <c r="F3781" s="66">
        <f t="shared" ca="1" si="7740"/>
        <v>2009</v>
      </c>
      <c r="G3781" s="66">
        <f t="shared" ref="G3781" ca="1" si="7749">VLOOKUP(INDIRECT(CHAR(39)&amp;$A3781&amp;CHAR(39)&amp;"!r2c"&amp;$C3781,0),variables,2,0)</f>
        <v>9663</v>
      </c>
      <c r="H3781" s="71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67" t="s">
        <v>1429</v>
      </c>
      <c r="B3782" s="66">
        <f t="shared" si="7643"/>
        <v>11</v>
      </c>
      <c r="C3782" s="66">
        <f t="shared" si="7646"/>
        <v>79</v>
      </c>
      <c r="E3782" s="66">
        <f t="shared" ref="E3782" si="7750">plan_id</f>
        <v>1952</v>
      </c>
      <c r="F3782" s="66">
        <f t="shared" ca="1" si="7740"/>
        <v>2009</v>
      </c>
      <c r="G3782" s="66">
        <f t="shared" ref="G3782" ca="1" si="7751">VLOOKUP(INDIRECT(CHAR(39)&amp;$A3782&amp;CHAR(39)&amp;"!r2c"&amp;$C3782,0),variables,2,0)</f>
        <v>9710</v>
      </c>
      <c r="H3782" s="71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67" t="s">
        <v>1429</v>
      </c>
      <c r="B3783" s="66">
        <f t="shared" si="7643"/>
        <v>11</v>
      </c>
      <c r="C3783" s="66">
        <f t="shared" si="7646"/>
        <v>80</v>
      </c>
      <c r="E3783" s="66">
        <f t="shared" ref="E3783" si="7752">plan_id</f>
        <v>1952</v>
      </c>
      <c r="F3783" s="66">
        <f t="shared" ca="1" si="7740"/>
        <v>2009</v>
      </c>
      <c r="G3783" s="66">
        <f t="shared" ref="G3783" ca="1" si="7753">VLOOKUP(INDIRECT(CHAR(39)&amp;$A3783&amp;CHAR(39)&amp;"!r2c"&amp;$C3783,0),variables,2,0)</f>
        <v>9758</v>
      </c>
      <c r="H3783" s="71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67" t="s">
        <v>1429</v>
      </c>
      <c r="B3784" s="66">
        <f t="shared" si="7643"/>
        <v>11</v>
      </c>
      <c r="C3784" s="66">
        <f t="shared" si="7646"/>
        <v>81</v>
      </c>
      <c r="E3784" s="66">
        <f t="shared" ref="E3784" si="7754">plan_id</f>
        <v>1952</v>
      </c>
      <c r="F3784" s="66">
        <f t="shared" ca="1" si="7740"/>
        <v>2009</v>
      </c>
      <c r="G3784" s="66">
        <f t="shared" ref="G3784" ca="1" si="7755">VLOOKUP(INDIRECT(CHAR(39)&amp;$A3784&amp;CHAR(39)&amp;"!r2c"&amp;$C3784,0),variables,2,0)</f>
        <v>9803</v>
      </c>
      <c r="H3784" s="71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67" t="s">
        <v>1429</v>
      </c>
      <c r="B3785" s="66">
        <f t="shared" si="7643"/>
        <v>11</v>
      </c>
      <c r="C3785" s="66">
        <f t="shared" si="7646"/>
        <v>82</v>
      </c>
      <c r="E3785" s="66">
        <f t="shared" ref="E3785" si="7756">plan_id</f>
        <v>1952</v>
      </c>
      <c r="F3785" s="66">
        <f t="shared" ca="1" si="7740"/>
        <v>2009</v>
      </c>
      <c r="G3785" s="66">
        <f t="shared" ref="G3785" ca="1" si="7757">VLOOKUP(INDIRECT(CHAR(39)&amp;$A3785&amp;CHAR(39)&amp;"!r2c"&amp;$C3785,0),variables,2,0)</f>
        <v>9857</v>
      </c>
      <c r="H3785" s="71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67" t="s">
        <v>1429</v>
      </c>
      <c r="B3786" s="66">
        <f t="shared" si="7643"/>
        <v>11</v>
      </c>
      <c r="C3786" s="66">
        <f t="shared" si="7646"/>
        <v>83</v>
      </c>
      <c r="E3786" s="66">
        <f t="shared" ref="E3786" si="7758">plan_id</f>
        <v>1952</v>
      </c>
      <c r="F3786" s="66">
        <f t="shared" ca="1" si="7740"/>
        <v>2009</v>
      </c>
      <c r="G3786" s="66">
        <f t="shared" ref="G3786" ca="1" si="7759">VLOOKUP(INDIRECT(CHAR(39)&amp;$A3786&amp;CHAR(39)&amp;"!r2c"&amp;$C3786,0),variables,2,0)</f>
        <v>9902</v>
      </c>
      <c r="H3786" s="71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67" t="s">
        <v>1429</v>
      </c>
      <c r="B3787" s="66">
        <f t="shared" si="7643"/>
        <v>11</v>
      </c>
      <c r="C3787" s="66">
        <f t="shared" si="7646"/>
        <v>84</v>
      </c>
      <c r="E3787" s="66">
        <f t="shared" ref="E3787" si="7760">plan_id</f>
        <v>1952</v>
      </c>
      <c r="F3787" s="66">
        <f t="shared" ca="1" si="7740"/>
        <v>2009</v>
      </c>
      <c r="G3787" s="66">
        <f t="shared" ref="G3787" ca="1" si="7761">VLOOKUP(INDIRECT(CHAR(39)&amp;$A3787&amp;CHAR(39)&amp;"!r2c"&amp;$C3787,0),variables,2,0)</f>
        <v>9926</v>
      </c>
      <c r="H3787" s="71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67" t="s">
        <v>1429</v>
      </c>
      <c r="B3788" s="66">
        <f t="shared" si="7643"/>
        <v>11</v>
      </c>
      <c r="C3788" s="66">
        <f t="shared" si="7646"/>
        <v>85</v>
      </c>
      <c r="E3788" s="66">
        <f t="shared" ref="E3788" si="7762">plan_id</f>
        <v>1952</v>
      </c>
      <c r="F3788" s="66">
        <f t="shared" ca="1" si="7740"/>
        <v>2009</v>
      </c>
      <c r="G3788" s="66">
        <f t="shared" ref="G3788" ca="1" si="7763">VLOOKUP(INDIRECT(CHAR(39)&amp;$A3788&amp;CHAR(39)&amp;"!r2c"&amp;$C3788,0),variables,2,0)</f>
        <v>9666</v>
      </c>
      <c r="H3788" s="71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67" t="s">
        <v>1429</v>
      </c>
      <c r="B3789" s="66">
        <f t="shared" si="7643"/>
        <v>11</v>
      </c>
      <c r="C3789" s="66">
        <f t="shared" si="7646"/>
        <v>86</v>
      </c>
      <c r="E3789" s="66">
        <f t="shared" ref="E3789" si="7764">plan_id</f>
        <v>1952</v>
      </c>
      <c r="F3789" s="66">
        <f t="shared" ca="1" si="7740"/>
        <v>2009</v>
      </c>
      <c r="G3789" s="66">
        <f t="shared" ref="G3789" ca="1" si="7765">VLOOKUP(INDIRECT(CHAR(39)&amp;$A3789&amp;CHAR(39)&amp;"!r2c"&amp;$C3789,0),variables,2,0)</f>
        <v>9827</v>
      </c>
      <c r="H3789" s="71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67" t="s">
        <v>1429</v>
      </c>
      <c r="B3790" s="66">
        <f t="shared" si="7643"/>
        <v>11</v>
      </c>
      <c r="C3790" s="66">
        <f t="shared" si="7646"/>
        <v>87</v>
      </c>
      <c r="E3790" s="66">
        <f t="shared" ref="E3790" si="7766">plan_id</f>
        <v>1952</v>
      </c>
      <c r="F3790" s="66">
        <f t="shared" ca="1" si="7740"/>
        <v>2009</v>
      </c>
      <c r="G3790" s="66">
        <f t="shared" ref="G3790" ca="1" si="7767">VLOOKUP(INDIRECT(CHAR(39)&amp;$A3790&amp;CHAR(39)&amp;"!r2c"&amp;$C3790,0),variables,2,0)</f>
        <v>9657</v>
      </c>
      <c r="H3790" s="71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67" t="s">
        <v>1429</v>
      </c>
      <c r="B3791" s="66">
        <f t="shared" si="7643"/>
        <v>11</v>
      </c>
      <c r="C3791" s="66">
        <f t="shared" si="7646"/>
        <v>88</v>
      </c>
      <c r="E3791" s="66">
        <f t="shared" ref="E3791" si="7768">plan_id</f>
        <v>1952</v>
      </c>
      <c r="F3791" s="66">
        <f t="shared" ca="1" si="7740"/>
        <v>2009</v>
      </c>
      <c r="G3791" s="66">
        <f t="shared" ref="G3791" ca="1" si="7769">VLOOKUP(INDIRECT(CHAR(39)&amp;$A3791&amp;CHAR(39)&amp;"!r2c"&amp;$C3791,0),variables,2,0)</f>
        <v>9834</v>
      </c>
      <c r="H3791" s="71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67" t="s">
        <v>1429</v>
      </c>
      <c r="B3792" s="66">
        <f t="shared" si="7643"/>
        <v>11</v>
      </c>
      <c r="C3792" s="66">
        <f t="shared" si="7646"/>
        <v>89</v>
      </c>
      <c r="E3792" s="66">
        <f t="shared" ref="E3792" si="7770">plan_id</f>
        <v>1952</v>
      </c>
      <c r="F3792" s="66">
        <f t="shared" ca="1" si="7740"/>
        <v>2009</v>
      </c>
      <c r="G3792" s="66">
        <f t="shared" ref="G3792" ca="1" si="7771">VLOOKUP(INDIRECT(CHAR(39)&amp;$A3792&amp;CHAR(39)&amp;"!r2c"&amp;$C3792,0),variables,2,0)</f>
        <v>9884</v>
      </c>
      <c r="H3792" s="71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67" t="s">
        <v>1429</v>
      </c>
      <c r="B3793" s="66">
        <f t="shared" si="7643"/>
        <v>11</v>
      </c>
      <c r="C3793" s="66">
        <f t="shared" si="7646"/>
        <v>90</v>
      </c>
      <c r="E3793" s="66">
        <f t="shared" ref="E3793" si="7772">plan_id</f>
        <v>1952</v>
      </c>
      <c r="F3793" s="66">
        <f t="shared" ca="1" si="7740"/>
        <v>2009</v>
      </c>
      <c r="G3793" s="66">
        <f t="shared" ref="G3793" ca="1" si="7773">VLOOKUP(INDIRECT(CHAR(39)&amp;$A3793&amp;CHAR(39)&amp;"!r2c"&amp;$C3793,0),variables,2,0)</f>
        <v>9672</v>
      </c>
      <c r="H3793" s="71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67" t="s">
        <v>1429</v>
      </c>
      <c r="B3794" s="66">
        <f t="shared" ref="B3794:B3857" si="7774">B3706+1</f>
        <v>12</v>
      </c>
      <c r="C3794" s="66">
        <f t="shared" si="7646"/>
        <v>3</v>
      </c>
      <c r="E3794" s="66">
        <f t="shared" ref="E3794" si="7775">plan_id</f>
        <v>1952</v>
      </c>
      <c r="F3794" s="66">
        <f t="shared" ca="1" si="7740"/>
        <v>2010</v>
      </c>
      <c r="G3794" s="66">
        <f t="shared" ref="G3794" ca="1" si="7776">VLOOKUP(INDIRECT(CHAR(39)&amp;$A3794&amp;CHAR(39)&amp;"!r2c"&amp;$C3794,0),variables,2,0)</f>
        <v>9704</v>
      </c>
      <c r="H3794" s="71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67" t="s">
        <v>1429</v>
      </c>
      <c r="B3795" s="66">
        <f t="shared" si="7774"/>
        <v>12</v>
      </c>
      <c r="C3795" s="66">
        <f t="shared" ref="C3795:C3858" si="7777">C3707</f>
        <v>4</v>
      </c>
      <c r="E3795" s="66">
        <f t="shared" ref="E3795" si="7778">plan_id</f>
        <v>1952</v>
      </c>
      <c r="F3795" s="66">
        <f t="shared" ca="1" si="7740"/>
        <v>2010</v>
      </c>
      <c r="G3795" s="66">
        <f t="shared" ref="G3795" ca="1" si="7779">VLOOKUP(INDIRECT(CHAR(39)&amp;$A3795&amp;CHAR(39)&amp;"!r2c"&amp;$C3795,0),variables,2,0)</f>
        <v>9716</v>
      </c>
      <c r="H3795" s="71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67" t="s">
        <v>1429</v>
      </c>
      <c r="B3796" s="66">
        <f t="shared" si="7774"/>
        <v>12</v>
      </c>
      <c r="C3796" s="66">
        <f t="shared" si="7777"/>
        <v>5</v>
      </c>
      <c r="E3796" s="66">
        <f t="shared" ref="E3796" si="7780">plan_id</f>
        <v>1952</v>
      </c>
      <c r="F3796" s="66">
        <f t="shared" ca="1" si="7740"/>
        <v>2010</v>
      </c>
      <c r="G3796" s="66">
        <f t="shared" ref="G3796" ca="1" si="7781">VLOOKUP(INDIRECT(CHAR(39)&amp;$A3796&amp;CHAR(39)&amp;"!r2c"&amp;$C3796,0),variables,2,0)</f>
        <v>9734</v>
      </c>
      <c r="H3796" s="71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67" t="s">
        <v>1429</v>
      </c>
      <c r="B3797" s="66">
        <f t="shared" si="7774"/>
        <v>12</v>
      </c>
      <c r="C3797" s="66">
        <f t="shared" si="7777"/>
        <v>6</v>
      </c>
      <c r="E3797" s="66">
        <f t="shared" ref="E3797" si="7782">plan_id</f>
        <v>1952</v>
      </c>
      <c r="F3797" s="66">
        <f t="shared" ca="1" si="7740"/>
        <v>2010</v>
      </c>
      <c r="G3797" s="66">
        <f t="shared" ref="G3797" ca="1" si="7783">VLOOKUP(INDIRECT(CHAR(39)&amp;$A3797&amp;CHAR(39)&amp;"!r2c"&amp;$C3797,0),variables,2,0)</f>
        <v>9749</v>
      </c>
      <c r="H3797" s="71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67" t="s">
        <v>1429</v>
      </c>
      <c r="B3798" s="66">
        <f t="shared" si="7774"/>
        <v>12</v>
      </c>
      <c r="C3798" s="66">
        <f t="shared" si="7777"/>
        <v>7</v>
      </c>
      <c r="E3798" s="66">
        <f t="shared" ref="E3798" si="7784">plan_id</f>
        <v>1952</v>
      </c>
      <c r="F3798" s="66">
        <f t="shared" ca="1" si="7740"/>
        <v>2010</v>
      </c>
      <c r="G3798" s="66">
        <f t="shared" ref="G3798" ca="1" si="7785">VLOOKUP(INDIRECT(CHAR(39)&amp;$A3798&amp;CHAR(39)&amp;"!r2c"&amp;$C3798,0),variables,2,0)</f>
        <v>9755</v>
      </c>
      <c r="H3798" s="71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67" t="s">
        <v>1429</v>
      </c>
      <c r="B3799" s="66">
        <f t="shared" si="7774"/>
        <v>12</v>
      </c>
      <c r="C3799" s="66">
        <f t="shared" si="7777"/>
        <v>8</v>
      </c>
      <c r="E3799" s="66">
        <f t="shared" ref="E3799" si="7786">plan_id</f>
        <v>1952</v>
      </c>
      <c r="F3799" s="66">
        <f t="shared" ca="1" si="7740"/>
        <v>2010</v>
      </c>
      <c r="G3799" s="66">
        <f t="shared" ref="G3799" ca="1" si="7787">VLOOKUP(INDIRECT(CHAR(39)&amp;$A3799&amp;CHAR(39)&amp;"!r2c"&amp;$C3799,0),variables,2,0)</f>
        <v>9782</v>
      </c>
      <c r="H3799" s="71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67" t="s">
        <v>1429</v>
      </c>
      <c r="B3800" s="66">
        <f t="shared" si="7774"/>
        <v>12</v>
      </c>
      <c r="C3800" s="66">
        <f t="shared" si="7777"/>
        <v>9</v>
      </c>
      <c r="E3800" s="66">
        <f t="shared" ref="E3800" si="7788">plan_id</f>
        <v>1952</v>
      </c>
      <c r="F3800" s="66">
        <f t="shared" ca="1" si="7740"/>
        <v>2010</v>
      </c>
      <c r="G3800" s="66">
        <f t="shared" ref="G3800" ca="1" si="7789">VLOOKUP(INDIRECT(CHAR(39)&amp;$A3800&amp;CHAR(39)&amp;"!r2c"&amp;$C3800,0),variables,2,0)</f>
        <v>9788</v>
      </c>
      <c r="H3800" s="71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67" t="s">
        <v>1429</v>
      </c>
      <c r="B3801" s="66">
        <f t="shared" si="7774"/>
        <v>12</v>
      </c>
      <c r="C3801" s="66">
        <f t="shared" si="7777"/>
        <v>10</v>
      </c>
      <c r="E3801" s="66">
        <f t="shared" ref="E3801" si="7790">plan_id</f>
        <v>1952</v>
      </c>
      <c r="F3801" s="66">
        <f t="shared" ca="1" si="7740"/>
        <v>2010</v>
      </c>
      <c r="G3801" s="66">
        <f t="shared" ref="G3801" ca="1" si="7791">VLOOKUP(INDIRECT(CHAR(39)&amp;$A3801&amp;CHAR(39)&amp;"!r2c"&amp;$C3801,0),variables,2,0)</f>
        <v>9812</v>
      </c>
      <c r="H3801" s="71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67" t="s">
        <v>1429</v>
      </c>
      <c r="B3802" s="66">
        <f t="shared" si="7774"/>
        <v>12</v>
      </c>
      <c r="C3802" s="66">
        <f t="shared" si="7777"/>
        <v>11</v>
      </c>
      <c r="E3802" s="66">
        <f t="shared" ref="E3802" si="7792">plan_id</f>
        <v>1952</v>
      </c>
      <c r="F3802" s="66">
        <f t="shared" ca="1" si="7740"/>
        <v>2010</v>
      </c>
      <c r="G3802" s="66">
        <f t="shared" ref="G3802" ca="1" si="7793">VLOOKUP(INDIRECT(CHAR(39)&amp;$A3802&amp;CHAR(39)&amp;"!r2c"&amp;$C3802,0),variables,2,0)</f>
        <v>9815</v>
      </c>
      <c r="H3802" s="71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67" t="s">
        <v>1429</v>
      </c>
      <c r="B3803" s="66">
        <f t="shared" si="7774"/>
        <v>12</v>
      </c>
      <c r="C3803" s="66">
        <f t="shared" si="7777"/>
        <v>12</v>
      </c>
      <c r="E3803" s="66">
        <f t="shared" ref="E3803" si="7794">plan_id</f>
        <v>1952</v>
      </c>
      <c r="F3803" s="66">
        <f t="shared" ca="1" si="7740"/>
        <v>2010</v>
      </c>
      <c r="G3803" s="66">
        <f t="shared" ref="G3803" ca="1" si="7795">VLOOKUP(INDIRECT(CHAR(39)&amp;$A3803&amp;CHAR(39)&amp;"!r2c"&amp;$C3803,0),variables,2,0)</f>
        <v>9821</v>
      </c>
      <c r="H3803" s="71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67" t="s">
        <v>1429</v>
      </c>
      <c r="B3804" s="66">
        <f t="shared" si="7774"/>
        <v>12</v>
      </c>
      <c r="C3804" s="66">
        <f t="shared" si="7777"/>
        <v>13</v>
      </c>
      <c r="E3804" s="66">
        <f t="shared" ref="E3804" si="7796">plan_id</f>
        <v>1952</v>
      </c>
      <c r="F3804" s="66">
        <f t="shared" ca="1" si="7740"/>
        <v>2010</v>
      </c>
      <c r="G3804" s="66">
        <f t="shared" ref="G3804" ca="1" si="7797">VLOOKUP(INDIRECT(CHAR(39)&amp;$A3804&amp;CHAR(39)&amp;"!r2c"&amp;$C3804,0),variables,2,0)</f>
        <v>9824</v>
      </c>
      <c r="H3804" s="71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67" t="s">
        <v>1429</v>
      </c>
      <c r="B3805" s="66">
        <f t="shared" si="7774"/>
        <v>12</v>
      </c>
      <c r="C3805" s="66">
        <f t="shared" si="7777"/>
        <v>14</v>
      </c>
      <c r="E3805" s="66">
        <f t="shared" ref="E3805" si="7798">plan_id</f>
        <v>1952</v>
      </c>
      <c r="F3805" s="66">
        <f t="shared" ca="1" si="7740"/>
        <v>2010</v>
      </c>
      <c r="G3805" s="66">
        <f t="shared" ref="G3805" ca="1" si="7799">VLOOKUP(INDIRECT(CHAR(39)&amp;$A3805&amp;CHAR(39)&amp;"!r2c"&amp;$C3805,0),variables,2,0)</f>
        <v>9830</v>
      </c>
      <c r="H3805" s="71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67" t="s">
        <v>1429</v>
      </c>
      <c r="B3806" s="66">
        <f t="shared" si="7774"/>
        <v>12</v>
      </c>
      <c r="C3806" s="66">
        <f t="shared" si="7777"/>
        <v>15</v>
      </c>
      <c r="E3806" s="66">
        <f t="shared" ref="E3806" si="7800">plan_id</f>
        <v>1952</v>
      </c>
      <c r="F3806" s="66">
        <f t="shared" ca="1" si="7740"/>
        <v>2010</v>
      </c>
      <c r="G3806" s="66">
        <f t="shared" ref="G3806" ca="1" si="7801">VLOOKUP(INDIRECT(CHAR(39)&amp;$A3806&amp;CHAR(39)&amp;"!r2c"&amp;$C3806,0),variables,2,0)</f>
        <v>9833</v>
      </c>
      <c r="H3806" s="71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67" t="s">
        <v>1429</v>
      </c>
      <c r="B3807" s="66">
        <f t="shared" si="7774"/>
        <v>12</v>
      </c>
      <c r="C3807" s="66">
        <f t="shared" si="7777"/>
        <v>16</v>
      </c>
      <c r="E3807" s="66">
        <f t="shared" ref="E3807" si="7802">plan_id</f>
        <v>1952</v>
      </c>
      <c r="F3807" s="66">
        <f t="shared" ca="1" si="7740"/>
        <v>2010</v>
      </c>
      <c r="G3807" s="66">
        <f t="shared" ref="G3807" ca="1" si="7803">VLOOKUP(INDIRECT(CHAR(39)&amp;$A3807&amp;CHAR(39)&amp;"!r2c"&amp;$C3807,0),variables,2,0)</f>
        <v>9845</v>
      </c>
      <c r="H3807" s="71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67" t="s">
        <v>1429</v>
      </c>
      <c r="B3808" s="66">
        <f t="shared" si="7774"/>
        <v>12</v>
      </c>
      <c r="C3808" s="66">
        <f t="shared" si="7777"/>
        <v>17</v>
      </c>
      <c r="E3808" s="66">
        <f t="shared" ref="E3808" si="7804">plan_id</f>
        <v>1952</v>
      </c>
      <c r="F3808" s="66">
        <f t="shared" ca="1" si="7740"/>
        <v>2010</v>
      </c>
      <c r="G3808" s="66">
        <f t="shared" ref="G3808" ca="1" si="7805">VLOOKUP(INDIRECT(CHAR(39)&amp;$A3808&amp;CHAR(39)&amp;"!r2c"&amp;$C3808,0),variables,2,0)</f>
        <v>9872</v>
      </c>
      <c r="H3808" s="71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67" t="s">
        <v>1429</v>
      </c>
      <c r="B3809" s="66">
        <f t="shared" si="7774"/>
        <v>12</v>
      </c>
      <c r="C3809" s="66">
        <f t="shared" si="7777"/>
        <v>18</v>
      </c>
      <c r="E3809" s="66">
        <f t="shared" ref="E3809" si="7806">plan_id</f>
        <v>1952</v>
      </c>
      <c r="F3809" s="66">
        <f t="shared" ca="1" si="7740"/>
        <v>2010</v>
      </c>
      <c r="G3809" s="66">
        <f t="shared" ref="G3809" ca="1" si="7807">VLOOKUP(INDIRECT(CHAR(39)&amp;$A3809&amp;CHAR(39)&amp;"!r2c"&amp;$C3809,0),variables,2,0)</f>
        <v>9887</v>
      </c>
      <c r="H3809" s="71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67" t="s">
        <v>1429</v>
      </c>
      <c r="B3810" s="66">
        <f t="shared" si="7774"/>
        <v>12</v>
      </c>
      <c r="C3810" s="66">
        <f t="shared" si="7777"/>
        <v>19</v>
      </c>
      <c r="E3810" s="66">
        <f t="shared" ref="E3810" si="7808">plan_id</f>
        <v>1952</v>
      </c>
      <c r="F3810" s="66">
        <f t="shared" ca="1" si="7740"/>
        <v>2010</v>
      </c>
      <c r="G3810" s="66">
        <f t="shared" ref="G3810" ca="1" si="7809">VLOOKUP(INDIRECT(CHAR(39)&amp;$A3810&amp;CHAR(39)&amp;"!r2c"&amp;$C3810,0),variables,2,0)</f>
        <v>9914</v>
      </c>
      <c r="H3810" s="71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67" t="s">
        <v>1429</v>
      </c>
      <c r="B3811" s="66">
        <f t="shared" si="7774"/>
        <v>12</v>
      </c>
      <c r="C3811" s="66">
        <f t="shared" si="7777"/>
        <v>20</v>
      </c>
      <c r="E3811" s="66">
        <f t="shared" ref="E3811" si="7810">plan_id</f>
        <v>1952</v>
      </c>
      <c r="F3811" s="66">
        <f t="shared" ca="1" si="7740"/>
        <v>2010</v>
      </c>
      <c r="G3811" s="66">
        <f t="shared" ref="G3811" ca="1" si="7811">VLOOKUP(INDIRECT(CHAR(39)&amp;$A3811&amp;CHAR(39)&amp;"!r2c"&amp;$C3811,0),variables,2,0)</f>
        <v>9917</v>
      </c>
      <c r="H3811" s="71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67" t="s">
        <v>1429</v>
      </c>
      <c r="B3812" s="66">
        <f t="shared" si="7774"/>
        <v>12</v>
      </c>
      <c r="C3812" s="66">
        <f t="shared" si="7777"/>
        <v>21</v>
      </c>
      <c r="E3812" s="66">
        <f t="shared" ref="E3812" si="7812">plan_id</f>
        <v>1952</v>
      </c>
      <c r="F3812" s="66">
        <f t="shared" ca="1" si="7740"/>
        <v>2010</v>
      </c>
      <c r="G3812" s="66">
        <f t="shared" ref="G3812" ca="1" si="7813">VLOOKUP(INDIRECT(CHAR(39)&amp;$A3812&amp;CHAR(39)&amp;"!r2c"&amp;$C3812,0),variables,2,0)</f>
        <v>9920</v>
      </c>
      <c r="H3812" s="71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67" t="s">
        <v>1429</v>
      </c>
      <c r="B3813" s="66">
        <f t="shared" si="7774"/>
        <v>12</v>
      </c>
      <c r="C3813" s="66">
        <f t="shared" si="7777"/>
        <v>22</v>
      </c>
      <c r="E3813" s="66">
        <f t="shared" ref="E3813" si="7814">plan_id</f>
        <v>1952</v>
      </c>
      <c r="F3813" s="66">
        <f t="shared" ca="1" si="7740"/>
        <v>2010</v>
      </c>
      <c r="G3813" s="66">
        <f t="shared" ref="G3813" ca="1" si="7815">VLOOKUP(INDIRECT(CHAR(39)&amp;$A3813&amp;CHAR(39)&amp;"!r2c"&amp;$C3813,0),variables,2,0)</f>
        <v>9648</v>
      </c>
      <c r="H3813" s="71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67" t="s">
        <v>1429</v>
      </c>
      <c r="B3814" s="66">
        <f t="shared" si="7774"/>
        <v>12</v>
      </c>
      <c r="C3814" s="66">
        <f t="shared" si="7777"/>
        <v>23</v>
      </c>
      <c r="E3814" s="66">
        <f t="shared" ref="E3814" si="7816">plan_id</f>
        <v>1952</v>
      </c>
      <c r="F3814" s="66">
        <f t="shared" ca="1" si="7740"/>
        <v>2010</v>
      </c>
      <c r="G3814" s="66">
        <f t="shared" ref="G3814" ca="1" si="7817">VLOOKUP(INDIRECT(CHAR(39)&amp;$A3814&amp;CHAR(39)&amp;"!r2c"&amp;$C3814,0),variables,2,0)</f>
        <v>9713</v>
      </c>
      <c r="H3814" s="71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67" t="s">
        <v>1429</v>
      </c>
      <c r="B3815" s="66">
        <f t="shared" si="7774"/>
        <v>12</v>
      </c>
      <c r="C3815" s="66">
        <f t="shared" si="7777"/>
        <v>24</v>
      </c>
      <c r="E3815" s="66">
        <f t="shared" ref="E3815" si="7818">plan_id</f>
        <v>1952</v>
      </c>
      <c r="F3815" s="66">
        <f t="shared" ca="1" si="7740"/>
        <v>2010</v>
      </c>
      <c r="G3815" s="66">
        <f t="shared" ref="G3815" ca="1" si="7819">VLOOKUP(INDIRECT(CHAR(39)&amp;$A3815&amp;CHAR(39)&amp;"!r2c"&amp;$C3815,0),variables,2,0)</f>
        <v>9719</v>
      </c>
      <c r="H3815" s="71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67" t="s">
        <v>1429</v>
      </c>
      <c r="B3816" s="66">
        <f t="shared" si="7774"/>
        <v>12</v>
      </c>
      <c r="C3816" s="66">
        <f t="shared" si="7777"/>
        <v>25</v>
      </c>
      <c r="E3816" s="66">
        <f t="shared" ref="E3816" si="7820">plan_id</f>
        <v>1952</v>
      </c>
      <c r="F3816" s="66">
        <f t="shared" ca="1" si="7740"/>
        <v>2010</v>
      </c>
      <c r="G3816" s="66">
        <f t="shared" ref="G3816" ca="1" si="7821">VLOOKUP(INDIRECT(CHAR(39)&amp;$A3816&amp;CHAR(39)&amp;"!r2c"&amp;$C3816,0),variables,2,0)</f>
        <v>9725</v>
      </c>
      <c r="H3816" s="71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67" t="s">
        <v>1429</v>
      </c>
      <c r="B3817" s="66">
        <f t="shared" si="7774"/>
        <v>12</v>
      </c>
      <c r="C3817" s="66">
        <f t="shared" si="7777"/>
        <v>26</v>
      </c>
      <c r="E3817" s="66">
        <f t="shared" ref="E3817" si="7822">plan_id</f>
        <v>1952</v>
      </c>
      <c r="F3817" s="66">
        <f t="shared" ca="1" si="7740"/>
        <v>2010</v>
      </c>
      <c r="G3817" s="66">
        <f t="shared" ref="G3817" ca="1" si="7823">VLOOKUP(INDIRECT(CHAR(39)&amp;$A3817&amp;CHAR(39)&amp;"!r2c"&amp;$C3817,0),variables,2,0)</f>
        <v>9743</v>
      </c>
      <c r="H3817" s="71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67" t="s">
        <v>1429</v>
      </c>
      <c r="B3818" s="66">
        <f t="shared" si="7774"/>
        <v>12</v>
      </c>
      <c r="C3818" s="66">
        <f t="shared" si="7777"/>
        <v>27</v>
      </c>
      <c r="E3818" s="66">
        <f t="shared" ref="E3818" si="7824">plan_id</f>
        <v>1952</v>
      </c>
      <c r="F3818" s="66">
        <f t="shared" ca="1" si="7740"/>
        <v>2010</v>
      </c>
      <c r="G3818" s="66">
        <f t="shared" ref="G3818" ca="1" si="7825">VLOOKUP(INDIRECT(CHAR(39)&amp;$A3818&amp;CHAR(39)&amp;"!r2c"&amp;$C3818,0),variables,2,0)</f>
        <v>9746</v>
      </c>
      <c r="H3818" s="71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67" t="s">
        <v>1429</v>
      </c>
      <c r="B3819" s="66">
        <f t="shared" si="7774"/>
        <v>12</v>
      </c>
      <c r="C3819" s="66">
        <f t="shared" si="7777"/>
        <v>28</v>
      </c>
      <c r="E3819" s="66">
        <f t="shared" ref="E3819" si="7826">plan_id</f>
        <v>1952</v>
      </c>
      <c r="F3819" s="66">
        <f t="shared" ca="1" si="7740"/>
        <v>2010</v>
      </c>
      <c r="G3819" s="66">
        <f t="shared" ref="G3819" ca="1" si="7827">VLOOKUP(INDIRECT(CHAR(39)&amp;$A3819&amp;CHAR(39)&amp;"!r2c"&amp;$C3819,0),variables,2,0)</f>
        <v>9761</v>
      </c>
      <c r="H3819" s="71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67" t="s">
        <v>1429</v>
      </c>
      <c r="B3820" s="66">
        <f t="shared" si="7774"/>
        <v>12</v>
      </c>
      <c r="C3820" s="66">
        <f t="shared" si="7777"/>
        <v>29</v>
      </c>
      <c r="E3820" s="66">
        <f t="shared" ref="E3820" si="7828">plan_id</f>
        <v>1952</v>
      </c>
      <c r="F3820" s="66">
        <f t="shared" ca="1" si="7740"/>
        <v>2010</v>
      </c>
      <c r="G3820" s="66">
        <f t="shared" ref="G3820" ca="1" si="7829">VLOOKUP(INDIRECT(CHAR(39)&amp;$A3820&amp;CHAR(39)&amp;"!r2c"&amp;$C3820,0),variables,2,0)</f>
        <v>9764</v>
      </c>
      <c r="H3820" s="71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67" t="s">
        <v>1429</v>
      </c>
      <c r="B3821" s="66">
        <f t="shared" si="7774"/>
        <v>12</v>
      </c>
      <c r="C3821" s="66">
        <f t="shared" si="7777"/>
        <v>30</v>
      </c>
      <c r="E3821" s="66">
        <f t="shared" ref="E3821" si="7830">plan_id</f>
        <v>1952</v>
      </c>
      <c r="F3821" s="66">
        <f t="shared" ca="1" si="7740"/>
        <v>2010</v>
      </c>
      <c r="G3821" s="66">
        <f t="shared" ref="G3821" ca="1" si="7831">VLOOKUP(INDIRECT(CHAR(39)&amp;$A3821&amp;CHAR(39)&amp;"!r2c"&amp;$C3821,0),variables,2,0)</f>
        <v>9767</v>
      </c>
      <c r="H3821" s="71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67" t="s">
        <v>1429</v>
      </c>
      <c r="B3822" s="66">
        <f t="shared" si="7774"/>
        <v>12</v>
      </c>
      <c r="C3822" s="66">
        <f t="shared" si="7777"/>
        <v>31</v>
      </c>
      <c r="E3822" s="66">
        <f t="shared" ref="E3822" si="7832">plan_id</f>
        <v>1952</v>
      </c>
      <c r="F3822" s="66">
        <f t="shared" ca="1" si="7740"/>
        <v>2010</v>
      </c>
      <c r="G3822" s="66">
        <f t="shared" ref="G3822" ca="1" si="7833">VLOOKUP(INDIRECT(CHAR(39)&amp;$A3822&amp;CHAR(39)&amp;"!r2c"&amp;$C3822,0),variables,2,0)</f>
        <v>9770</v>
      </c>
      <c r="H3822" s="71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67" t="s">
        <v>1429</v>
      </c>
      <c r="B3823" s="66">
        <f t="shared" si="7774"/>
        <v>12</v>
      </c>
      <c r="C3823" s="66">
        <f t="shared" si="7777"/>
        <v>32</v>
      </c>
      <c r="E3823" s="66">
        <f t="shared" ref="E3823" si="7834">plan_id</f>
        <v>1952</v>
      </c>
      <c r="F3823" s="66">
        <f t="shared" ca="1" si="7740"/>
        <v>2010</v>
      </c>
      <c r="G3823" s="66">
        <f t="shared" ref="G3823" ca="1" si="7835">VLOOKUP(INDIRECT(CHAR(39)&amp;$A3823&amp;CHAR(39)&amp;"!r2c"&amp;$C3823,0),variables,2,0)</f>
        <v>9773</v>
      </c>
      <c r="H3823" s="71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67" t="s">
        <v>1429</v>
      </c>
      <c r="B3824" s="66">
        <f t="shared" si="7774"/>
        <v>12</v>
      </c>
      <c r="C3824" s="66">
        <f t="shared" si="7777"/>
        <v>33</v>
      </c>
      <c r="E3824" s="66">
        <f t="shared" ref="E3824" si="7836">plan_id</f>
        <v>1952</v>
      </c>
      <c r="F3824" s="66">
        <f t="shared" ca="1" si="7740"/>
        <v>2010</v>
      </c>
      <c r="G3824" s="66">
        <f t="shared" ref="G3824" ca="1" si="7837">VLOOKUP(INDIRECT(CHAR(39)&amp;$A3824&amp;CHAR(39)&amp;"!r2c"&amp;$C3824,0),variables,2,0)</f>
        <v>9776</v>
      </c>
      <c r="H3824" s="71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67" t="s">
        <v>1429</v>
      </c>
      <c r="B3825" s="66">
        <f t="shared" si="7774"/>
        <v>12</v>
      </c>
      <c r="C3825" s="66">
        <f t="shared" si="7777"/>
        <v>34</v>
      </c>
      <c r="E3825" s="66">
        <f t="shared" ref="E3825" si="7838">plan_id</f>
        <v>1952</v>
      </c>
      <c r="F3825" s="66">
        <f t="shared" ca="1" si="7740"/>
        <v>2010</v>
      </c>
      <c r="G3825" s="66">
        <f t="shared" ref="G3825" ca="1" si="7839">VLOOKUP(INDIRECT(CHAR(39)&amp;$A3825&amp;CHAR(39)&amp;"!r2c"&amp;$C3825,0),variables,2,0)</f>
        <v>9779</v>
      </c>
      <c r="H3825" s="71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67" t="s">
        <v>1429</v>
      </c>
      <c r="B3826" s="66">
        <f t="shared" si="7774"/>
        <v>12</v>
      </c>
      <c r="C3826" s="66">
        <f t="shared" si="7777"/>
        <v>35</v>
      </c>
      <c r="E3826" s="66">
        <f t="shared" ref="E3826" si="7840">plan_id</f>
        <v>1952</v>
      </c>
      <c r="F3826" s="66">
        <f t="shared" ca="1" si="7740"/>
        <v>2010</v>
      </c>
      <c r="G3826" s="66">
        <f t="shared" ref="G3826" ca="1" si="7841">VLOOKUP(INDIRECT(CHAR(39)&amp;$A3826&amp;CHAR(39)&amp;"!r2c"&amp;$C3826,0),variables,2,0)</f>
        <v>9785</v>
      </c>
      <c r="H3826" s="71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67" t="s">
        <v>1429</v>
      </c>
      <c r="B3827" s="66">
        <f t="shared" si="7774"/>
        <v>12</v>
      </c>
      <c r="C3827" s="66">
        <f t="shared" si="7777"/>
        <v>36</v>
      </c>
      <c r="E3827" s="66">
        <f t="shared" ref="E3827" si="7842">plan_id</f>
        <v>1952</v>
      </c>
      <c r="F3827" s="66">
        <f t="shared" ca="1" si="7740"/>
        <v>2010</v>
      </c>
      <c r="G3827" s="66">
        <f t="shared" ref="G3827" ca="1" si="7843">VLOOKUP(INDIRECT(CHAR(39)&amp;$A3827&amp;CHAR(39)&amp;"!r2c"&amp;$C3827,0),variables,2,0)</f>
        <v>9794</v>
      </c>
      <c r="H3827" s="71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67" t="s">
        <v>1429</v>
      </c>
      <c r="B3828" s="66">
        <f t="shared" si="7774"/>
        <v>12</v>
      </c>
      <c r="C3828" s="66">
        <f t="shared" si="7777"/>
        <v>37</v>
      </c>
      <c r="E3828" s="66">
        <f t="shared" ref="E3828" si="7844">plan_id</f>
        <v>1952</v>
      </c>
      <c r="F3828" s="66">
        <f t="shared" ca="1" si="7740"/>
        <v>2010</v>
      </c>
      <c r="G3828" s="66">
        <f t="shared" ref="G3828" ca="1" si="7845">VLOOKUP(INDIRECT(CHAR(39)&amp;$A3828&amp;CHAR(39)&amp;"!r2c"&amp;$C3828,0),variables,2,0)</f>
        <v>9797</v>
      </c>
      <c r="H3828" s="71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67" t="s">
        <v>1429</v>
      </c>
      <c r="B3829" s="66">
        <f t="shared" si="7774"/>
        <v>12</v>
      </c>
      <c r="C3829" s="66">
        <f t="shared" si="7777"/>
        <v>38</v>
      </c>
      <c r="E3829" s="66">
        <f t="shared" ref="E3829" si="7846">plan_id</f>
        <v>1952</v>
      </c>
      <c r="F3829" s="66">
        <f t="shared" ca="1" si="7740"/>
        <v>2010</v>
      </c>
      <c r="G3829" s="66">
        <f t="shared" ref="G3829" ca="1" si="7847">VLOOKUP(INDIRECT(CHAR(39)&amp;$A3829&amp;CHAR(39)&amp;"!r2c"&amp;$C3829,0),variables,2,0)</f>
        <v>9806</v>
      </c>
      <c r="H3829" s="71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67" t="s">
        <v>1429</v>
      </c>
      <c r="B3830" s="66">
        <f t="shared" si="7774"/>
        <v>12</v>
      </c>
      <c r="C3830" s="66">
        <f t="shared" si="7777"/>
        <v>39</v>
      </c>
      <c r="E3830" s="66">
        <f t="shared" ref="E3830" si="7848">plan_id</f>
        <v>1952</v>
      </c>
      <c r="F3830" s="66">
        <f t="shared" ca="1" si="7740"/>
        <v>2010</v>
      </c>
      <c r="G3830" s="66">
        <f t="shared" ref="G3830" ca="1" si="7849">VLOOKUP(INDIRECT(CHAR(39)&amp;$A3830&amp;CHAR(39)&amp;"!r2c"&amp;$C3830,0),variables,2,0)</f>
        <v>9809</v>
      </c>
      <c r="H3830" s="71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67" t="s">
        <v>1429</v>
      </c>
      <c r="B3831" s="66">
        <f t="shared" si="7774"/>
        <v>12</v>
      </c>
      <c r="C3831" s="66">
        <f t="shared" si="7777"/>
        <v>40</v>
      </c>
      <c r="E3831" s="66">
        <f t="shared" ref="E3831" si="7850">plan_id</f>
        <v>1952</v>
      </c>
      <c r="F3831" s="66">
        <f t="shared" ca="1" si="7740"/>
        <v>2010</v>
      </c>
      <c r="G3831" s="66">
        <f t="shared" ref="G3831" ca="1" si="7851">VLOOKUP(INDIRECT(CHAR(39)&amp;$A3831&amp;CHAR(39)&amp;"!r2c"&amp;$C3831,0),variables,2,0)</f>
        <v>9818</v>
      </c>
      <c r="H3831" s="71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67" t="s">
        <v>1429</v>
      </c>
      <c r="B3832" s="66">
        <f t="shared" si="7774"/>
        <v>12</v>
      </c>
      <c r="C3832" s="66">
        <f t="shared" si="7777"/>
        <v>41</v>
      </c>
      <c r="E3832" s="66">
        <f t="shared" ref="E3832" si="7852">plan_id</f>
        <v>1952</v>
      </c>
      <c r="F3832" s="66">
        <f t="shared" ca="1" si="7740"/>
        <v>2010</v>
      </c>
      <c r="G3832" s="66">
        <f t="shared" ref="G3832" ca="1" si="7853">VLOOKUP(INDIRECT(CHAR(39)&amp;$A3832&amp;CHAR(39)&amp;"!r2c"&amp;$C3832,0),variables,2,0)</f>
        <v>9839</v>
      </c>
      <c r="H3832" s="71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67" t="s">
        <v>1429</v>
      </c>
      <c r="B3833" s="66">
        <f t="shared" si="7774"/>
        <v>12</v>
      </c>
      <c r="C3833" s="66">
        <f t="shared" si="7777"/>
        <v>42</v>
      </c>
      <c r="E3833" s="66">
        <f t="shared" ref="E3833" si="7854">plan_id</f>
        <v>1952</v>
      </c>
      <c r="F3833" s="66">
        <f t="shared" ca="1" si="7740"/>
        <v>2010</v>
      </c>
      <c r="G3833" s="66">
        <f t="shared" ref="G3833" ca="1" si="7855">VLOOKUP(INDIRECT(CHAR(39)&amp;$A3833&amp;CHAR(39)&amp;"!r2c"&amp;$C3833,0),variables,2,0)</f>
        <v>9860</v>
      </c>
      <c r="H3833" s="71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67" t="s">
        <v>1429</v>
      </c>
      <c r="B3834" s="66">
        <f t="shared" si="7774"/>
        <v>12</v>
      </c>
      <c r="C3834" s="66">
        <f t="shared" si="7777"/>
        <v>43</v>
      </c>
      <c r="E3834" s="66">
        <f t="shared" ref="E3834" si="7856">plan_id</f>
        <v>1952</v>
      </c>
      <c r="F3834" s="66">
        <f t="shared" ca="1" si="7740"/>
        <v>2010</v>
      </c>
      <c r="G3834" s="66">
        <f t="shared" ref="G3834" ca="1" si="7857">VLOOKUP(INDIRECT(CHAR(39)&amp;$A3834&amp;CHAR(39)&amp;"!r2c"&amp;$C3834,0),variables,2,0)</f>
        <v>9863</v>
      </c>
      <c r="H3834" s="71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67" t="s">
        <v>1429</v>
      </c>
      <c r="B3835" s="66">
        <f t="shared" si="7774"/>
        <v>12</v>
      </c>
      <c r="C3835" s="66">
        <f t="shared" si="7777"/>
        <v>44</v>
      </c>
      <c r="E3835" s="66">
        <f t="shared" ref="E3835" si="7858">plan_id</f>
        <v>1952</v>
      </c>
      <c r="F3835" s="66">
        <f t="shared" ca="1" si="7740"/>
        <v>2010</v>
      </c>
      <c r="G3835" s="66">
        <f t="shared" ref="G3835" ca="1" si="7859">VLOOKUP(INDIRECT(CHAR(39)&amp;$A3835&amp;CHAR(39)&amp;"!r2c"&amp;$C3835,0),variables,2,0)</f>
        <v>9878</v>
      </c>
      <c r="H3835" s="71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67" t="s">
        <v>1429</v>
      </c>
      <c r="B3836" s="66">
        <f t="shared" si="7774"/>
        <v>12</v>
      </c>
      <c r="C3836" s="66">
        <f t="shared" si="7777"/>
        <v>45</v>
      </c>
      <c r="E3836" s="66">
        <f t="shared" ref="E3836" si="7860">plan_id</f>
        <v>1952</v>
      </c>
      <c r="F3836" s="66">
        <f t="shared" ca="1" si="7740"/>
        <v>2010</v>
      </c>
      <c r="G3836" s="66">
        <f t="shared" ref="G3836" ca="1" si="7861">VLOOKUP(INDIRECT(CHAR(39)&amp;$A3836&amp;CHAR(39)&amp;"!r2c"&amp;$C3836,0),variables,2,0)</f>
        <v>9923</v>
      </c>
      <c r="H3836" s="71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67" t="s">
        <v>1429</v>
      </c>
      <c r="B3837" s="66">
        <f t="shared" si="7774"/>
        <v>12</v>
      </c>
      <c r="C3837" s="66">
        <f t="shared" si="7777"/>
        <v>46</v>
      </c>
      <c r="E3837" s="66">
        <f t="shared" ref="E3837" si="7862">plan_id</f>
        <v>1952</v>
      </c>
      <c r="F3837" s="66">
        <f t="shared" ca="1" si="7740"/>
        <v>2010</v>
      </c>
      <c r="G3837" s="66">
        <f t="shared" ref="G3837" ca="1" si="7863">VLOOKUP(INDIRECT(CHAR(39)&amp;$A3837&amp;CHAR(39)&amp;"!r2c"&amp;$C3837,0),variables,2,0)</f>
        <v>9932</v>
      </c>
      <c r="H3837" s="71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67" t="s">
        <v>1429</v>
      </c>
      <c r="B3838" s="66">
        <f t="shared" si="7774"/>
        <v>12</v>
      </c>
      <c r="C3838" s="66">
        <f t="shared" si="7777"/>
        <v>47</v>
      </c>
      <c r="E3838" s="66">
        <f t="shared" ref="E3838" si="7864">plan_id</f>
        <v>1952</v>
      </c>
      <c r="F3838" s="66">
        <f t="shared" ca="1" si="7740"/>
        <v>2010</v>
      </c>
      <c r="G3838" s="66">
        <f t="shared" ref="G3838" ca="1" si="7865">VLOOKUP(INDIRECT(CHAR(39)&amp;$A3838&amp;CHAR(39)&amp;"!r2c"&amp;$C3838,0),variables,2,0)</f>
        <v>9935</v>
      </c>
      <c r="H3838" s="71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67" t="s">
        <v>1429</v>
      </c>
      <c r="B3839" s="66">
        <f t="shared" si="7774"/>
        <v>12</v>
      </c>
      <c r="C3839" s="66">
        <f t="shared" si="7777"/>
        <v>48</v>
      </c>
      <c r="E3839" s="66">
        <f t="shared" ref="E3839" si="7866">plan_id</f>
        <v>1952</v>
      </c>
      <c r="F3839" s="66">
        <f t="shared" ca="1" si="7740"/>
        <v>2010</v>
      </c>
      <c r="G3839" s="66">
        <f t="shared" ref="G3839" ca="1" si="7867">VLOOKUP(INDIRECT(CHAR(39)&amp;$A3839&amp;CHAR(39)&amp;"!r2c"&amp;$C3839,0),variables,2,0)</f>
        <v>9651</v>
      </c>
      <c r="H3839" s="71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67" t="s">
        <v>1429</v>
      </c>
      <c r="B3840" s="66">
        <f t="shared" si="7774"/>
        <v>12</v>
      </c>
      <c r="C3840" s="66">
        <f t="shared" si="7777"/>
        <v>49</v>
      </c>
      <c r="E3840" s="66">
        <f t="shared" ref="E3840" si="7868">plan_id</f>
        <v>1952</v>
      </c>
      <c r="F3840" s="66">
        <f t="shared" ca="1" si="7740"/>
        <v>2010</v>
      </c>
      <c r="G3840" s="66">
        <f t="shared" ref="G3840" ca="1" si="7869">VLOOKUP(INDIRECT(CHAR(39)&amp;$A3840&amp;CHAR(39)&amp;"!r2c"&amp;$C3840,0),variables,2,0)</f>
        <v>9722</v>
      </c>
      <c r="H3840" s="71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67" t="s">
        <v>1429</v>
      </c>
      <c r="B3841" s="66">
        <f t="shared" si="7774"/>
        <v>12</v>
      </c>
      <c r="C3841" s="66">
        <f t="shared" si="7777"/>
        <v>50</v>
      </c>
      <c r="E3841" s="66">
        <f t="shared" ref="E3841" si="7870">plan_id</f>
        <v>1952</v>
      </c>
      <c r="F3841" s="66">
        <f t="shared" ref="F3841:F3904" ca="1" si="7871">INDIRECT(CHAR(39)&amp;$A3841&amp;CHAR(39)&amp;"!r"&amp;$B3841&amp;"c2",0)</f>
        <v>2010</v>
      </c>
      <c r="G3841" s="66">
        <f t="shared" ref="G3841" ca="1" si="7872">VLOOKUP(INDIRECT(CHAR(39)&amp;$A3841&amp;CHAR(39)&amp;"!r2c"&amp;$C3841,0),variables,2,0)</f>
        <v>9848</v>
      </c>
      <c r="H3841" s="71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67" t="s">
        <v>1429</v>
      </c>
      <c r="B3842" s="66">
        <f t="shared" si="7774"/>
        <v>12</v>
      </c>
      <c r="C3842" s="66">
        <f t="shared" si="7777"/>
        <v>51</v>
      </c>
      <c r="E3842" s="66">
        <f t="shared" ref="E3842" si="7873">plan_id</f>
        <v>1952</v>
      </c>
      <c r="F3842" s="66">
        <f t="shared" ca="1" si="7871"/>
        <v>2010</v>
      </c>
      <c r="G3842" s="66">
        <f t="shared" ref="G3842" ca="1" si="7874">VLOOKUP(INDIRECT(CHAR(39)&amp;$A3842&amp;CHAR(39)&amp;"!r2c"&amp;$C3842,0),variables,2,0)</f>
        <v>9866</v>
      </c>
      <c r="H3842" s="71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67" t="s">
        <v>1429</v>
      </c>
      <c r="B3843" s="66">
        <f t="shared" si="7774"/>
        <v>12</v>
      </c>
      <c r="C3843" s="66">
        <f t="shared" si="7777"/>
        <v>52</v>
      </c>
      <c r="E3843" s="66">
        <f t="shared" ref="E3843" si="7875">plan_id</f>
        <v>1952</v>
      </c>
      <c r="F3843" s="66">
        <f t="shared" ca="1" si="7871"/>
        <v>2010</v>
      </c>
      <c r="G3843" s="66">
        <f t="shared" ref="G3843" ca="1" si="7876">VLOOKUP(INDIRECT(CHAR(39)&amp;$A3843&amp;CHAR(39)&amp;"!r2c"&amp;$C3843,0),variables,2,0)</f>
        <v>9899</v>
      </c>
      <c r="H3843" s="71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67" t="s">
        <v>1429</v>
      </c>
      <c r="B3844" s="66">
        <f t="shared" si="7774"/>
        <v>12</v>
      </c>
      <c r="C3844" s="66">
        <f t="shared" si="7777"/>
        <v>53</v>
      </c>
      <c r="E3844" s="66">
        <f t="shared" ref="E3844" si="7877">plan_id</f>
        <v>1952</v>
      </c>
      <c r="F3844" s="66">
        <f t="shared" ca="1" si="7871"/>
        <v>2010</v>
      </c>
      <c r="G3844" s="66">
        <f t="shared" ref="G3844" ca="1" si="7878">VLOOKUP(INDIRECT(CHAR(39)&amp;$A3844&amp;CHAR(39)&amp;"!r2c"&amp;$C3844,0),variables,2,0)</f>
        <v>9905</v>
      </c>
      <c r="H3844" s="71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67" t="s">
        <v>1429</v>
      </c>
      <c r="B3845" s="66">
        <f t="shared" si="7774"/>
        <v>12</v>
      </c>
      <c r="C3845" s="66">
        <f t="shared" si="7777"/>
        <v>54</v>
      </c>
      <c r="E3845" s="66">
        <f t="shared" ref="E3845" si="7879">plan_id</f>
        <v>1952</v>
      </c>
      <c r="F3845" s="66">
        <f t="shared" ca="1" si="7871"/>
        <v>2010</v>
      </c>
      <c r="G3845" s="66">
        <f t="shared" ref="G3845" ca="1" si="7880">VLOOKUP(INDIRECT(CHAR(39)&amp;$A3845&amp;CHAR(39)&amp;"!r2c"&amp;$C3845,0),variables,2,0)</f>
        <v>9929</v>
      </c>
      <c r="H3845" s="71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67" t="s">
        <v>1429</v>
      </c>
      <c r="B3846" s="66">
        <f t="shared" si="7774"/>
        <v>12</v>
      </c>
      <c r="C3846" s="66">
        <f t="shared" si="7777"/>
        <v>55</v>
      </c>
      <c r="E3846" s="66">
        <f t="shared" ref="E3846" si="7881">plan_id</f>
        <v>1952</v>
      </c>
      <c r="F3846" s="66">
        <f t="shared" ca="1" si="7871"/>
        <v>2010</v>
      </c>
      <c r="G3846" s="66">
        <f t="shared" ref="G3846" ca="1" si="7882">VLOOKUP(INDIRECT(CHAR(39)&amp;$A3846&amp;CHAR(39)&amp;"!r2c"&amp;$C3846,0),variables,2,0)</f>
        <v>9654</v>
      </c>
      <c r="H3846" s="71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67" t="s">
        <v>1429</v>
      </c>
      <c r="B3847" s="66">
        <f t="shared" si="7774"/>
        <v>12</v>
      </c>
      <c r="C3847" s="66">
        <f t="shared" si="7777"/>
        <v>56</v>
      </c>
      <c r="E3847" s="66">
        <f t="shared" ref="E3847" si="7883">plan_id</f>
        <v>1952</v>
      </c>
      <c r="F3847" s="66">
        <f t="shared" ca="1" si="7871"/>
        <v>2010</v>
      </c>
      <c r="G3847" s="66">
        <f t="shared" ref="G3847" ca="1" si="7884">VLOOKUP(INDIRECT(CHAR(39)&amp;$A3847&amp;CHAR(39)&amp;"!r2c"&amp;$C3847,0),variables,2,0)</f>
        <v>9707</v>
      </c>
      <c r="H3847" s="71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67" t="s">
        <v>1429</v>
      </c>
      <c r="B3848" s="66">
        <f t="shared" si="7774"/>
        <v>12</v>
      </c>
      <c r="C3848" s="66">
        <f t="shared" si="7777"/>
        <v>57</v>
      </c>
      <c r="E3848" s="66">
        <f t="shared" ref="E3848" si="7885">plan_id</f>
        <v>1952</v>
      </c>
      <c r="F3848" s="66">
        <f t="shared" ca="1" si="7871"/>
        <v>2010</v>
      </c>
      <c r="G3848" s="66">
        <f t="shared" ref="G3848" ca="1" si="7886">VLOOKUP(INDIRECT(CHAR(39)&amp;$A3848&amp;CHAR(39)&amp;"!r2c"&amp;$C3848,0),variables,2,0)</f>
        <v>9669</v>
      </c>
      <c r="H3848" s="71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67" t="s">
        <v>1429</v>
      </c>
      <c r="B3849" s="66">
        <f t="shared" si="7774"/>
        <v>12</v>
      </c>
      <c r="C3849" s="66">
        <f t="shared" si="7777"/>
        <v>58</v>
      </c>
      <c r="E3849" s="66">
        <f t="shared" ref="E3849" si="7887">plan_id</f>
        <v>1952</v>
      </c>
      <c r="F3849" s="66">
        <f t="shared" ca="1" si="7871"/>
        <v>2010</v>
      </c>
      <c r="G3849" s="66">
        <f t="shared" ref="G3849" ca="1" si="7888">VLOOKUP(INDIRECT(CHAR(39)&amp;$A3849&amp;CHAR(39)&amp;"!r2c"&amp;$C3849,0),variables,2,0)</f>
        <v>9851</v>
      </c>
      <c r="H3849" s="71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67" t="s">
        <v>1429</v>
      </c>
      <c r="B3850" s="66">
        <f t="shared" si="7774"/>
        <v>12</v>
      </c>
      <c r="C3850" s="66">
        <f t="shared" si="7777"/>
        <v>59</v>
      </c>
      <c r="E3850" s="66">
        <f t="shared" ref="E3850" si="7889">plan_id</f>
        <v>1952</v>
      </c>
      <c r="F3850" s="66">
        <f t="shared" ca="1" si="7871"/>
        <v>2010</v>
      </c>
      <c r="G3850" s="66">
        <f t="shared" ref="G3850" ca="1" si="7890">VLOOKUP(INDIRECT(CHAR(39)&amp;$A3850&amp;CHAR(39)&amp;"!r2c"&amp;$C3850,0),variables,2,0)</f>
        <v>9890</v>
      </c>
      <c r="H3850" s="71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67" t="s">
        <v>1429</v>
      </c>
      <c r="B3851" s="66">
        <f t="shared" si="7774"/>
        <v>12</v>
      </c>
      <c r="C3851" s="66">
        <f t="shared" si="7777"/>
        <v>60</v>
      </c>
      <c r="E3851" s="66">
        <f t="shared" ref="E3851" si="7891">plan_id</f>
        <v>1952</v>
      </c>
      <c r="F3851" s="66">
        <f t="shared" ca="1" si="7871"/>
        <v>2010</v>
      </c>
      <c r="G3851" s="66">
        <f t="shared" ref="G3851" ca="1" si="7892">VLOOKUP(INDIRECT(CHAR(39)&amp;$A3851&amp;CHAR(39)&amp;"!r2c"&amp;$C3851,0),variables,2,0)</f>
        <v>9893</v>
      </c>
      <c r="H3851" s="71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67" t="s">
        <v>1429</v>
      </c>
      <c r="B3852" s="66">
        <f t="shared" si="7774"/>
        <v>12</v>
      </c>
      <c r="C3852" s="66">
        <f t="shared" si="7777"/>
        <v>61</v>
      </c>
      <c r="E3852" s="66">
        <f t="shared" ref="E3852" si="7893">plan_id</f>
        <v>1952</v>
      </c>
      <c r="F3852" s="66">
        <f t="shared" ca="1" si="7871"/>
        <v>2010</v>
      </c>
      <c r="G3852" s="66">
        <f t="shared" ref="G3852" ca="1" si="7894">VLOOKUP(INDIRECT(CHAR(39)&amp;$A3852&amp;CHAR(39)&amp;"!r2c"&amp;$C3852,0),variables,2,0)</f>
        <v>9896</v>
      </c>
      <c r="H3852" s="71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67" t="s">
        <v>1429</v>
      </c>
      <c r="B3853" s="66">
        <f t="shared" si="7774"/>
        <v>12</v>
      </c>
      <c r="C3853" s="66">
        <f t="shared" si="7777"/>
        <v>62</v>
      </c>
      <c r="E3853" s="66">
        <f t="shared" ref="E3853" si="7895">plan_id</f>
        <v>1952</v>
      </c>
      <c r="F3853" s="66">
        <f t="shared" ca="1" si="7871"/>
        <v>2010</v>
      </c>
      <c r="G3853" s="66">
        <f t="shared" ref="G3853" ca="1" si="7896">VLOOKUP(INDIRECT(CHAR(39)&amp;$A3853&amp;CHAR(39)&amp;"!r2c"&amp;$C3853,0),variables,2,0)</f>
        <v>9660</v>
      </c>
      <c r="H3853" s="71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67" t="s">
        <v>1429</v>
      </c>
      <c r="B3854" s="66">
        <f t="shared" si="7774"/>
        <v>12</v>
      </c>
      <c r="C3854" s="66">
        <f t="shared" si="7777"/>
        <v>63</v>
      </c>
      <c r="E3854" s="66">
        <f t="shared" ref="E3854" si="7897">plan_id</f>
        <v>1952</v>
      </c>
      <c r="F3854" s="66">
        <f t="shared" ca="1" si="7871"/>
        <v>2010</v>
      </c>
      <c r="G3854" s="66">
        <f t="shared" ref="G3854" ca="1" si="7898">VLOOKUP(INDIRECT(CHAR(39)&amp;$A3854&amp;CHAR(39)&amp;"!r2c"&amp;$C3854,0),variables,2,0)</f>
        <v>9701</v>
      </c>
      <c r="H3854" s="71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67" t="s">
        <v>1429</v>
      </c>
      <c r="B3855" s="66">
        <f t="shared" si="7774"/>
        <v>12</v>
      </c>
      <c r="C3855" s="66">
        <f t="shared" si="7777"/>
        <v>64</v>
      </c>
      <c r="E3855" s="66">
        <f t="shared" ref="E3855" si="7899">plan_id</f>
        <v>1952</v>
      </c>
      <c r="F3855" s="66">
        <f t="shared" ca="1" si="7871"/>
        <v>2010</v>
      </c>
      <c r="G3855" s="66">
        <f t="shared" ref="G3855" ca="1" si="7900">VLOOKUP(INDIRECT(CHAR(39)&amp;$A3855&amp;CHAR(39)&amp;"!r2c"&amp;$C3855,0),variables,2,0)</f>
        <v>9728</v>
      </c>
      <c r="H3855" s="71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67" t="s">
        <v>1429</v>
      </c>
      <c r="B3856" s="66">
        <f t="shared" si="7774"/>
        <v>12</v>
      </c>
      <c r="C3856" s="66">
        <f t="shared" si="7777"/>
        <v>65</v>
      </c>
      <c r="E3856" s="66">
        <f t="shared" ref="E3856" si="7901">plan_id</f>
        <v>1952</v>
      </c>
      <c r="F3856" s="66">
        <f t="shared" ca="1" si="7871"/>
        <v>2010</v>
      </c>
      <c r="G3856" s="66">
        <f t="shared" ref="G3856" ca="1" si="7902">VLOOKUP(INDIRECT(CHAR(39)&amp;$A3856&amp;CHAR(39)&amp;"!r2c"&amp;$C3856,0),variables,2,0)</f>
        <v>9731</v>
      </c>
      <c r="H3856" s="71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67" t="s">
        <v>1429</v>
      </c>
      <c r="B3857" s="66">
        <f t="shared" si="7774"/>
        <v>12</v>
      </c>
      <c r="C3857" s="66">
        <f t="shared" si="7777"/>
        <v>66</v>
      </c>
      <c r="E3857" s="66">
        <f t="shared" ref="E3857" si="7903">plan_id</f>
        <v>1952</v>
      </c>
      <c r="F3857" s="66">
        <f t="shared" ca="1" si="7871"/>
        <v>2010</v>
      </c>
      <c r="G3857" s="66">
        <f t="shared" ref="G3857" ca="1" si="7904">VLOOKUP(INDIRECT(CHAR(39)&amp;$A3857&amp;CHAR(39)&amp;"!r2c"&amp;$C3857,0),variables,2,0)</f>
        <v>9737</v>
      </c>
      <c r="H3857" s="71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67" t="s">
        <v>1429</v>
      </c>
      <c r="B3858" s="66">
        <f t="shared" ref="B3858:B3921" si="7905">B3770+1</f>
        <v>12</v>
      </c>
      <c r="C3858" s="66">
        <f t="shared" si="7777"/>
        <v>67</v>
      </c>
      <c r="E3858" s="66">
        <f t="shared" ref="E3858" si="7906">plan_id</f>
        <v>1952</v>
      </c>
      <c r="F3858" s="66">
        <f t="shared" ca="1" si="7871"/>
        <v>2010</v>
      </c>
      <c r="G3858" s="66">
        <f t="shared" ref="G3858" ca="1" si="7907">VLOOKUP(INDIRECT(CHAR(39)&amp;$A3858&amp;CHAR(39)&amp;"!r2c"&amp;$C3858,0),variables,2,0)</f>
        <v>9740</v>
      </c>
      <c r="H3858" s="71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67" t="s">
        <v>1429</v>
      </c>
      <c r="B3859" s="66">
        <f t="shared" si="7905"/>
        <v>12</v>
      </c>
      <c r="C3859" s="66">
        <f t="shared" ref="C3859:C3922" si="7908">C3771</f>
        <v>68</v>
      </c>
      <c r="E3859" s="66">
        <f t="shared" ref="E3859" si="7909">plan_id</f>
        <v>1952</v>
      </c>
      <c r="F3859" s="66">
        <f t="shared" ca="1" si="7871"/>
        <v>2010</v>
      </c>
      <c r="G3859" s="66">
        <f t="shared" ref="G3859" ca="1" si="7910">VLOOKUP(INDIRECT(CHAR(39)&amp;$A3859&amp;CHAR(39)&amp;"!r2c"&amp;$C3859,0),variables,2,0)</f>
        <v>9752</v>
      </c>
      <c r="H3859" s="71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67" t="s">
        <v>1429</v>
      </c>
      <c r="B3860" s="66">
        <f t="shared" si="7905"/>
        <v>12</v>
      </c>
      <c r="C3860" s="66">
        <f t="shared" si="7908"/>
        <v>69</v>
      </c>
      <c r="E3860" s="66">
        <f t="shared" ref="E3860" si="7911">plan_id</f>
        <v>1952</v>
      </c>
      <c r="F3860" s="66">
        <f t="shared" ca="1" si="7871"/>
        <v>2010</v>
      </c>
      <c r="G3860" s="66">
        <f t="shared" ref="G3860" ca="1" si="7912">VLOOKUP(INDIRECT(CHAR(39)&amp;$A3860&amp;CHAR(39)&amp;"!r2c"&amp;$C3860,0),variables,2,0)</f>
        <v>9791</v>
      </c>
      <c r="H3860" s="71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67" t="s">
        <v>1429</v>
      </c>
      <c r="B3861" s="66">
        <f t="shared" si="7905"/>
        <v>12</v>
      </c>
      <c r="C3861" s="66">
        <f t="shared" si="7908"/>
        <v>70</v>
      </c>
      <c r="E3861" s="66">
        <f t="shared" ref="E3861" si="7913">plan_id</f>
        <v>1952</v>
      </c>
      <c r="F3861" s="66">
        <f t="shared" ca="1" si="7871"/>
        <v>2010</v>
      </c>
      <c r="G3861" s="66">
        <f t="shared" ref="G3861" ca="1" si="7914">VLOOKUP(INDIRECT(CHAR(39)&amp;$A3861&amp;CHAR(39)&amp;"!r2c"&amp;$C3861,0),variables,2,0)</f>
        <v>9800</v>
      </c>
      <c r="H3861" s="71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67" t="s">
        <v>1429</v>
      </c>
      <c r="B3862" s="66">
        <f t="shared" si="7905"/>
        <v>12</v>
      </c>
      <c r="C3862" s="66">
        <f t="shared" si="7908"/>
        <v>71</v>
      </c>
      <c r="E3862" s="66">
        <f t="shared" ref="E3862" si="7915">plan_id</f>
        <v>1952</v>
      </c>
      <c r="F3862" s="66">
        <f t="shared" ca="1" si="7871"/>
        <v>2010</v>
      </c>
      <c r="G3862" s="66">
        <f t="shared" ref="G3862" ca="1" si="7916">VLOOKUP(INDIRECT(CHAR(39)&amp;$A3862&amp;CHAR(39)&amp;"!r2c"&amp;$C3862,0),variables,2,0)</f>
        <v>9842</v>
      </c>
      <c r="H3862" s="71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67" t="s">
        <v>1429</v>
      </c>
      <c r="B3863" s="66">
        <f t="shared" si="7905"/>
        <v>12</v>
      </c>
      <c r="C3863" s="66">
        <f t="shared" si="7908"/>
        <v>72</v>
      </c>
      <c r="E3863" s="66">
        <f t="shared" ref="E3863" si="7917">plan_id</f>
        <v>1952</v>
      </c>
      <c r="F3863" s="66">
        <f t="shared" ca="1" si="7871"/>
        <v>2010</v>
      </c>
      <c r="G3863" s="66">
        <f t="shared" ref="G3863" ca="1" si="7918">VLOOKUP(INDIRECT(CHAR(39)&amp;$A3863&amp;CHAR(39)&amp;"!r2c"&amp;$C3863,0),variables,2,0)</f>
        <v>9854</v>
      </c>
      <c r="H3863" s="71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67" t="s">
        <v>1429</v>
      </c>
      <c r="B3864" s="66">
        <f t="shared" si="7905"/>
        <v>12</v>
      </c>
      <c r="C3864" s="66">
        <f t="shared" si="7908"/>
        <v>73</v>
      </c>
      <c r="E3864" s="66">
        <f t="shared" ref="E3864" si="7919">plan_id</f>
        <v>1952</v>
      </c>
      <c r="F3864" s="66">
        <f t="shared" ca="1" si="7871"/>
        <v>2010</v>
      </c>
      <c r="G3864" s="66">
        <f t="shared" ref="G3864" ca="1" si="7920">VLOOKUP(INDIRECT(CHAR(39)&amp;$A3864&amp;CHAR(39)&amp;"!r2c"&amp;$C3864,0),variables,2,0)</f>
        <v>9869</v>
      </c>
      <c r="H3864" s="71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67" t="s">
        <v>1429</v>
      </c>
      <c r="B3865" s="66">
        <f t="shared" si="7905"/>
        <v>12</v>
      </c>
      <c r="C3865" s="66">
        <f t="shared" si="7908"/>
        <v>74</v>
      </c>
      <c r="E3865" s="66">
        <f t="shared" ref="E3865" si="7921">plan_id</f>
        <v>1952</v>
      </c>
      <c r="F3865" s="66">
        <f t="shared" ca="1" si="7871"/>
        <v>2010</v>
      </c>
      <c r="G3865" s="66">
        <f t="shared" ref="G3865" ca="1" si="7922">VLOOKUP(INDIRECT(CHAR(39)&amp;$A3865&amp;CHAR(39)&amp;"!r2c"&amp;$C3865,0),variables,2,0)</f>
        <v>9873</v>
      </c>
      <c r="H3865" s="71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67" t="s">
        <v>1429</v>
      </c>
      <c r="B3866" s="66">
        <f t="shared" si="7905"/>
        <v>12</v>
      </c>
      <c r="C3866" s="66">
        <f t="shared" si="7908"/>
        <v>75</v>
      </c>
      <c r="E3866" s="66">
        <f t="shared" ref="E3866" si="7923">plan_id</f>
        <v>1952</v>
      </c>
      <c r="F3866" s="66">
        <f t="shared" ca="1" si="7871"/>
        <v>2010</v>
      </c>
      <c r="G3866" s="66">
        <f t="shared" ref="G3866" ca="1" si="7924">VLOOKUP(INDIRECT(CHAR(39)&amp;$A3866&amp;CHAR(39)&amp;"!r2c"&amp;$C3866,0),variables,2,0)</f>
        <v>9881</v>
      </c>
      <c r="H3866" s="71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67" t="s">
        <v>1429</v>
      </c>
      <c r="B3867" s="66">
        <f t="shared" si="7905"/>
        <v>12</v>
      </c>
      <c r="C3867" s="66">
        <f t="shared" si="7908"/>
        <v>76</v>
      </c>
      <c r="E3867" s="66">
        <f t="shared" ref="E3867" si="7925">plan_id</f>
        <v>1952</v>
      </c>
      <c r="F3867" s="66">
        <f t="shared" ca="1" si="7871"/>
        <v>2010</v>
      </c>
      <c r="G3867" s="66">
        <f t="shared" ref="G3867" ca="1" si="7926">VLOOKUP(INDIRECT(CHAR(39)&amp;$A3867&amp;CHAR(39)&amp;"!r2c"&amp;$C3867,0),variables,2,0)</f>
        <v>9908</v>
      </c>
      <c r="H3867" s="71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67" t="s">
        <v>1429</v>
      </c>
      <c r="B3868" s="66">
        <f t="shared" si="7905"/>
        <v>12</v>
      </c>
      <c r="C3868" s="66">
        <f t="shared" si="7908"/>
        <v>77</v>
      </c>
      <c r="E3868" s="66">
        <f t="shared" ref="E3868" si="7927">plan_id</f>
        <v>1952</v>
      </c>
      <c r="F3868" s="66">
        <f t="shared" ca="1" si="7871"/>
        <v>2010</v>
      </c>
      <c r="G3868" s="66">
        <f t="shared" ref="G3868" ca="1" si="7928">VLOOKUP(INDIRECT(CHAR(39)&amp;$A3868&amp;CHAR(39)&amp;"!r2c"&amp;$C3868,0),variables,2,0)</f>
        <v>9911</v>
      </c>
      <c r="H3868" s="71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67" t="s">
        <v>1429</v>
      </c>
      <c r="B3869" s="66">
        <f t="shared" si="7905"/>
        <v>12</v>
      </c>
      <c r="C3869" s="66">
        <f t="shared" si="7908"/>
        <v>78</v>
      </c>
      <c r="E3869" s="66">
        <f t="shared" ref="E3869" si="7929">plan_id</f>
        <v>1952</v>
      </c>
      <c r="F3869" s="66">
        <f t="shared" ca="1" si="7871"/>
        <v>2010</v>
      </c>
      <c r="G3869" s="66">
        <f t="shared" ref="G3869" ca="1" si="7930">VLOOKUP(INDIRECT(CHAR(39)&amp;$A3869&amp;CHAR(39)&amp;"!r2c"&amp;$C3869,0),variables,2,0)</f>
        <v>9663</v>
      </c>
      <c r="H3869" s="71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67" t="s">
        <v>1429</v>
      </c>
      <c r="B3870" s="66">
        <f t="shared" si="7905"/>
        <v>12</v>
      </c>
      <c r="C3870" s="66">
        <f t="shared" si="7908"/>
        <v>79</v>
      </c>
      <c r="E3870" s="66">
        <f t="shared" ref="E3870" si="7931">plan_id</f>
        <v>1952</v>
      </c>
      <c r="F3870" s="66">
        <f t="shared" ca="1" si="7871"/>
        <v>2010</v>
      </c>
      <c r="G3870" s="66">
        <f t="shared" ref="G3870" ca="1" si="7932">VLOOKUP(INDIRECT(CHAR(39)&amp;$A3870&amp;CHAR(39)&amp;"!r2c"&amp;$C3870,0),variables,2,0)</f>
        <v>9710</v>
      </c>
      <c r="H3870" s="71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67" t="s">
        <v>1429</v>
      </c>
      <c r="B3871" s="66">
        <f t="shared" si="7905"/>
        <v>12</v>
      </c>
      <c r="C3871" s="66">
        <f t="shared" si="7908"/>
        <v>80</v>
      </c>
      <c r="E3871" s="66">
        <f t="shared" ref="E3871" si="7933">plan_id</f>
        <v>1952</v>
      </c>
      <c r="F3871" s="66">
        <f t="shared" ca="1" si="7871"/>
        <v>2010</v>
      </c>
      <c r="G3871" s="66">
        <f t="shared" ref="G3871" ca="1" si="7934">VLOOKUP(INDIRECT(CHAR(39)&amp;$A3871&amp;CHAR(39)&amp;"!r2c"&amp;$C3871,0),variables,2,0)</f>
        <v>9758</v>
      </c>
      <c r="H3871" s="71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67" t="s">
        <v>1429</v>
      </c>
      <c r="B3872" s="66">
        <f t="shared" si="7905"/>
        <v>12</v>
      </c>
      <c r="C3872" s="66">
        <f t="shared" si="7908"/>
        <v>81</v>
      </c>
      <c r="E3872" s="66">
        <f t="shared" ref="E3872" si="7935">plan_id</f>
        <v>1952</v>
      </c>
      <c r="F3872" s="66">
        <f t="shared" ca="1" si="7871"/>
        <v>2010</v>
      </c>
      <c r="G3872" s="66">
        <f t="shared" ref="G3872" ca="1" si="7936">VLOOKUP(INDIRECT(CHAR(39)&amp;$A3872&amp;CHAR(39)&amp;"!r2c"&amp;$C3872,0),variables,2,0)</f>
        <v>9803</v>
      </c>
      <c r="H3872" s="71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67" t="s">
        <v>1429</v>
      </c>
      <c r="B3873" s="66">
        <f t="shared" si="7905"/>
        <v>12</v>
      </c>
      <c r="C3873" s="66">
        <f t="shared" si="7908"/>
        <v>82</v>
      </c>
      <c r="E3873" s="66">
        <f t="shared" ref="E3873" si="7937">plan_id</f>
        <v>1952</v>
      </c>
      <c r="F3873" s="66">
        <f t="shared" ca="1" si="7871"/>
        <v>2010</v>
      </c>
      <c r="G3873" s="66">
        <f t="shared" ref="G3873" ca="1" si="7938">VLOOKUP(INDIRECT(CHAR(39)&amp;$A3873&amp;CHAR(39)&amp;"!r2c"&amp;$C3873,0),variables,2,0)</f>
        <v>9857</v>
      </c>
      <c r="H3873" s="71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67" t="s">
        <v>1429</v>
      </c>
      <c r="B3874" s="66">
        <f t="shared" si="7905"/>
        <v>12</v>
      </c>
      <c r="C3874" s="66">
        <f t="shared" si="7908"/>
        <v>83</v>
      </c>
      <c r="E3874" s="66">
        <f t="shared" ref="E3874" si="7939">plan_id</f>
        <v>1952</v>
      </c>
      <c r="F3874" s="66">
        <f t="shared" ca="1" si="7871"/>
        <v>2010</v>
      </c>
      <c r="G3874" s="66">
        <f t="shared" ref="G3874" ca="1" si="7940">VLOOKUP(INDIRECT(CHAR(39)&amp;$A3874&amp;CHAR(39)&amp;"!r2c"&amp;$C3874,0),variables,2,0)</f>
        <v>9902</v>
      </c>
      <c r="H3874" s="71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67" t="s">
        <v>1429</v>
      </c>
      <c r="B3875" s="66">
        <f t="shared" si="7905"/>
        <v>12</v>
      </c>
      <c r="C3875" s="66">
        <f t="shared" si="7908"/>
        <v>84</v>
      </c>
      <c r="E3875" s="66">
        <f t="shared" ref="E3875" si="7941">plan_id</f>
        <v>1952</v>
      </c>
      <c r="F3875" s="66">
        <f t="shared" ca="1" si="7871"/>
        <v>2010</v>
      </c>
      <c r="G3875" s="66">
        <f t="shared" ref="G3875" ca="1" si="7942">VLOOKUP(INDIRECT(CHAR(39)&amp;$A3875&amp;CHAR(39)&amp;"!r2c"&amp;$C3875,0),variables,2,0)</f>
        <v>9926</v>
      </c>
      <c r="H3875" s="71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67" t="s">
        <v>1429</v>
      </c>
      <c r="B3876" s="66">
        <f t="shared" si="7905"/>
        <v>12</v>
      </c>
      <c r="C3876" s="66">
        <f t="shared" si="7908"/>
        <v>85</v>
      </c>
      <c r="E3876" s="66">
        <f t="shared" ref="E3876" si="7943">plan_id</f>
        <v>1952</v>
      </c>
      <c r="F3876" s="66">
        <f t="shared" ca="1" si="7871"/>
        <v>2010</v>
      </c>
      <c r="G3876" s="66">
        <f t="shared" ref="G3876" ca="1" si="7944">VLOOKUP(INDIRECT(CHAR(39)&amp;$A3876&amp;CHAR(39)&amp;"!r2c"&amp;$C3876,0),variables,2,0)</f>
        <v>9666</v>
      </c>
      <c r="H3876" s="71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67" t="s">
        <v>1429</v>
      </c>
      <c r="B3877" s="66">
        <f t="shared" si="7905"/>
        <v>12</v>
      </c>
      <c r="C3877" s="66">
        <f t="shared" si="7908"/>
        <v>86</v>
      </c>
      <c r="E3877" s="66">
        <f t="shared" ref="E3877" si="7945">plan_id</f>
        <v>1952</v>
      </c>
      <c r="F3877" s="66">
        <f t="shared" ca="1" si="7871"/>
        <v>2010</v>
      </c>
      <c r="G3877" s="66">
        <f t="shared" ref="G3877" ca="1" si="7946">VLOOKUP(INDIRECT(CHAR(39)&amp;$A3877&amp;CHAR(39)&amp;"!r2c"&amp;$C3877,0),variables,2,0)</f>
        <v>9827</v>
      </c>
      <c r="H3877" s="71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67" t="s">
        <v>1429</v>
      </c>
      <c r="B3878" s="66">
        <f t="shared" si="7905"/>
        <v>12</v>
      </c>
      <c r="C3878" s="66">
        <f t="shared" si="7908"/>
        <v>87</v>
      </c>
      <c r="E3878" s="66">
        <f t="shared" ref="E3878" si="7947">plan_id</f>
        <v>1952</v>
      </c>
      <c r="F3878" s="66">
        <f t="shared" ca="1" si="7871"/>
        <v>2010</v>
      </c>
      <c r="G3878" s="66">
        <f t="shared" ref="G3878" ca="1" si="7948">VLOOKUP(INDIRECT(CHAR(39)&amp;$A3878&amp;CHAR(39)&amp;"!r2c"&amp;$C3878,0),variables,2,0)</f>
        <v>9657</v>
      </c>
      <c r="H3878" s="71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67" t="s">
        <v>1429</v>
      </c>
      <c r="B3879" s="66">
        <f t="shared" si="7905"/>
        <v>12</v>
      </c>
      <c r="C3879" s="66">
        <f t="shared" si="7908"/>
        <v>88</v>
      </c>
      <c r="E3879" s="66">
        <f t="shared" ref="E3879" si="7949">plan_id</f>
        <v>1952</v>
      </c>
      <c r="F3879" s="66">
        <f t="shared" ca="1" si="7871"/>
        <v>2010</v>
      </c>
      <c r="G3879" s="66">
        <f t="shared" ref="G3879" ca="1" si="7950">VLOOKUP(INDIRECT(CHAR(39)&amp;$A3879&amp;CHAR(39)&amp;"!r2c"&amp;$C3879,0),variables,2,0)</f>
        <v>9834</v>
      </c>
      <c r="H3879" s="71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67" t="s">
        <v>1429</v>
      </c>
      <c r="B3880" s="66">
        <f t="shared" si="7905"/>
        <v>12</v>
      </c>
      <c r="C3880" s="66">
        <f t="shared" si="7908"/>
        <v>89</v>
      </c>
      <c r="E3880" s="66">
        <f t="shared" ref="E3880" si="7951">plan_id</f>
        <v>1952</v>
      </c>
      <c r="F3880" s="66">
        <f t="shared" ca="1" si="7871"/>
        <v>2010</v>
      </c>
      <c r="G3880" s="66">
        <f t="shared" ref="G3880" ca="1" si="7952">VLOOKUP(INDIRECT(CHAR(39)&amp;$A3880&amp;CHAR(39)&amp;"!r2c"&amp;$C3880,0),variables,2,0)</f>
        <v>9884</v>
      </c>
      <c r="H3880" s="71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67" t="s">
        <v>1429</v>
      </c>
      <c r="B3881" s="66">
        <f t="shared" si="7905"/>
        <v>12</v>
      </c>
      <c r="C3881" s="66">
        <f t="shared" si="7908"/>
        <v>90</v>
      </c>
      <c r="E3881" s="66">
        <f t="shared" ref="E3881" si="7953">plan_id</f>
        <v>1952</v>
      </c>
      <c r="F3881" s="66">
        <f t="shared" ca="1" si="7871"/>
        <v>2010</v>
      </c>
      <c r="G3881" s="66">
        <f t="shared" ref="G3881" ca="1" si="7954">VLOOKUP(INDIRECT(CHAR(39)&amp;$A3881&amp;CHAR(39)&amp;"!r2c"&amp;$C3881,0),variables,2,0)</f>
        <v>9672</v>
      </c>
      <c r="H3881" s="71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67" t="s">
        <v>1429</v>
      </c>
      <c r="B3882" s="66">
        <f t="shared" si="7905"/>
        <v>13</v>
      </c>
      <c r="C3882" s="66">
        <f t="shared" si="7908"/>
        <v>3</v>
      </c>
      <c r="E3882" s="66">
        <f t="shared" ref="E3882" si="7955">plan_id</f>
        <v>1952</v>
      </c>
      <c r="F3882" s="66">
        <f t="shared" ca="1" si="7871"/>
        <v>2011</v>
      </c>
      <c r="G3882" s="66">
        <f t="shared" ref="G3882" ca="1" si="7956">VLOOKUP(INDIRECT(CHAR(39)&amp;$A3882&amp;CHAR(39)&amp;"!r2c"&amp;$C3882,0),variables,2,0)</f>
        <v>9704</v>
      </c>
      <c r="H3882" s="71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67" t="s">
        <v>1429</v>
      </c>
      <c r="B3883" s="66">
        <f t="shared" si="7905"/>
        <v>13</v>
      </c>
      <c r="C3883" s="66">
        <f t="shared" si="7908"/>
        <v>4</v>
      </c>
      <c r="E3883" s="66">
        <f t="shared" ref="E3883" si="7957">plan_id</f>
        <v>1952</v>
      </c>
      <c r="F3883" s="66">
        <f t="shared" ca="1" si="7871"/>
        <v>2011</v>
      </c>
      <c r="G3883" s="66">
        <f t="shared" ref="G3883" ca="1" si="7958">VLOOKUP(INDIRECT(CHAR(39)&amp;$A3883&amp;CHAR(39)&amp;"!r2c"&amp;$C3883,0),variables,2,0)</f>
        <v>9716</v>
      </c>
      <c r="H3883" s="71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67" t="s">
        <v>1429</v>
      </c>
      <c r="B3884" s="66">
        <f t="shared" si="7905"/>
        <v>13</v>
      </c>
      <c r="C3884" s="66">
        <f t="shared" si="7908"/>
        <v>5</v>
      </c>
      <c r="E3884" s="66">
        <f t="shared" ref="E3884" si="7959">plan_id</f>
        <v>1952</v>
      </c>
      <c r="F3884" s="66">
        <f t="shared" ca="1" si="7871"/>
        <v>2011</v>
      </c>
      <c r="G3884" s="66">
        <f t="shared" ref="G3884" ca="1" si="7960">VLOOKUP(INDIRECT(CHAR(39)&amp;$A3884&amp;CHAR(39)&amp;"!r2c"&amp;$C3884,0),variables,2,0)</f>
        <v>9734</v>
      </c>
      <c r="H3884" s="71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67" t="s">
        <v>1429</v>
      </c>
      <c r="B3885" s="66">
        <f t="shared" si="7905"/>
        <v>13</v>
      </c>
      <c r="C3885" s="66">
        <f t="shared" si="7908"/>
        <v>6</v>
      </c>
      <c r="E3885" s="66">
        <f t="shared" ref="E3885" si="7961">plan_id</f>
        <v>1952</v>
      </c>
      <c r="F3885" s="66">
        <f t="shared" ca="1" si="7871"/>
        <v>2011</v>
      </c>
      <c r="G3885" s="66">
        <f t="shared" ref="G3885" ca="1" si="7962">VLOOKUP(INDIRECT(CHAR(39)&amp;$A3885&amp;CHAR(39)&amp;"!r2c"&amp;$C3885,0),variables,2,0)</f>
        <v>9749</v>
      </c>
      <c r="H3885" s="71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67" t="s">
        <v>1429</v>
      </c>
      <c r="B3886" s="66">
        <f t="shared" si="7905"/>
        <v>13</v>
      </c>
      <c r="C3886" s="66">
        <f t="shared" si="7908"/>
        <v>7</v>
      </c>
      <c r="E3886" s="66">
        <f t="shared" ref="E3886" si="7963">plan_id</f>
        <v>1952</v>
      </c>
      <c r="F3886" s="66">
        <f t="shared" ca="1" si="7871"/>
        <v>2011</v>
      </c>
      <c r="G3886" s="66">
        <f t="shared" ref="G3886" ca="1" si="7964">VLOOKUP(INDIRECT(CHAR(39)&amp;$A3886&amp;CHAR(39)&amp;"!r2c"&amp;$C3886,0),variables,2,0)</f>
        <v>9755</v>
      </c>
      <c r="H3886" s="71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67" t="s">
        <v>1429</v>
      </c>
      <c r="B3887" s="66">
        <f t="shared" si="7905"/>
        <v>13</v>
      </c>
      <c r="C3887" s="66">
        <f t="shared" si="7908"/>
        <v>8</v>
      </c>
      <c r="E3887" s="66">
        <f t="shared" ref="E3887" si="7965">plan_id</f>
        <v>1952</v>
      </c>
      <c r="F3887" s="66">
        <f t="shared" ca="1" si="7871"/>
        <v>2011</v>
      </c>
      <c r="G3887" s="66">
        <f t="shared" ref="G3887" ca="1" si="7966">VLOOKUP(INDIRECT(CHAR(39)&amp;$A3887&amp;CHAR(39)&amp;"!r2c"&amp;$C3887,0),variables,2,0)</f>
        <v>9782</v>
      </c>
      <c r="H3887" s="71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67" t="s">
        <v>1429</v>
      </c>
      <c r="B3888" s="66">
        <f t="shared" si="7905"/>
        <v>13</v>
      </c>
      <c r="C3888" s="66">
        <f t="shared" si="7908"/>
        <v>9</v>
      </c>
      <c r="E3888" s="66">
        <f t="shared" ref="E3888" si="7967">plan_id</f>
        <v>1952</v>
      </c>
      <c r="F3888" s="66">
        <f t="shared" ca="1" si="7871"/>
        <v>2011</v>
      </c>
      <c r="G3888" s="66">
        <f t="shared" ref="G3888" ca="1" si="7968">VLOOKUP(INDIRECT(CHAR(39)&amp;$A3888&amp;CHAR(39)&amp;"!r2c"&amp;$C3888,0),variables,2,0)</f>
        <v>9788</v>
      </c>
      <c r="H3888" s="71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67" t="s">
        <v>1429</v>
      </c>
      <c r="B3889" s="66">
        <f t="shared" si="7905"/>
        <v>13</v>
      </c>
      <c r="C3889" s="66">
        <f t="shared" si="7908"/>
        <v>10</v>
      </c>
      <c r="E3889" s="66">
        <f t="shared" ref="E3889" si="7969">plan_id</f>
        <v>1952</v>
      </c>
      <c r="F3889" s="66">
        <f t="shared" ca="1" si="7871"/>
        <v>2011</v>
      </c>
      <c r="G3889" s="66">
        <f t="shared" ref="G3889" ca="1" si="7970">VLOOKUP(INDIRECT(CHAR(39)&amp;$A3889&amp;CHAR(39)&amp;"!r2c"&amp;$C3889,0),variables,2,0)</f>
        <v>9812</v>
      </c>
      <c r="H3889" s="71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67" t="s">
        <v>1429</v>
      </c>
      <c r="B3890" s="66">
        <f t="shared" si="7905"/>
        <v>13</v>
      </c>
      <c r="C3890" s="66">
        <f t="shared" si="7908"/>
        <v>11</v>
      </c>
      <c r="E3890" s="66">
        <f t="shared" ref="E3890" si="7971">plan_id</f>
        <v>1952</v>
      </c>
      <c r="F3890" s="66">
        <f t="shared" ca="1" si="7871"/>
        <v>2011</v>
      </c>
      <c r="G3890" s="66">
        <f t="shared" ref="G3890" ca="1" si="7972">VLOOKUP(INDIRECT(CHAR(39)&amp;$A3890&amp;CHAR(39)&amp;"!r2c"&amp;$C3890,0),variables,2,0)</f>
        <v>9815</v>
      </c>
      <c r="H3890" s="71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67" t="s">
        <v>1429</v>
      </c>
      <c r="B3891" s="66">
        <f t="shared" si="7905"/>
        <v>13</v>
      </c>
      <c r="C3891" s="66">
        <f t="shared" si="7908"/>
        <v>12</v>
      </c>
      <c r="E3891" s="66">
        <f t="shared" ref="E3891" si="7973">plan_id</f>
        <v>1952</v>
      </c>
      <c r="F3891" s="66">
        <f t="shared" ca="1" si="7871"/>
        <v>2011</v>
      </c>
      <c r="G3891" s="66">
        <f t="shared" ref="G3891" ca="1" si="7974">VLOOKUP(INDIRECT(CHAR(39)&amp;$A3891&amp;CHAR(39)&amp;"!r2c"&amp;$C3891,0),variables,2,0)</f>
        <v>9821</v>
      </c>
      <c r="H3891" s="71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67" t="s">
        <v>1429</v>
      </c>
      <c r="B3892" s="66">
        <f t="shared" si="7905"/>
        <v>13</v>
      </c>
      <c r="C3892" s="66">
        <f t="shared" si="7908"/>
        <v>13</v>
      </c>
      <c r="E3892" s="66">
        <f t="shared" ref="E3892" si="7975">plan_id</f>
        <v>1952</v>
      </c>
      <c r="F3892" s="66">
        <f t="shared" ca="1" si="7871"/>
        <v>2011</v>
      </c>
      <c r="G3892" s="66">
        <f t="shared" ref="G3892" ca="1" si="7976">VLOOKUP(INDIRECT(CHAR(39)&amp;$A3892&amp;CHAR(39)&amp;"!r2c"&amp;$C3892,0),variables,2,0)</f>
        <v>9824</v>
      </c>
      <c r="H3892" s="71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67" t="s">
        <v>1429</v>
      </c>
      <c r="B3893" s="66">
        <f t="shared" si="7905"/>
        <v>13</v>
      </c>
      <c r="C3893" s="66">
        <f t="shared" si="7908"/>
        <v>14</v>
      </c>
      <c r="E3893" s="66">
        <f t="shared" ref="E3893" si="7977">plan_id</f>
        <v>1952</v>
      </c>
      <c r="F3893" s="66">
        <f t="shared" ca="1" si="7871"/>
        <v>2011</v>
      </c>
      <c r="G3893" s="66">
        <f t="shared" ref="G3893" ca="1" si="7978">VLOOKUP(INDIRECT(CHAR(39)&amp;$A3893&amp;CHAR(39)&amp;"!r2c"&amp;$C3893,0),variables,2,0)</f>
        <v>9830</v>
      </c>
      <c r="H3893" s="71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67" t="s">
        <v>1429</v>
      </c>
      <c r="B3894" s="66">
        <f t="shared" si="7905"/>
        <v>13</v>
      </c>
      <c r="C3894" s="66">
        <f t="shared" si="7908"/>
        <v>15</v>
      </c>
      <c r="E3894" s="66">
        <f t="shared" ref="E3894" si="7979">plan_id</f>
        <v>1952</v>
      </c>
      <c r="F3894" s="66">
        <f t="shared" ca="1" si="7871"/>
        <v>2011</v>
      </c>
      <c r="G3894" s="66">
        <f t="shared" ref="G3894" ca="1" si="7980">VLOOKUP(INDIRECT(CHAR(39)&amp;$A3894&amp;CHAR(39)&amp;"!r2c"&amp;$C3894,0),variables,2,0)</f>
        <v>9833</v>
      </c>
      <c r="H3894" s="71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67" t="s">
        <v>1429</v>
      </c>
      <c r="B3895" s="66">
        <f t="shared" si="7905"/>
        <v>13</v>
      </c>
      <c r="C3895" s="66">
        <f t="shared" si="7908"/>
        <v>16</v>
      </c>
      <c r="E3895" s="66">
        <f t="shared" ref="E3895" si="7981">plan_id</f>
        <v>1952</v>
      </c>
      <c r="F3895" s="66">
        <f t="shared" ca="1" si="7871"/>
        <v>2011</v>
      </c>
      <c r="G3895" s="66">
        <f t="shared" ref="G3895" ca="1" si="7982">VLOOKUP(INDIRECT(CHAR(39)&amp;$A3895&amp;CHAR(39)&amp;"!r2c"&amp;$C3895,0),variables,2,0)</f>
        <v>9845</v>
      </c>
      <c r="H3895" s="71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67" t="s">
        <v>1429</v>
      </c>
      <c r="B3896" s="66">
        <f t="shared" si="7905"/>
        <v>13</v>
      </c>
      <c r="C3896" s="66">
        <f t="shared" si="7908"/>
        <v>17</v>
      </c>
      <c r="E3896" s="66">
        <f t="shared" ref="E3896" si="7983">plan_id</f>
        <v>1952</v>
      </c>
      <c r="F3896" s="66">
        <f t="shared" ca="1" si="7871"/>
        <v>2011</v>
      </c>
      <c r="G3896" s="66">
        <f t="shared" ref="G3896" ca="1" si="7984">VLOOKUP(INDIRECT(CHAR(39)&amp;$A3896&amp;CHAR(39)&amp;"!r2c"&amp;$C3896,0),variables,2,0)</f>
        <v>9872</v>
      </c>
      <c r="H3896" s="71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67" t="s">
        <v>1429</v>
      </c>
      <c r="B3897" s="66">
        <f t="shared" si="7905"/>
        <v>13</v>
      </c>
      <c r="C3897" s="66">
        <f t="shared" si="7908"/>
        <v>18</v>
      </c>
      <c r="E3897" s="66">
        <f t="shared" ref="E3897" si="7985">plan_id</f>
        <v>1952</v>
      </c>
      <c r="F3897" s="66">
        <f t="shared" ca="1" si="7871"/>
        <v>2011</v>
      </c>
      <c r="G3897" s="66">
        <f t="shared" ref="G3897" ca="1" si="7986">VLOOKUP(INDIRECT(CHAR(39)&amp;$A3897&amp;CHAR(39)&amp;"!r2c"&amp;$C3897,0),variables,2,0)</f>
        <v>9887</v>
      </c>
      <c r="H3897" s="71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67" t="s">
        <v>1429</v>
      </c>
      <c r="B3898" s="66">
        <f t="shared" si="7905"/>
        <v>13</v>
      </c>
      <c r="C3898" s="66">
        <f t="shared" si="7908"/>
        <v>19</v>
      </c>
      <c r="E3898" s="66">
        <f t="shared" ref="E3898" si="7987">plan_id</f>
        <v>1952</v>
      </c>
      <c r="F3898" s="66">
        <f t="shared" ca="1" si="7871"/>
        <v>2011</v>
      </c>
      <c r="G3898" s="66">
        <f t="shared" ref="G3898" ca="1" si="7988">VLOOKUP(INDIRECT(CHAR(39)&amp;$A3898&amp;CHAR(39)&amp;"!r2c"&amp;$C3898,0),variables,2,0)</f>
        <v>9914</v>
      </c>
      <c r="H3898" s="71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67" t="s">
        <v>1429</v>
      </c>
      <c r="B3899" s="66">
        <f t="shared" si="7905"/>
        <v>13</v>
      </c>
      <c r="C3899" s="66">
        <f t="shared" si="7908"/>
        <v>20</v>
      </c>
      <c r="E3899" s="66">
        <f t="shared" ref="E3899" si="7989">plan_id</f>
        <v>1952</v>
      </c>
      <c r="F3899" s="66">
        <f t="shared" ca="1" si="7871"/>
        <v>2011</v>
      </c>
      <c r="G3899" s="66">
        <f t="shared" ref="G3899" ca="1" si="7990">VLOOKUP(INDIRECT(CHAR(39)&amp;$A3899&amp;CHAR(39)&amp;"!r2c"&amp;$C3899,0),variables,2,0)</f>
        <v>9917</v>
      </c>
      <c r="H3899" s="71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67" t="s">
        <v>1429</v>
      </c>
      <c r="B3900" s="66">
        <f t="shared" si="7905"/>
        <v>13</v>
      </c>
      <c r="C3900" s="66">
        <f t="shared" si="7908"/>
        <v>21</v>
      </c>
      <c r="E3900" s="66">
        <f t="shared" ref="E3900" si="7991">plan_id</f>
        <v>1952</v>
      </c>
      <c r="F3900" s="66">
        <f t="shared" ca="1" si="7871"/>
        <v>2011</v>
      </c>
      <c r="G3900" s="66">
        <f t="shared" ref="G3900" ca="1" si="7992">VLOOKUP(INDIRECT(CHAR(39)&amp;$A3900&amp;CHAR(39)&amp;"!r2c"&amp;$C3900,0),variables,2,0)</f>
        <v>9920</v>
      </c>
      <c r="H3900" s="71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67" t="s">
        <v>1429</v>
      </c>
      <c r="B3901" s="66">
        <f t="shared" si="7905"/>
        <v>13</v>
      </c>
      <c r="C3901" s="66">
        <f t="shared" si="7908"/>
        <v>22</v>
      </c>
      <c r="E3901" s="66">
        <f t="shared" ref="E3901" si="7993">plan_id</f>
        <v>1952</v>
      </c>
      <c r="F3901" s="66">
        <f t="shared" ca="1" si="7871"/>
        <v>2011</v>
      </c>
      <c r="G3901" s="66">
        <f t="shared" ref="G3901" ca="1" si="7994">VLOOKUP(INDIRECT(CHAR(39)&amp;$A3901&amp;CHAR(39)&amp;"!r2c"&amp;$C3901,0),variables,2,0)</f>
        <v>9648</v>
      </c>
      <c r="H3901" s="71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67" t="s">
        <v>1429</v>
      </c>
      <c r="B3902" s="66">
        <f t="shared" si="7905"/>
        <v>13</v>
      </c>
      <c r="C3902" s="66">
        <f t="shared" si="7908"/>
        <v>23</v>
      </c>
      <c r="E3902" s="66">
        <f t="shared" ref="E3902" si="7995">plan_id</f>
        <v>1952</v>
      </c>
      <c r="F3902" s="66">
        <f t="shared" ca="1" si="7871"/>
        <v>2011</v>
      </c>
      <c r="G3902" s="66">
        <f t="shared" ref="G3902" ca="1" si="7996">VLOOKUP(INDIRECT(CHAR(39)&amp;$A3902&amp;CHAR(39)&amp;"!r2c"&amp;$C3902,0),variables,2,0)</f>
        <v>9713</v>
      </c>
      <c r="H3902" s="71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67" t="s">
        <v>1429</v>
      </c>
      <c r="B3903" s="66">
        <f t="shared" si="7905"/>
        <v>13</v>
      </c>
      <c r="C3903" s="66">
        <f t="shared" si="7908"/>
        <v>24</v>
      </c>
      <c r="E3903" s="66">
        <f t="shared" ref="E3903" si="7997">plan_id</f>
        <v>1952</v>
      </c>
      <c r="F3903" s="66">
        <f t="shared" ca="1" si="7871"/>
        <v>2011</v>
      </c>
      <c r="G3903" s="66">
        <f t="shared" ref="G3903" ca="1" si="7998">VLOOKUP(INDIRECT(CHAR(39)&amp;$A3903&amp;CHAR(39)&amp;"!r2c"&amp;$C3903,0),variables,2,0)</f>
        <v>9719</v>
      </c>
      <c r="H3903" s="71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67" t="s">
        <v>1429</v>
      </c>
      <c r="B3904" s="66">
        <f t="shared" si="7905"/>
        <v>13</v>
      </c>
      <c r="C3904" s="66">
        <f t="shared" si="7908"/>
        <v>25</v>
      </c>
      <c r="E3904" s="66">
        <f t="shared" ref="E3904" si="7999">plan_id</f>
        <v>1952</v>
      </c>
      <c r="F3904" s="66">
        <f t="shared" ca="1" si="7871"/>
        <v>2011</v>
      </c>
      <c r="G3904" s="66">
        <f t="shared" ref="G3904" ca="1" si="8000">VLOOKUP(INDIRECT(CHAR(39)&amp;$A3904&amp;CHAR(39)&amp;"!r2c"&amp;$C3904,0),variables,2,0)</f>
        <v>9725</v>
      </c>
      <c r="H3904" s="71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67" t="s">
        <v>1429</v>
      </c>
      <c r="B3905" s="66">
        <f t="shared" si="7905"/>
        <v>13</v>
      </c>
      <c r="C3905" s="66">
        <f t="shared" si="7908"/>
        <v>26</v>
      </c>
      <c r="E3905" s="66">
        <f t="shared" ref="E3905" si="8001">plan_id</f>
        <v>1952</v>
      </c>
      <c r="F3905" s="66">
        <f t="shared" ref="F3905:F3968" ca="1" si="8002">INDIRECT(CHAR(39)&amp;$A3905&amp;CHAR(39)&amp;"!r"&amp;$B3905&amp;"c2",0)</f>
        <v>2011</v>
      </c>
      <c r="G3905" s="66">
        <f t="shared" ref="G3905" ca="1" si="8003">VLOOKUP(INDIRECT(CHAR(39)&amp;$A3905&amp;CHAR(39)&amp;"!r2c"&amp;$C3905,0),variables,2,0)</f>
        <v>9743</v>
      </c>
      <c r="H3905" s="71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67" t="s">
        <v>1429</v>
      </c>
      <c r="B3906" s="66">
        <f t="shared" si="7905"/>
        <v>13</v>
      </c>
      <c r="C3906" s="66">
        <f t="shared" si="7908"/>
        <v>27</v>
      </c>
      <c r="E3906" s="66">
        <f t="shared" ref="E3906" si="8004">plan_id</f>
        <v>1952</v>
      </c>
      <c r="F3906" s="66">
        <f t="shared" ca="1" si="8002"/>
        <v>2011</v>
      </c>
      <c r="G3906" s="66">
        <f t="shared" ref="G3906" ca="1" si="8005">VLOOKUP(INDIRECT(CHAR(39)&amp;$A3906&amp;CHAR(39)&amp;"!r2c"&amp;$C3906,0),variables,2,0)</f>
        <v>9746</v>
      </c>
      <c r="H3906" s="71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67" t="s">
        <v>1429</v>
      </c>
      <c r="B3907" s="66">
        <f t="shared" si="7905"/>
        <v>13</v>
      </c>
      <c r="C3907" s="66">
        <f t="shared" si="7908"/>
        <v>28</v>
      </c>
      <c r="E3907" s="66">
        <f t="shared" ref="E3907" si="8006">plan_id</f>
        <v>1952</v>
      </c>
      <c r="F3907" s="66">
        <f t="shared" ca="1" si="8002"/>
        <v>2011</v>
      </c>
      <c r="G3907" s="66">
        <f t="shared" ref="G3907" ca="1" si="8007">VLOOKUP(INDIRECT(CHAR(39)&amp;$A3907&amp;CHAR(39)&amp;"!r2c"&amp;$C3907,0),variables,2,0)</f>
        <v>9761</v>
      </c>
      <c r="H3907" s="71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67" t="s">
        <v>1429</v>
      </c>
      <c r="B3908" s="66">
        <f t="shared" si="7905"/>
        <v>13</v>
      </c>
      <c r="C3908" s="66">
        <f t="shared" si="7908"/>
        <v>29</v>
      </c>
      <c r="E3908" s="66">
        <f t="shared" ref="E3908" si="8008">plan_id</f>
        <v>1952</v>
      </c>
      <c r="F3908" s="66">
        <f t="shared" ca="1" si="8002"/>
        <v>2011</v>
      </c>
      <c r="G3908" s="66">
        <f t="shared" ref="G3908" ca="1" si="8009">VLOOKUP(INDIRECT(CHAR(39)&amp;$A3908&amp;CHAR(39)&amp;"!r2c"&amp;$C3908,0),variables,2,0)</f>
        <v>9764</v>
      </c>
      <c r="H3908" s="71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67" t="s">
        <v>1429</v>
      </c>
      <c r="B3909" s="66">
        <f t="shared" si="7905"/>
        <v>13</v>
      </c>
      <c r="C3909" s="66">
        <f t="shared" si="7908"/>
        <v>30</v>
      </c>
      <c r="E3909" s="66">
        <f t="shared" ref="E3909" si="8010">plan_id</f>
        <v>1952</v>
      </c>
      <c r="F3909" s="66">
        <f t="shared" ca="1" si="8002"/>
        <v>2011</v>
      </c>
      <c r="G3909" s="66">
        <f t="shared" ref="G3909" ca="1" si="8011">VLOOKUP(INDIRECT(CHAR(39)&amp;$A3909&amp;CHAR(39)&amp;"!r2c"&amp;$C3909,0),variables,2,0)</f>
        <v>9767</v>
      </c>
      <c r="H3909" s="71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67" t="s">
        <v>1429</v>
      </c>
      <c r="B3910" s="66">
        <f t="shared" si="7905"/>
        <v>13</v>
      </c>
      <c r="C3910" s="66">
        <f t="shared" si="7908"/>
        <v>31</v>
      </c>
      <c r="E3910" s="66">
        <f t="shared" ref="E3910" si="8012">plan_id</f>
        <v>1952</v>
      </c>
      <c r="F3910" s="66">
        <f t="shared" ca="1" si="8002"/>
        <v>2011</v>
      </c>
      <c r="G3910" s="66">
        <f t="shared" ref="G3910" ca="1" si="8013">VLOOKUP(INDIRECT(CHAR(39)&amp;$A3910&amp;CHAR(39)&amp;"!r2c"&amp;$C3910,0),variables,2,0)</f>
        <v>9770</v>
      </c>
      <c r="H3910" s="71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67" t="s">
        <v>1429</v>
      </c>
      <c r="B3911" s="66">
        <f t="shared" si="7905"/>
        <v>13</v>
      </c>
      <c r="C3911" s="66">
        <f t="shared" si="7908"/>
        <v>32</v>
      </c>
      <c r="E3911" s="66">
        <f t="shared" ref="E3911" si="8014">plan_id</f>
        <v>1952</v>
      </c>
      <c r="F3911" s="66">
        <f t="shared" ca="1" si="8002"/>
        <v>2011</v>
      </c>
      <c r="G3911" s="66">
        <f t="shared" ref="G3911" ca="1" si="8015">VLOOKUP(INDIRECT(CHAR(39)&amp;$A3911&amp;CHAR(39)&amp;"!r2c"&amp;$C3911,0),variables,2,0)</f>
        <v>9773</v>
      </c>
      <c r="H3911" s="71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67" t="s">
        <v>1429</v>
      </c>
      <c r="B3912" s="66">
        <f t="shared" si="7905"/>
        <v>13</v>
      </c>
      <c r="C3912" s="66">
        <f t="shared" si="7908"/>
        <v>33</v>
      </c>
      <c r="E3912" s="66">
        <f t="shared" ref="E3912" si="8016">plan_id</f>
        <v>1952</v>
      </c>
      <c r="F3912" s="66">
        <f t="shared" ca="1" si="8002"/>
        <v>2011</v>
      </c>
      <c r="G3912" s="66">
        <f t="shared" ref="G3912" ca="1" si="8017">VLOOKUP(INDIRECT(CHAR(39)&amp;$A3912&amp;CHAR(39)&amp;"!r2c"&amp;$C3912,0),variables,2,0)</f>
        <v>9776</v>
      </c>
      <c r="H3912" s="71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67" t="s">
        <v>1429</v>
      </c>
      <c r="B3913" s="66">
        <f t="shared" si="7905"/>
        <v>13</v>
      </c>
      <c r="C3913" s="66">
        <f t="shared" si="7908"/>
        <v>34</v>
      </c>
      <c r="E3913" s="66">
        <f t="shared" ref="E3913" si="8018">plan_id</f>
        <v>1952</v>
      </c>
      <c r="F3913" s="66">
        <f t="shared" ca="1" si="8002"/>
        <v>2011</v>
      </c>
      <c r="G3913" s="66">
        <f t="shared" ref="G3913" ca="1" si="8019">VLOOKUP(INDIRECT(CHAR(39)&amp;$A3913&amp;CHAR(39)&amp;"!r2c"&amp;$C3913,0),variables,2,0)</f>
        <v>9779</v>
      </c>
      <c r="H3913" s="71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67" t="s">
        <v>1429</v>
      </c>
      <c r="B3914" s="66">
        <f t="shared" si="7905"/>
        <v>13</v>
      </c>
      <c r="C3914" s="66">
        <f t="shared" si="7908"/>
        <v>35</v>
      </c>
      <c r="E3914" s="66">
        <f t="shared" ref="E3914" si="8020">plan_id</f>
        <v>1952</v>
      </c>
      <c r="F3914" s="66">
        <f t="shared" ca="1" si="8002"/>
        <v>2011</v>
      </c>
      <c r="G3914" s="66">
        <f t="shared" ref="G3914" ca="1" si="8021">VLOOKUP(INDIRECT(CHAR(39)&amp;$A3914&amp;CHAR(39)&amp;"!r2c"&amp;$C3914,0),variables,2,0)</f>
        <v>9785</v>
      </c>
      <c r="H3914" s="71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67" t="s">
        <v>1429</v>
      </c>
      <c r="B3915" s="66">
        <f t="shared" si="7905"/>
        <v>13</v>
      </c>
      <c r="C3915" s="66">
        <f t="shared" si="7908"/>
        <v>36</v>
      </c>
      <c r="E3915" s="66">
        <f t="shared" ref="E3915" si="8022">plan_id</f>
        <v>1952</v>
      </c>
      <c r="F3915" s="66">
        <f t="shared" ca="1" si="8002"/>
        <v>2011</v>
      </c>
      <c r="G3915" s="66">
        <f t="shared" ref="G3915" ca="1" si="8023">VLOOKUP(INDIRECT(CHAR(39)&amp;$A3915&amp;CHAR(39)&amp;"!r2c"&amp;$C3915,0),variables,2,0)</f>
        <v>9794</v>
      </c>
      <c r="H3915" s="71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67" t="s">
        <v>1429</v>
      </c>
      <c r="B3916" s="66">
        <f t="shared" si="7905"/>
        <v>13</v>
      </c>
      <c r="C3916" s="66">
        <f t="shared" si="7908"/>
        <v>37</v>
      </c>
      <c r="E3916" s="66">
        <f t="shared" ref="E3916" si="8024">plan_id</f>
        <v>1952</v>
      </c>
      <c r="F3916" s="66">
        <f t="shared" ca="1" si="8002"/>
        <v>2011</v>
      </c>
      <c r="G3916" s="66">
        <f t="shared" ref="G3916" ca="1" si="8025">VLOOKUP(INDIRECT(CHAR(39)&amp;$A3916&amp;CHAR(39)&amp;"!r2c"&amp;$C3916,0),variables,2,0)</f>
        <v>9797</v>
      </c>
      <c r="H3916" s="71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67" t="s">
        <v>1429</v>
      </c>
      <c r="B3917" s="66">
        <f t="shared" si="7905"/>
        <v>13</v>
      </c>
      <c r="C3917" s="66">
        <f t="shared" si="7908"/>
        <v>38</v>
      </c>
      <c r="E3917" s="66">
        <f t="shared" ref="E3917" si="8026">plan_id</f>
        <v>1952</v>
      </c>
      <c r="F3917" s="66">
        <f t="shared" ca="1" si="8002"/>
        <v>2011</v>
      </c>
      <c r="G3917" s="66">
        <f t="shared" ref="G3917" ca="1" si="8027">VLOOKUP(INDIRECT(CHAR(39)&amp;$A3917&amp;CHAR(39)&amp;"!r2c"&amp;$C3917,0),variables,2,0)</f>
        <v>9806</v>
      </c>
      <c r="H3917" s="71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67" t="s">
        <v>1429</v>
      </c>
      <c r="B3918" s="66">
        <f t="shared" si="7905"/>
        <v>13</v>
      </c>
      <c r="C3918" s="66">
        <f t="shared" si="7908"/>
        <v>39</v>
      </c>
      <c r="E3918" s="66">
        <f t="shared" ref="E3918" si="8028">plan_id</f>
        <v>1952</v>
      </c>
      <c r="F3918" s="66">
        <f t="shared" ca="1" si="8002"/>
        <v>2011</v>
      </c>
      <c r="G3918" s="66">
        <f t="shared" ref="G3918" ca="1" si="8029">VLOOKUP(INDIRECT(CHAR(39)&amp;$A3918&amp;CHAR(39)&amp;"!r2c"&amp;$C3918,0),variables,2,0)</f>
        <v>9809</v>
      </c>
      <c r="H3918" s="71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67" t="s">
        <v>1429</v>
      </c>
      <c r="B3919" s="66">
        <f t="shared" si="7905"/>
        <v>13</v>
      </c>
      <c r="C3919" s="66">
        <f t="shared" si="7908"/>
        <v>40</v>
      </c>
      <c r="E3919" s="66">
        <f t="shared" ref="E3919" si="8030">plan_id</f>
        <v>1952</v>
      </c>
      <c r="F3919" s="66">
        <f t="shared" ca="1" si="8002"/>
        <v>2011</v>
      </c>
      <c r="G3919" s="66">
        <f t="shared" ref="G3919" ca="1" si="8031">VLOOKUP(INDIRECT(CHAR(39)&amp;$A3919&amp;CHAR(39)&amp;"!r2c"&amp;$C3919,0),variables,2,0)</f>
        <v>9818</v>
      </c>
      <c r="H3919" s="71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67" t="s">
        <v>1429</v>
      </c>
      <c r="B3920" s="66">
        <f t="shared" si="7905"/>
        <v>13</v>
      </c>
      <c r="C3920" s="66">
        <f t="shared" si="7908"/>
        <v>41</v>
      </c>
      <c r="E3920" s="66">
        <f t="shared" ref="E3920" si="8032">plan_id</f>
        <v>1952</v>
      </c>
      <c r="F3920" s="66">
        <f t="shared" ca="1" si="8002"/>
        <v>2011</v>
      </c>
      <c r="G3920" s="66">
        <f t="shared" ref="G3920" ca="1" si="8033">VLOOKUP(INDIRECT(CHAR(39)&amp;$A3920&amp;CHAR(39)&amp;"!r2c"&amp;$C3920,0),variables,2,0)</f>
        <v>9839</v>
      </c>
      <c r="H3920" s="71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67" t="s">
        <v>1429</v>
      </c>
      <c r="B3921" s="66">
        <f t="shared" si="7905"/>
        <v>13</v>
      </c>
      <c r="C3921" s="66">
        <f t="shared" si="7908"/>
        <v>42</v>
      </c>
      <c r="E3921" s="66">
        <f t="shared" ref="E3921" si="8034">plan_id</f>
        <v>1952</v>
      </c>
      <c r="F3921" s="66">
        <f t="shared" ca="1" si="8002"/>
        <v>2011</v>
      </c>
      <c r="G3921" s="66">
        <f t="shared" ref="G3921" ca="1" si="8035">VLOOKUP(INDIRECT(CHAR(39)&amp;$A3921&amp;CHAR(39)&amp;"!r2c"&amp;$C3921,0),variables,2,0)</f>
        <v>9860</v>
      </c>
      <c r="H3921" s="71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67" t="s">
        <v>1429</v>
      </c>
      <c r="B3922" s="66">
        <f t="shared" ref="B3922:B3985" si="8036">B3834+1</f>
        <v>13</v>
      </c>
      <c r="C3922" s="66">
        <f t="shared" si="7908"/>
        <v>43</v>
      </c>
      <c r="E3922" s="66">
        <f t="shared" ref="E3922" si="8037">plan_id</f>
        <v>1952</v>
      </c>
      <c r="F3922" s="66">
        <f t="shared" ca="1" si="8002"/>
        <v>2011</v>
      </c>
      <c r="G3922" s="66">
        <f t="shared" ref="G3922" ca="1" si="8038">VLOOKUP(INDIRECT(CHAR(39)&amp;$A3922&amp;CHAR(39)&amp;"!r2c"&amp;$C3922,0),variables,2,0)</f>
        <v>9863</v>
      </c>
      <c r="H3922" s="71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67" t="s">
        <v>1429</v>
      </c>
      <c r="B3923" s="66">
        <f t="shared" si="8036"/>
        <v>13</v>
      </c>
      <c r="C3923" s="66">
        <f t="shared" ref="C3923:C3986" si="8039">C3835</f>
        <v>44</v>
      </c>
      <c r="E3923" s="66">
        <f t="shared" ref="E3923" si="8040">plan_id</f>
        <v>1952</v>
      </c>
      <c r="F3923" s="66">
        <f t="shared" ca="1" si="8002"/>
        <v>2011</v>
      </c>
      <c r="G3923" s="66">
        <f t="shared" ref="G3923" ca="1" si="8041">VLOOKUP(INDIRECT(CHAR(39)&amp;$A3923&amp;CHAR(39)&amp;"!r2c"&amp;$C3923,0),variables,2,0)</f>
        <v>9878</v>
      </c>
      <c r="H3923" s="71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67" t="s">
        <v>1429</v>
      </c>
      <c r="B3924" s="66">
        <f t="shared" si="8036"/>
        <v>13</v>
      </c>
      <c r="C3924" s="66">
        <f t="shared" si="8039"/>
        <v>45</v>
      </c>
      <c r="E3924" s="66">
        <f t="shared" ref="E3924" si="8042">plan_id</f>
        <v>1952</v>
      </c>
      <c r="F3924" s="66">
        <f t="shared" ca="1" si="8002"/>
        <v>2011</v>
      </c>
      <c r="G3924" s="66">
        <f t="shared" ref="G3924" ca="1" si="8043">VLOOKUP(INDIRECT(CHAR(39)&amp;$A3924&amp;CHAR(39)&amp;"!r2c"&amp;$C3924,0),variables,2,0)</f>
        <v>9923</v>
      </c>
      <c r="H3924" s="71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67" t="s">
        <v>1429</v>
      </c>
      <c r="B3925" s="66">
        <f t="shared" si="8036"/>
        <v>13</v>
      </c>
      <c r="C3925" s="66">
        <f t="shared" si="8039"/>
        <v>46</v>
      </c>
      <c r="E3925" s="66">
        <f t="shared" ref="E3925" si="8044">plan_id</f>
        <v>1952</v>
      </c>
      <c r="F3925" s="66">
        <f t="shared" ca="1" si="8002"/>
        <v>2011</v>
      </c>
      <c r="G3925" s="66">
        <f t="shared" ref="G3925" ca="1" si="8045">VLOOKUP(INDIRECT(CHAR(39)&amp;$A3925&amp;CHAR(39)&amp;"!r2c"&amp;$C3925,0),variables,2,0)</f>
        <v>9932</v>
      </c>
      <c r="H3925" s="71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67" t="s">
        <v>1429</v>
      </c>
      <c r="B3926" s="66">
        <f t="shared" si="8036"/>
        <v>13</v>
      </c>
      <c r="C3926" s="66">
        <f t="shared" si="8039"/>
        <v>47</v>
      </c>
      <c r="E3926" s="66">
        <f t="shared" ref="E3926" si="8046">plan_id</f>
        <v>1952</v>
      </c>
      <c r="F3926" s="66">
        <f t="shared" ca="1" si="8002"/>
        <v>2011</v>
      </c>
      <c r="G3926" s="66">
        <f t="shared" ref="G3926" ca="1" si="8047">VLOOKUP(INDIRECT(CHAR(39)&amp;$A3926&amp;CHAR(39)&amp;"!r2c"&amp;$C3926,0),variables,2,0)</f>
        <v>9935</v>
      </c>
      <c r="H3926" s="71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67" t="s">
        <v>1429</v>
      </c>
      <c r="B3927" s="66">
        <f t="shared" si="8036"/>
        <v>13</v>
      </c>
      <c r="C3927" s="66">
        <f t="shared" si="8039"/>
        <v>48</v>
      </c>
      <c r="E3927" s="66">
        <f t="shared" ref="E3927" si="8048">plan_id</f>
        <v>1952</v>
      </c>
      <c r="F3927" s="66">
        <f t="shared" ca="1" si="8002"/>
        <v>2011</v>
      </c>
      <c r="G3927" s="66">
        <f t="shared" ref="G3927" ca="1" si="8049">VLOOKUP(INDIRECT(CHAR(39)&amp;$A3927&amp;CHAR(39)&amp;"!r2c"&amp;$C3927,0),variables,2,0)</f>
        <v>9651</v>
      </c>
      <c r="H3927" s="71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67" t="s">
        <v>1429</v>
      </c>
      <c r="B3928" s="66">
        <f t="shared" si="8036"/>
        <v>13</v>
      </c>
      <c r="C3928" s="66">
        <f t="shared" si="8039"/>
        <v>49</v>
      </c>
      <c r="E3928" s="66">
        <f t="shared" ref="E3928" si="8050">plan_id</f>
        <v>1952</v>
      </c>
      <c r="F3928" s="66">
        <f t="shared" ca="1" si="8002"/>
        <v>2011</v>
      </c>
      <c r="G3928" s="66">
        <f t="shared" ref="G3928" ca="1" si="8051">VLOOKUP(INDIRECT(CHAR(39)&amp;$A3928&amp;CHAR(39)&amp;"!r2c"&amp;$C3928,0),variables,2,0)</f>
        <v>9722</v>
      </c>
      <c r="H3928" s="71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67" t="s">
        <v>1429</v>
      </c>
      <c r="B3929" s="66">
        <f t="shared" si="8036"/>
        <v>13</v>
      </c>
      <c r="C3929" s="66">
        <f t="shared" si="8039"/>
        <v>50</v>
      </c>
      <c r="E3929" s="66">
        <f t="shared" ref="E3929" si="8052">plan_id</f>
        <v>1952</v>
      </c>
      <c r="F3929" s="66">
        <f t="shared" ca="1" si="8002"/>
        <v>2011</v>
      </c>
      <c r="G3929" s="66">
        <f t="shared" ref="G3929" ca="1" si="8053">VLOOKUP(INDIRECT(CHAR(39)&amp;$A3929&amp;CHAR(39)&amp;"!r2c"&amp;$C3929,0),variables,2,0)</f>
        <v>9848</v>
      </c>
      <c r="H3929" s="71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67" t="s">
        <v>1429</v>
      </c>
      <c r="B3930" s="66">
        <f t="shared" si="8036"/>
        <v>13</v>
      </c>
      <c r="C3930" s="66">
        <f t="shared" si="8039"/>
        <v>51</v>
      </c>
      <c r="E3930" s="66">
        <f t="shared" ref="E3930" si="8054">plan_id</f>
        <v>1952</v>
      </c>
      <c r="F3930" s="66">
        <f t="shared" ca="1" si="8002"/>
        <v>2011</v>
      </c>
      <c r="G3930" s="66">
        <f t="shared" ref="G3930" ca="1" si="8055">VLOOKUP(INDIRECT(CHAR(39)&amp;$A3930&amp;CHAR(39)&amp;"!r2c"&amp;$C3930,0),variables,2,0)</f>
        <v>9866</v>
      </c>
      <c r="H3930" s="71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67" t="s">
        <v>1429</v>
      </c>
      <c r="B3931" s="66">
        <f t="shared" si="8036"/>
        <v>13</v>
      </c>
      <c r="C3931" s="66">
        <f t="shared" si="8039"/>
        <v>52</v>
      </c>
      <c r="E3931" s="66">
        <f t="shared" ref="E3931" si="8056">plan_id</f>
        <v>1952</v>
      </c>
      <c r="F3931" s="66">
        <f t="shared" ca="1" si="8002"/>
        <v>2011</v>
      </c>
      <c r="G3931" s="66">
        <f t="shared" ref="G3931" ca="1" si="8057">VLOOKUP(INDIRECT(CHAR(39)&amp;$A3931&amp;CHAR(39)&amp;"!r2c"&amp;$C3931,0),variables,2,0)</f>
        <v>9899</v>
      </c>
      <c r="H3931" s="71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67" t="s">
        <v>1429</v>
      </c>
      <c r="B3932" s="66">
        <f t="shared" si="8036"/>
        <v>13</v>
      </c>
      <c r="C3932" s="66">
        <f t="shared" si="8039"/>
        <v>53</v>
      </c>
      <c r="E3932" s="66">
        <f t="shared" ref="E3932" si="8058">plan_id</f>
        <v>1952</v>
      </c>
      <c r="F3932" s="66">
        <f t="shared" ca="1" si="8002"/>
        <v>2011</v>
      </c>
      <c r="G3932" s="66">
        <f t="shared" ref="G3932" ca="1" si="8059">VLOOKUP(INDIRECT(CHAR(39)&amp;$A3932&amp;CHAR(39)&amp;"!r2c"&amp;$C3932,0),variables,2,0)</f>
        <v>9905</v>
      </c>
      <c r="H3932" s="71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67" t="s">
        <v>1429</v>
      </c>
      <c r="B3933" s="66">
        <f t="shared" si="8036"/>
        <v>13</v>
      </c>
      <c r="C3933" s="66">
        <f t="shared" si="8039"/>
        <v>54</v>
      </c>
      <c r="E3933" s="66">
        <f t="shared" ref="E3933" si="8060">plan_id</f>
        <v>1952</v>
      </c>
      <c r="F3933" s="66">
        <f t="shared" ca="1" si="8002"/>
        <v>2011</v>
      </c>
      <c r="G3933" s="66">
        <f t="shared" ref="G3933" ca="1" si="8061">VLOOKUP(INDIRECT(CHAR(39)&amp;$A3933&amp;CHAR(39)&amp;"!r2c"&amp;$C3933,0),variables,2,0)</f>
        <v>9929</v>
      </c>
      <c r="H3933" s="71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67" t="s">
        <v>1429</v>
      </c>
      <c r="B3934" s="66">
        <f t="shared" si="8036"/>
        <v>13</v>
      </c>
      <c r="C3934" s="66">
        <f t="shared" si="8039"/>
        <v>55</v>
      </c>
      <c r="E3934" s="66">
        <f t="shared" ref="E3934" si="8062">plan_id</f>
        <v>1952</v>
      </c>
      <c r="F3934" s="66">
        <f t="shared" ca="1" si="8002"/>
        <v>2011</v>
      </c>
      <c r="G3934" s="66">
        <f t="shared" ref="G3934" ca="1" si="8063">VLOOKUP(INDIRECT(CHAR(39)&amp;$A3934&amp;CHAR(39)&amp;"!r2c"&amp;$C3934,0),variables,2,0)</f>
        <v>9654</v>
      </c>
      <c r="H3934" s="71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67" t="s">
        <v>1429</v>
      </c>
      <c r="B3935" s="66">
        <f t="shared" si="8036"/>
        <v>13</v>
      </c>
      <c r="C3935" s="66">
        <f t="shared" si="8039"/>
        <v>56</v>
      </c>
      <c r="E3935" s="66">
        <f t="shared" ref="E3935" si="8064">plan_id</f>
        <v>1952</v>
      </c>
      <c r="F3935" s="66">
        <f t="shared" ca="1" si="8002"/>
        <v>2011</v>
      </c>
      <c r="G3935" s="66">
        <f t="shared" ref="G3935" ca="1" si="8065">VLOOKUP(INDIRECT(CHAR(39)&amp;$A3935&amp;CHAR(39)&amp;"!r2c"&amp;$C3935,0),variables,2,0)</f>
        <v>9707</v>
      </c>
      <c r="H3935" s="71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67" t="s">
        <v>1429</v>
      </c>
      <c r="B3936" s="66">
        <f t="shared" si="8036"/>
        <v>13</v>
      </c>
      <c r="C3936" s="66">
        <f t="shared" si="8039"/>
        <v>57</v>
      </c>
      <c r="E3936" s="66">
        <f t="shared" ref="E3936" si="8066">plan_id</f>
        <v>1952</v>
      </c>
      <c r="F3936" s="66">
        <f t="shared" ca="1" si="8002"/>
        <v>2011</v>
      </c>
      <c r="G3936" s="66">
        <f t="shared" ref="G3936" ca="1" si="8067">VLOOKUP(INDIRECT(CHAR(39)&amp;$A3936&amp;CHAR(39)&amp;"!r2c"&amp;$C3936,0),variables,2,0)</f>
        <v>9669</v>
      </c>
      <c r="H3936" s="71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67" t="s">
        <v>1429</v>
      </c>
      <c r="B3937" s="66">
        <f t="shared" si="8036"/>
        <v>13</v>
      </c>
      <c r="C3937" s="66">
        <f t="shared" si="8039"/>
        <v>58</v>
      </c>
      <c r="E3937" s="66">
        <f t="shared" ref="E3937" si="8068">plan_id</f>
        <v>1952</v>
      </c>
      <c r="F3937" s="66">
        <f t="shared" ca="1" si="8002"/>
        <v>2011</v>
      </c>
      <c r="G3937" s="66">
        <f t="shared" ref="G3937" ca="1" si="8069">VLOOKUP(INDIRECT(CHAR(39)&amp;$A3937&amp;CHAR(39)&amp;"!r2c"&amp;$C3937,0),variables,2,0)</f>
        <v>9851</v>
      </c>
      <c r="H3937" s="71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67" t="s">
        <v>1429</v>
      </c>
      <c r="B3938" s="66">
        <f t="shared" si="8036"/>
        <v>13</v>
      </c>
      <c r="C3938" s="66">
        <f t="shared" si="8039"/>
        <v>59</v>
      </c>
      <c r="E3938" s="66">
        <f t="shared" ref="E3938" si="8070">plan_id</f>
        <v>1952</v>
      </c>
      <c r="F3938" s="66">
        <f t="shared" ca="1" si="8002"/>
        <v>2011</v>
      </c>
      <c r="G3938" s="66">
        <f t="shared" ref="G3938" ca="1" si="8071">VLOOKUP(INDIRECT(CHAR(39)&amp;$A3938&amp;CHAR(39)&amp;"!r2c"&amp;$C3938,0),variables,2,0)</f>
        <v>9890</v>
      </c>
      <c r="H3938" s="71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67" t="s">
        <v>1429</v>
      </c>
      <c r="B3939" s="66">
        <f t="shared" si="8036"/>
        <v>13</v>
      </c>
      <c r="C3939" s="66">
        <f t="shared" si="8039"/>
        <v>60</v>
      </c>
      <c r="E3939" s="66">
        <f t="shared" ref="E3939" si="8072">plan_id</f>
        <v>1952</v>
      </c>
      <c r="F3939" s="66">
        <f t="shared" ca="1" si="8002"/>
        <v>2011</v>
      </c>
      <c r="G3939" s="66">
        <f t="shared" ref="G3939" ca="1" si="8073">VLOOKUP(INDIRECT(CHAR(39)&amp;$A3939&amp;CHAR(39)&amp;"!r2c"&amp;$C3939,0),variables,2,0)</f>
        <v>9893</v>
      </c>
      <c r="H3939" s="71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67" t="s">
        <v>1429</v>
      </c>
      <c r="B3940" s="66">
        <f t="shared" si="8036"/>
        <v>13</v>
      </c>
      <c r="C3940" s="66">
        <f t="shared" si="8039"/>
        <v>61</v>
      </c>
      <c r="E3940" s="66">
        <f t="shared" ref="E3940" si="8074">plan_id</f>
        <v>1952</v>
      </c>
      <c r="F3940" s="66">
        <f t="shared" ca="1" si="8002"/>
        <v>2011</v>
      </c>
      <c r="G3940" s="66">
        <f t="shared" ref="G3940" ca="1" si="8075">VLOOKUP(INDIRECT(CHAR(39)&amp;$A3940&amp;CHAR(39)&amp;"!r2c"&amp;$C3940,0),variables,2,0)</f>
        <v>9896</v>
      </c>
      <c r="H3940" s="71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67" t="s">
        <v>1429</v>
      </c>
      <c r="B3941" s="66">
        <f t="shared" si="8036"/>
        <v>13</v>
      </c>
      <c r="C3941" s="66">
        <f t="shared" si="8039"/>
        <v>62</v>
      </c>
      <c r="E3941" s="66">
        <f t="shared" ref="E3941" si="8076">plan_id</f>
        <v>1952</v>
      </c>
      <c r="F3941" s="66">
        <f t="shared" ca="1" si="8002"/>
        <v>2011</v>
      </c>
      <c r="G3941" s="66">
        <f t="shared" ref="G3941" ca="1" si="8077">VLOOKUP(INDIRECT(CHAR(39)&amp;$A3941&amp;CHAR(39)&amp;"!r2c"&amp;$C3941,0),variables,2,0)</f>
        <v>9660</v>
      </c>
      <c r="H3941" s="71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67" t="s">
        <v>1429</v>
      </c>
      <c r="B3942" s="66">
        <f t="shared" si="8036"/>
        <v>13</v>
      </c>
      <c r="C3942" s="66">
        <f t="shared" si="8039"/>
        <v>63</v>
      </c>
      <c r="E3942" s="66">
        <f t="shared" ref="E3942" si="8078">plan_id</f>
        <v>1952</v>
      </c>
      <c r="F3942" s="66">
        <f t="shared" ca="1" si="8002"/>
        <v>2011</v>
      </c>
      <c r="G3942" s="66">
        <f t="shared" ref="G3942" ca="1" si="8079">VLOOKUP(INDIRECT(CHAR(39)&amp;$A3942&amp;CHAR(39)&amp;"!r2c"&amp;$C3942,0),variables,2,0)</f>
        <v>9701</v>
      </c>
      <c r="H3942" s="71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67" t="s">
        <v>1429</v>
      </c>
      <c r="B3943" s="66">
        <f t="shared" si="8036"/>
        <v>13</v>
      </c>
      <c r="C3943" s="66">
        <f t="shared" si="8039"/>
        <v>64</v>
      </c>
      <c r="E3943" s="66">
        <f t="shared" ref="E3943" si="8080">plan_id</f>
        <v>1952</v>
      </c>
      <c r="F3943" s="66">
        <f t="shared" ca="1" si="8002"/>
        <v>2011</v>
      </c>
      <c r="G3943" s="66">
        <f t="shared" ref="G3943" ca="1" si="8081">VLOOKUP(INDIRECT(CHAR(39)&amp;$A3943&amp;CHAR(39)&amp;"!r2c"&amp;$C3943,0),variables,2,0)</f>
        <v>9728</v>
      </c>
      <c r="H3943" s="71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67" t="s">
        <v>1429</v>
      </c>
      <c r="B3944" s="66">
        <f t="shared" si="8036"/>
        <v>13</v>
      </c>
      <c r="C3944" s="66">
        <f t="shared" si="8039"/>
        <v>65</v>
      </c>
      <c r="E3944" s="66">
        <f t="shared" ref="E3944" si="8082">plan_id</f>
        <v>1952</v>
      </c>
      <c r="F3944" s="66">
        <f t="shared" ca="1" si="8002"/>
        <v>2011</v>
      </c>
      <c r="G3944" s="66">
        <f t="shared" ref="G3944" ca="1" si="8083">VLOOKUP(INDIRECT(CHAR(39)&amp;$A3944&amp;CHAR(39)&amp;"!r2c"&amp;$C3944,0),variables,2,0)</f>
        <v>9731</v>
      </c>
      <c r="H3944" s="71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67" t="s">
        <v>1429</v>
      </c>
      <c r="B3945" s="66">
        <f t="shared" si="8036"/>
        <v>13</v>
      </c>
      <c r="C3945" s="66">
        <f t="shared" si="8039"/>
        <v>66</v>
      </c>
      <c r="E3945" s="66">
        <f t="shared" ref="E3945" si="8084">plan_id</f>
        <v>1952</v>
      </c>
      <c r="F3945" s="66">
        <f t="shared" ca="1" si="8002"/>
        <v>2011</v>
      </c>
      <c r="G3945" s="66">
        <f t="shared" ref="G3945" ca="1" si="8085">VLOOKUP(INDIRECT(CHAR(39)&amp;$A3945&amp;CHAR(39)&amp;"!r2c"&amp;$C3945,0),variables,2,0)</f>
        <v>9737</v>
      </c>
      <c r="H3945" s="71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67" t="s">
        <v>1429</v>
      </c>
      <c r="B3946" s="66">
        <f t="shared" si="8036"/>
        <v>13</v>
      </c>
      <c r="C3946" s="66">
        <f t="shared" si="8039"/>
        <v>67</v>
      </c>
      <c r="E3946" s="66">
        <f t="shared" ref="E3946" si="8086">plan_id</f>
        <v>1952</v>
      </c>
      <c r="F3946" s="66">
        <f t="shared" ca="1" si="8002"/>
        <v>2011</v>
      </c>
      <c r="G3946" s="66">
        <f t="shared" ref="G3946" ca="1" si="8087">VLOOKUP(INDIRECT(CHAR(39)&amp;$A3946&amp;CHAR(39)&amp;"!r2c"&amp;$C3946,0),variables,2,0)</f>
        <v>9740</v>
      </c>
      <c r="H3946" s="71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67" t="s">
        <v>1429</v>
      </c>
      <c r="B3947" s="66">
        <f t="shared" si="8036"/>
        <v>13</v>
      </c>
      <c r="C3947" s="66">
        <f t="shared" si="8039"/>
        <v>68</v>
      </c>
      <c r="E3947" s="66">
        <f t="shared" ref="E3947" si="8088">plan_id</f>
        <v>1952</v>
      </c>
      <c r="F3947" s="66">
        <f t="shared" ca="1" si="8002"/>
        <v>2011</v>
      </c>
      <c r="G3947" s="66">
        <f t="shared" ref="G3947" ca="1" si="8089">VLOOKUP(INDIRECT(CHAR(39)&amp;$A3947&amp;CHAR(39)&amp;"!r2c"&amp;$C3947,0),variables,2,0)</f>
        <v>9752</v>
      </c>
      <c r="H3947" s="71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67" t="s">
        <v>1429</v>
      </c>
      <c r="B3948" s="66">
        <f t="shared" si="8036"/>
        <v>13</v>
      </c>
      <c r="C3948" s="66">
        <f t="shared" si="8039"/>
        <v>69</v>
      </c>
      <c r="E3948" s="66">
        <f t="shared" ref="E3948" si="8090">plan_id</f>
        <v>1952</v>
      </c>
      <c r="F3948" s="66">
        <f t="shared" ca="1" si="8002"/>
        <v>2011</v>
      </c>
      <c r="G3948" s="66">
        <f t="shared" ref="G3948" ca="1" si="8091">VLOOKUP(INDIRECT(CHAR(39)&amp;$A3948&amp;CHAR(39)&amp;"!r2c"&amp;$C3948,0),variables,2,0)</f>
        <v>9791</v>
      </c>
      <c r="H3948" s="71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67" t="s">
        <v>1429</v>
      </c>
      <c r="B3949" s="66">
        <f t="shared" si="8036"/>
        <v>13</v>
      </c>
      <c r="C3949" s="66">
        <f t="shared" si="8039"/>
        <v>70</v>
      </c>
      <c r="E3949" s="66">
        <f t="shared" ref="E3949" si="8092">plan_id</f>
        <v>1952</v>
      </c>
      <c r="F3949" s="66">
        <f t="shared" ca="1" si="8002"/>
        <v>2011</v>
      </c>
      <c r="G3949" s="66">
        <f t="shared" ref="G3949" ca="1" si="8093">VLOOKUP(INDIRECT(CHAR(39)&amp;$A3949&amp;CHAR(39)&amp;"!r2c"&amp;$C3949,0),variables,2,0)</f>
        <v>9800</v>
      </c>
      <c r="H3949" s="71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67" t="s">
        <v>1429</v>
      </c>
      <c r="B3950" s="66">
        <f t="shared" si="8036"/>
        <v>13</v>
      </c>
      <c r="C3950" s="66">
        <f t="shared" si="8039"/>
        <v>71</v>
      </c>
      <c r="E3950" s="66">
        <f t="shared" ref="E3950" si="8094">plan_id</f>
        <v>1952</v>
      </c>
      <c r="F3950" s="66">
        <f t="shared" ca="1" si="8002"/>
        <v>2011</v>
      </c>
      <c r="G3950" s="66">
        <f t="shared" ref="G3950" ca="1" si="8095">VLOOKUP(INDIRECT(CHAR(39)&amp;$A3950&amp;CHAR(39)&amp;"!r2c"&amp;$C3950,0),variables,2,0)</f>
        <v>9842</v>
      </c>
      <c r="H3950" s="71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67" t="s">
        <v>1429</v>
      </c>
      <c r="B3951" s="66">
        <f t="shared" si="8036"/>
        <v>13</v>
      </c>
      <c r="C3951" s="66">
        <f t="shared" si="8039"/>
        <v>72</v>
      </c>
      <c r="E3951" s="66">
        <f t="shared" ref="E3951" si="8096">plan_id</f>
        <v>1952</v>
      </c>
      <c r="F3951" s="66">
        <f t="shared" ca="1" si="8002"/>
        <v>2011</v>
      </c>
      <c r="G3951" s="66">
        <f t="shared" ref="G3951" ca="1" si="8097">VLOOKUP(INDIRECT(CHAR(39)&amp;$A3951&amp;CHAR(39)&amp;"!r2c"&amp;$C3951,0),variables,2,0)</f>
        <v>9854</v>
      </c>
      <c r="H3951" s="71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67" t="s">
        <v>1429</v>
      </c>
      <c r="B3952" s="66">
        <f t="shared" si="8036"/>
        <v>13</v>
      </c>
      <c r="C3952" s="66">
        <f t="shared" si="8039"/>
        <v>73</v>
      </c>
      <c r="E3952" s="66">
        <f t="shared" ref="E3952" si="8098">plan_id</f>
        <v>1952</v>
      </c>
      <c r="F3952" s="66">
        <f t="shared" ca="1" si="8002"/>
        <v>2011</v>
      </c>
      <c r="G3952" s="66">
        <f t="shared" ref="G3952" ca="1" si="8099">VLOOKUP(INDIRECT(CHAR(39)&amp;$A3952&amp;CHAR(39)&amp;"!r2c"&amp;$C3952,0),variables,2,0)</f>
        <v>9869</v>
      </c>
      <c r="H3952" s="71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67" t="s">
        <v>1429</v>
      </c>
      <c r="B3953" s="66">
        <f t="shared" si="8036"/>
        <v>13</v>
      </c>
      <c r="C3953" s="66">
        <f t="shared" si="8039"/>
        <v>74</v>
      </c>
      <c r="E3953" s="66">
        <f t="shared" ref="E3953" si="8100">plan_id</f>
        <v>1952</v>
      </c>
      <c r="F3953" s="66">
        <f t="shared" ca="1" si="8002"/>
        <v>2011</v>
      </c>
      <c r="G3953" s="66">
        <f t="shared" ref="G3953" ca="1" si="8101">VLOOKUP(INDIRECT(CHAR(39)&amp;$A3953&amp;CHAR(39)&amp;"!r2c"&amp;$C3953,0),variables,2,0)</f>
        <v>9873</v>
      </c>
      <c r="H3953" s="71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67" t="s">
        <v>1429</v>
      </c>
      <c r="B3954" s="66">
        <f t="shared" si="8036"/>
        <v>13</v>
      </c>
      <c r="C3954" s="66">
        <f t="shared" si="8039"/>
        <v>75</v>
      </c>
      <c r="E3954" s="66">
        <f t="shared" ref="E3954" si="8102">plan_id</f>
        <v>1952</v>
      </c>
      <c r="F3954" s="66">
        <f t="shared" ca="1" si="8002"/>
        <v>2011</v>
      </c>
      <c r="G3954" s="66">
        <f t="shared" ref="G3954" ca="1" si="8103">VLOOKUP(INDIRECT(CHAR(39)&amp;$A3954&amp;CHAR(39)&amp;"!r2c"&amp;$C3954,0),variables,2,0)</f>
        <v>9881</v>
      </c>
      <c r="H3954" s="71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67" t="s">
        <v>1429</v>
      </c>
      <c r="B3955" s="66">
        <f t="shared" si="8036"/>
        <v>13</v>
      </c>
      <c r="C3955" s="66">
        <f t="shared" si="8039"/>
        <v>76</v>
      </c>
      <c r="E3955" s="66">
        <f t="shared" ref="E3955" si="8104">plan_id</f>
        <v>1952</v>
      </c>
      <c r="F3955" s="66">
        <f t="shared" ca="1" si="8002"/>
        <v>2011</v>
      </c>
      <c r="G3955" s="66">
        <f t="shared" ref="G3955" ca="1" si="8105">VLOOKUP(INDIRECT(CHAR(39)&amp;$A3955&amp;CHAR(39)&amp;"!r2c"&amp;$C3955,0),variables,2,0)</f>
        <v>9908</v>
      </c>
      <c r="H3955" s="71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67" t="s">
        <v>1429</v>
      </c>
      <c r="B3956" s="66">
        <f t="shared" si="8036"/>
        <v>13</v>
      </c>
      <c r="C3956" s="66">
        <f t="shared" si="8039"/>
        <v>77</v>
      </c>
      <c r="E3956" s="66">
        <f t="shared" ref="E3956" si="8106">plan_id</f>
        <v>1952</v>
      </c>
      <c r="F3956" s="66">
        <f t="shared" ca="1" si="8002"/>
        <v>2011</v>
      </c>
      <c r="G3956" s="66">
        <f t="shared" ref="G3956" ca="1" si="8107">VLOOKUP(INDIRECT(CHAR(39)&amp;$A3956&amp;CHAR(39)&amp;"!r2c"&amp;$C3956,0),variables,2,0)</f>
        <v>9911</v>
      </c>
      <c r="H3956" s="71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67" t="s">
        <v>1429</v>
      </c>
      <c r="B3957" s="66">
        <f t="shared" si="8036"/>
        <v>13</v>
      </c>
      <c r="C3957" s="66">
        <f t="shared" si="8039"/>
        <v>78</v>
      </c>
      <c r="E3957" s="66">
        <f t="shared" ref="E3957" si="8108">plan_id</f>
        <v>1952</v>
      </c>
      <c r="F3957" s="66">
        <f t="shared" ca="1" si="8002"/>
        <v>2011</v>
      </c>
      <c r="G3957" s="66">
        <f t="shared" ref="G3957" ca="1" si="8109">VLOOKUP(INDIRECT(CHAR(39)&amp;$A3957&amp;CHAR(39)&amp;"!r2c"&amp;$C3957,0),variables,2,0)</f>
        <v>9663</v>
      </c>
      <c r="H3957" s="71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67" t="s">
        <v>1429</v>
      </c>
      <c r="B3958" s="66">
        <f t="shared" si="8036"/>
        <v>13</v>
      </c>
      <c r="C3958" s="66">
        <f t="shared" si="8039"/>
        <v>79</v>
      </c>
      <c r="E3958" s="66">
        <f t="shared" ref="E3958" si="8110">plan_id</f>
        <v>1952</v>
      </c>
      <c r="F3958" s="66">
        <f t="shared" ca="1" si="8002"/>
        <v>2011</v>
      </c>
      <c r="G3958" s="66">
        <f t="shared" ref="G3958" ca="1" si="8111">VLOOKUP(INDIRECT(CHAR(39)&amp;$A3958&amp;CHAR(39)&amp;"!r2c"&amp;$C3958,0),variables,2,0)</f>
        <v>9710</v>
      </c>
      <c r="H3958" s="71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67" t="s">
        <v>1429</v>
      </c>
      <c r="B3959" s="66">
        <f t="shared" si="8036"/>
        <v>13</v>
      </c>
      <c r="C3959" s="66">
        <f t="shared" si="8039"/>
        <v>80</v>
      </c>
      <c r="E3959" s="66">
        <f t="shared" ref="E3959" si="8112">plan_id</f>
        <v>1952</v>
      </c>
      <c r="F3959" s="66">
        <f t="shared" ca="1" si="8002"/>
        <v>2011</v>
      </c>
      <c r="G3959" s="66">
        <f t="shared" ref="G3959" ca="1" si="8113">VLOOKUP(INDIRECT(CHAR(39)&amp;$A3959&amp;CHAR(39)&amp;"!r2c"&amp;$C3959,0),variables,2,0)</f>
        <v>9758</v>
      </c>
      <c r="H3959" s="71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67" t="s">
        <v>1429</v>
      </c>
      <c r="B3960" s="66">
        <f t="shared" si="8036"/>
        <v>13</v>
      </c>
      <c r="C3960" s="66">
        <f t="shared" si="8039"/>
        <v>81</v>
      </c>
      <c r="E3960" s="66">
        <f t="shared" ref="E3960" si="8114">plan_id</f>
        <v>1952</v>
      </c>
      <c r="F3960" s="66">
        <f t="shared" ca="1" si="8002"/>
        <v>2011</v>
      </c>
      <c r="G3960" s="66">
        <f t="shared" ref="G3960" ca="1" si="8115">VLOOKUP(INDIRECT(CHAR(39)&amp;$A3960&amp;CHAR(39)&amp;"!r2c"&amp;$C3960,0),variables,2,0)</f>
        <v>9803</v>
      </c>
      <c r="H3960" s="71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67" t="s">
        <v>1429</v>
      </c>
      <c r="B3961" s="66">
        <f t="shared" si="8036"/>
        <v>13</v>
      </c>
      <c r="C3961" s="66">
        <f t="shared" si="8039"/>
        <v>82</v>
      </c>
      <c r="E3961" s="66">
        <f t="shared" ref="E3961" si="8116">plan_id</f>
        <v>1952</v>
      </c>
      <c r="F3961" s="66">
        <f t="shared" ca="1" si="8002"/>
        <v>2011</v>
      </c>
      <c r="G3961" s="66">
        <f t="shared" ref="G3961" ca="1" si="8117">VLOOKUP(INDIRECT(CHAR(39)&amp;$A3961&amp;CHAR(39)&amp;"!r2c"&amp;$C3961,0),variables,2,0)</f>
        <v>9857</v>
      </c>
      <c r="H3961" s="71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67" t="s">
        <v>1429</v>
      </c>
      <c r="B3962" s="66">
        <f t="shared" si="8036"/>
        <v>13</v>
      </c>
      <c r="C3962" s="66">
        <f t="shared" si="8039"/>
        <v>83</v>
      </c>
      <c r="E3962" s="66">
        <f t="shared" ref="E3962" si="8118">plan_id</f>
        <v>1952</v>
      </c>
      <c r="F3962" s="66">
        <f t="shared" ca="1" si="8002"/>
        <v>2011</v>
      </c>
      <c r="G3962" s="66">
        <f t="shared" ref="G3962" ca="1" si="8119">VLOOKUP(INDIRECT(CHAR(39)&amp;$A3962&amp;CHAR(39)&amp;"!r2c"&amp;$C3962,0),variables,2,0)</f>
        <v>9902</v>
      </c>
      <c r="H3962" s="71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67" t="s">
        <v>1429</v>
      </c>
      <c r="B3963" s="66">
        <f t="shared" si="8036"/>
        <v>13</v>
      </c>
      <c r="C3963" s="66">
        <f t="shared" si="8039"/>
        <v>84</v>
      </c>
      <c r="E3963" s="66">
        <f t="shared" ref="E3963" si="8120">plan_id</f>
        <v>1952</v>
      </c>
      <c r="F3963" s="66">
        <f t="shared" ca="1" si="8002"/>
        <v>2011</v>
      </c>
      <c r="G3963" s="66">
        <f t="shared" ref="G3963" ca="1" si="8121">VLOOKUP(INDIRECT(CHAR(39)&amp;$A3963&amp;CHAR(39)&amp;"!r2c"&amp;$C3963,0),variables,2,0)</f>
        <v>9926</v>
      </c>
      <c r="H3963" s="71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67" t="s">
        <v>1429</v>
      </c>
      <c r="B3964" s="66">
        <f t="shared" si="8036"/>
        <v>13</v>
      </c>
      <c r="C3964" s="66">
        <f t="shared" si="8039"/>
        <v>85</v>
      </c>
      <c r="E3964" s="66">
        <f t="shared" ref="E3964" si="8122">plan_id</f>
        <v>1952</v>
      </c>
      <c r="F3964" s="66">
        <f t="shared" ca="1" si="8002"/>
        <v>2011</v>
      </c>
      <c r="G3964" s="66">
        <f t="shared" ref="G3964" ca="1" si="8123">VLOOKUP(INDIRECT(CHAR(39)&amp;$A3964&amp;CHAR(39)&amp;"!r2c"&amp;$C3964,0),variables,2,0)</f>
        <v>9666</v>
      </c>
      <c r="H3964" s="71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67" t="s">
        <v>1429</v>
      </c>
      <c r="B3965" s="66">
        <f t="shared" si="8036"/>
        <v>13</v>
      </c>
      <c r="C3965" s="66">
        <f t="shared" si="8039"/>
        <v>86</v>
      </c>
      <c r="E3965" s="66">
        <f t="shared" ref="E3965" si="8124">plan_id</f>
        <v>1952</v>
      </c>
      <c r="F3965" s="66">
        <f t="shared" ca="1" si="8002"/>
        <v>2011</v>
      </c>
      <c r="G3965" s="66">
        <f t="shared" ref="G3965" ca="1" si="8125">VLOOKUP(INDIRECT(CHAR(39)&amp;$A3965&amp;CHAR(39)&amp;"!r2c"&amp;$C3965,0),variables,2,0)</f>
        <v>9827</v>
      </c>
      <c r="H3965" s="71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67" t="s">
        <v>1429</v>
      </c>
      <c r="B3966" s="66">
        <f t="shared" si="8036"/>
        <v>13</v>
      </c>
      <c r="C3966" s="66">
        <f t="shared" si="8039"/>
        <v>87</v>
      </c>
      <c r="E3966" s="66">
        <f t="shared" ref="E3966" si="8126">plan_id</f>
        <v>1952</v>
      </c>
      <c r="F3966" s="66">
        <f t="shared" ca="1" si="8002"/>
        <v>2011</v>
      </c>
      <c r="G3966" s="66">
        <f t="shared" ref="G3966" ca="1" si="8127">VLOOKUP(INDIRECT(CHAR(39)&amp;$A3966&amp;CHAR(39)&amp;"!r2c"&amp;$C3966,0),variables,2,0)</f>
        <v>9657</v>
      </c>
      <c r="H3966" s="71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67" t="s">
        <v>1429</v>
      </c>
      <c r="B3967" s="66">
        <f t="shared" si="8036"/>
        <v>13</v>
      </c>
      <c r="C3967" s="66">
        <f t="shared" si="8039"/>
        <v>88</v>
      </c>
      <c r="E3967" s="66">
        <f t="shared" ref="E3967" si="8128">plan_id</f>
        <v>1952</v>
      </c>
      <c r="F3967" s="66">
        <f t="shared" ca="1" si="8002"/>
        <v>2011</v>
      </c>
      <c r="G3967" s="66">
        <f t="shared" ref="G3967" ca="1" si="8129">VLOOKUP(INDIRECT(CHAR(39)&amp;$A3967&amp;CHAR(39)&amp;"!r2c"&amp;$C3967,0),variables,2,0)</f>
        <v>9834</v>
      </c>
      <c r="H3967" s="71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67" t="s">
        <v>1429</v>
      </c>
      <c r="B3968" s="66">
        <f t="shared" si="8036"/>
        <v>13</v>
      </c>
      <c r="C3968" s="66">
        <f t="shared" si="8039"/>
        <v>89</v>
      </c>
      <c r="E3968" s="66">
        <f t="shared" ref="E3968" si="8130">plan_id</f>
        <v>1952</v>
      </c>
      <c r="F3968" s="66">
        <f t="shared" ca="1" si="8002"/>
        <v>2011</v>
      </c>
      <c r="G3968" s="66">
        <f t="shared" ref="G3968" ca="1" si="8131">VLOOKUP(INDIRECT(CHAR(39)&amp;$A3968&amp;CHAR(39)&amp;"!r2c"&amp;$C3968,0),variables,2,0)</f>
        <v>9884</v>
      </c>
      <c r="H3968" s="71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67" t="s">
        <v>1429</v>
      </c>
      <c r="B3969" s="66">
        <f t="shared" si="8036"/>
        <v>13</v>
      </c>
      <c r="C3969" s="66">
        <f t="shared" si="8039"/>
        <v>90</v>
      </c>
      <c r="E3969" s="66">
        <f t="shared" ref="E3969" si="8132">plan_id</f>
        <v>1952</v>
      </c>
      <c r="F3969" s="66">
        <f t="shared" ref="F3969:F4032" ca="1" si="8133">INDIRECT(CHAR(39)&amp;$A3969&amp;CHAR(39)&amp;"!r"&amp;$B3969&amp;"c2",0)</f>
        <v>2011</v>
      </c>
      <c r="G3969" s="66">
        <f t="shared" ref="G3969" ca="1" si="8134">VLOOKUP(INDIRECT(CHAR(39)&amp;$A3969&amp;CHAR(39)&amp;"!r2c"&amp;$C3969,0),variables,2,0)</f>
        <v>9672</v>
      </c>
      <c r="H3969" s="71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67" t="s">
        <v>1429</v>
      </c>
      <c r="B3970" s="66">
        <f t="shared" si="8036"/>
        <v>14</v>
      </c>
      <c r="C3970" s="66">
        <f t="shared" si="8039"/>
        <v>3</v>
      </c>
      <c r="E3970" s="66">
        <f t="shared" ref="E3970" si="8135">plan_id</f>
        <v>1952</v>
      </c>
      <c r="F3970" s="66">
        <f t="shared" ca="1" si="8133"/>
        <v>2012</v>
      </c>
      <c r="G3970" s="66">
        <f t="shared" ref="G3970" ca="1" si="8136">VLOOKUP(INDIRECT(CHAR(39)&amp;$A3970&amp;CHAR(39)&amp;"!r2c"&amp;$C3970,0),variables,2,0)</f>
        <v>9704</v>
      </c>
      <c r="H3970" s="71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67" t="s">
        <v>1429</v>
      </c>
      <c r="B3971" s="66">
        <f t="shared" si="8036"/>
        <v>14</v>
      </c>
      <c r="C3971" s="66">
        <f t="shared" si="8039"/>
        <v>4</v>
      </c>
      <c r="E3971" s="66">
        <f t="shared" ref="E3971" si="8137">plan_id</f>
        <v>1952</v>
      </c>
      <c r="F3971" s="66">
        <f t="shared" ca="1" si="8133"/>
        <v>2012</v>
      </c>
      <c r="G3971" s="66">
        <f t="shared" ref="G3971" ca="1" si="8138">VLOOKUP(INDIRECT(CHAR(39)&amp;$A3971&amp;CHAR(39)&amp;"!r2c"&amp;$C3971,0),variables,2,0)</f>
        <v>9716</v>
      </c>
      <c r="H3971" s="71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67" t="s">
        <v>1429</v>
      </c>
      <c r="B3972" s="66">
        <f t="shared" si="8036"/>
        <v>14</v>
      </c>
      <c r="C3972" s="66">
        <f t="shared" si="8039"/>
        <v>5</v>
      </c>
      <c r="E3972" s="66">
        <f t="shared" ref="E3972" si="8139">plan_id</f>
        <v>1952</v>
      </c>
      <c r="F3972" s="66">
        <f t="shared" ca="1" si="8133"/>
        <v>2012</v>
      </c>
      <c r="G3972" s="66">
        <f t="shared" ref="G3972" ca="1" si="8140">VLOOKUP(INDIRECT(CHAR(39)&amp;$A3972&amp;CHAR(39)&amp;"!r2c"&amp;$C3972,0),variables,2,0)</f>
        <v>9734</v>
      </c>
      <c r="H3972" s="71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67" t="s">
        <v>1429</v>
      </c>
      <c r="B3973" s="66">
        <f t="shared" si="8036"/>
        <v>14</v>
      </c>
      <c r="C3973" s="66">
        <f t="shared" si="8039"/>
        <v>6</v>
      </c>
      <c r="E3973" s="66">
        <f t="shared" ref="E3973" si="8141">plan_id</f>
        <v>1952</v>
      </c>
      <c r="F3973" s="66">
        <f t="shared" ca="1" si="8133"/>
        <v>2012</v>
      </c>
      <c r="G3973" s="66">
        <f t="shared" ref="G3973" ca="1" si="8142">VLOOKUP(INDIRECT(CHAR(39)&amp;$A3973&amp;CHAR(39)&amp;"!r2c"&amp;$C3973,0),variables,2,0)</f>
        <v>9749</v>
      </c>
      <c r="H3973" s="71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67" t="s">
        <v>1429</v>
      </c>
      <c r="B3974" s="66">
        <f t="shared" si="8036"/>
        <v>14</v>
      </c>
      <c r="C3974" s="66">
        <f t="shared" si="8039"/>
        <v>7</v>
      </c>
      <c r="E3974" s="66">
        <f t="shared" ref="E3974" si="8143">plan_id</f>
        <v>1952</v>
      </c>
      <c r="F3974" s="66">
        <f t="shared" ca="1" si="8133"/>
        <v>2012</v>
      </c>
      <c r="G3974" s="66">
        <f t="shared" ref="G3974" ca="1" si="8144">VLOOKUP(INDIRECT(CHAR(39)&amp;$A3974&amp;CHAR(39)&amp;"!r2c"&amp;$C3974,0),variables,2,0)</f>
        <v>9755</v>
      </c>
      <c r="H3974" s="71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67" t="s">
        <v>1429</v>
      </c>
      <c r="B3975" s="66">
        <f t="shared" si="8036"/>
        <v>14</v>
      </c>
      <c r="C3975" s="66">
        <f t="shared" si="8039"/>
        <v>8</v>
      </c>
      <c r="E3975" s="66">
        <f t="shared" ref="E3975" si="8145">plan_id</f>
        <v>1952</v>
      </c>
      <c r="F3975" s="66">
        <f t="shared" ca="1" si="8133"/>
        <v>2012</v>
      </c>
      <c r="G3975" s="66">
        <f t="shared" ref="G3975" ca="1" si="8146">VLOOKUP(INDIRECT(CHAR(39)&amp;$A3975&amp;CHAR(39)&amp;"!r2c"&amp;$C3975,0),variables,2,0)</f>
        <v>9782</v>
      </c>
      <c r="H3975" s="71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67" t="s">
        <v>1429</v>
      </c>
      <c r="B3976" s="66">
        <f t="shared" si="8036"/>
        <v>14</v>
      </c>
      <c r="C3976" s="66">
        <f t="shared" si="8039"/>
        <v>9</v>
      </c>
      <c r="E3976" s="66">
        <f t="shared" ref="E3976" si="8147">plan_id</f>
        <v>1952</v>
      </c>
      <c r="F3976" s="66">
        <f t="shared" ca="1" si="8133"/>
        <v>2012</v>
      </c>
      <c r="G3976" s="66">
        <f t="shared" ref="G3976" ca="1" si="8148">VLOOKUP(INDIRECT(CHAR(39)&amp;$A3976&amp;CHAR(39)&amp;"!r2c"&amp;$C3976,0),variables,2,0)</f>
        <v>9788</v>
      </c>
      <c r="H3976" s="71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67" t="s">
        <v>1429</v>
      </c>
      <c r="B3977" s="66">
        <f t="shared" si="8036"/>
        <v>14</v>
      </c>
      <c r="C3977" s="66">
        <f t="shared" si="8039"/>
        <v>10</v>
      </c>
      <c r="E3977" s="66">
        <f t="shared" ref="E3977" si="8149">plan_id</f>
        <v>1952</v>
      </c>
      <c r="F3977" s="66">
        <f t="shared" ca="1" si="8133"/>
        <v>2012</v>
      </c>
      <c r="G3977" s="66">
        <f t="shared" ref="G3977" ca="1" si="8150">VLOOKUP(INDIRECT(CHAR(39)&amp;$A3977&amp;CHAR(39)&amp;"!r2c"&amp;$C3977,0),variables,2,0)</f>
        <v>9812</v>
      </c>
      <c r="H3977" s="71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67" t="s">
        <v>1429</v>
      </c>
      <c r="B3978" s="66">
        <f t="shared" si="8036"/>
        <v>14</v>
      </c>
      <c r="C3978" s="66">
        <f t="shared" si="8039"/>
        <v>11</v>
      </c>
      <c r="E3978" s="66">
        <f t="shared" ref="E3978" si="8151">plan_id</f>
        <v>1952</v>
      </c>
      <c r="F3978" s="66">
        <f t="shared" ca="1" si="8133"/>
        <v>2012</v>
      </c>
      <c r="G3978" s="66">
        <f t="shared" ref="G3978" ca="1" si="8152">VLOOKUP(INDIRECT(CHAR(39)&amp;$A3978&amp;CHAR(39)&amp;"!r2c"&amp;$C3978,0),variables,2,0)</f>
        <v>9815</v>
      </c>
      <c r="H3978" s="71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67" t="s">
        <v>1429</v>
      </c>
      <c r="B3979" s="66">
        <f t="shared" si="8036"/>
        <v>14</v>
      </c>
      <c r="C3979" s="66">
        <f t="shared" si="8039"/>
        <v>12</v>
      </c>
      <c r="E3979" s="66">
        <f t="shared" ref="E3979" si="8153">plan_id</f>
        <v>1952</v>
      </c>
      <c r="F3979" s="66">
        <f t="shared" ca="1" si="8133"/>
        <v>2012</v>
      </c>
      <c r="G3979" s="66">
        <f t="shared" ref="G3979" ca="1" si="8154">VLOOKUP(INDIRECT(CHAR(39)&amp;$A3979&amp;CHAR(39)&amp;"!r2c"&amp;$C3979,0),variables,2,0)</f>
        <v>9821</v>
      </c>
      <c r="H3979" s="71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67" t="s">
        <v>1429</v>
      </c>
      <c r="B3980" s="66">
        <f t="shared" si="8036"/>
        <v>14</v>
      </c>
      <c r="C3980" s="66">
        <f t="shared" si="8039"/>
        <v>13</v>
      </c>
      <c r="E3980" s="66">
        <f t="shared" ref="E3980" si="8155">plan_id</f>
        <v>1952</v>
      </c>
      <c r="F3980" s="66">
        <f t="shared" ca="1" si="8133"/>
        <v>2012</v>
      </c>
      <c r="G3980" s="66">
        <f t="shared" ref="G3980" ca="1" si="8156">VLOOKUP(INDIRECT(CHAR(39)&amp;$A3980&amp;CHAR(39)&amp;"!r2c"&amp;$C3980,0),variables,2,0)</f>
        <v>9824</v>
      </c>
      <c r="H3980" s="71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67" t="s">
        <v>1429</v>
      </c>
      <c r="B3981" s="66">
        <f t="shared" si="8036"/>
        <v>14</v>
      </c>
      <c r="C3981" s="66">
        <f t="shared" si="8039"/>
        <v>14</v>
      </c>
      <c r="E3981" s="66">
        <f t="shared" ref="E3981" si="8157">plan_id</f>
        <v>1952</v>
      </c>
      <c r="F3981" s="66">
        <f t="shared" ca="1" si="8133"/>
        <v>2012</v>
      </c>
      <c r="G3981" s="66">
        <f t="shared" ref="G3981" ca="1" si="8158">VLOOKUP(INDIRECT(CHAR(39)&amp;$A3981&amp;CHAR(39)&amp;"!r2c"&amp;$C3981,0),variables,2,0)</f>
        <v>9830</v>
      </c>
      <c r="H3981" s="71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67" t="s">
        <v>1429</v>
      </c>
      <c r="B3982" s="66">
        <f t="shared" si="8036"/>
        <v>14</v>
      </c>
      <c r="C3982" s="66">
        <f t="shared" si="8039"/>
        <v>15</v>
      </c>
      <c r="E3982" s="66">
        <f t="shared" ref="E3982" si="8159">plan_id</f>
        <v>1952</v>
      </c>
      <c r="F3982" s="66">
        <f t="shared" ca="1" si="8133"/>
        <v>2012</v>
      </c>
      <c r="G3982" s="66">
        <f t="shared" ref="G3982" ca="1" si="8160">VLOOKUP(INDIRECT(CHAR(39)&amp;$A3982&amp;CHAR(39)&amp;"!r2c"&amp;$C3982,0),variables,2,0)</f>
        <v>9833</v>
      </c>
      <c r="H3982" s="71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67" t="s">
        <v>1429</v>
      </c>
      <c r="B3983" s="66">
        <f t="shared" si="8036"/>
        <v>14</v>
      </c>
      <c r="C3983" s="66">
        <f t="shared" si="8039"/>
        <v>16</v>
      </c>
      <c r="E3983" s="66">
        <f t="shared" ref="E3983" si="8161">plan_id</f>
        <v>1952</v>
      </c>
      <c r="F3983" s="66">
        <f t="shared" ca="1" si="8133"/>
        <v>2012</v>
      </c>
      <c r="G3983" s="66">
        <f t="shared" ref="G3983" ca="1" si="8162">VLOOKUP(INDIRECT(CHAR(39)&amp;$A3983&amp;CHAR(39)&amp;"!r2c"&amp;$C3983,0),variables,2,0)</f>
        <v>9845</v>
      </c>
      <c r="H3983" s="71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67" t="s">
        <v>1429</v>
      </c>
      <c r="B3984" s="66">
        <f t="shared" si="8036"/>
        <v>14</v>
      </c>
      <c r="C3984" s="66">
        <f t="shared" si="8039"/>
        <v>17</v>
      </c>
      <c r="E3984" s="66">
        <f t="shared" ref="E3984" si="8163">plan_id</f>
        <v>1952</v>
      </c>
      <c r="F3984" s="66">
        <f t="shared" ca="1" si="8133"/>
        <v>2012</v>
      </c>
      <c r="G3984" s="66">
        <f t="shared" ref="G3984" ca="1" si="8164">VLOOKUP(INDIRECT(CHAR(39)&amp;$A3984&amp;CHAR(39)&amp;"!r2c"&amp;$C3984,0),variables,2,0)</f>
        <v>9872</v>
      </c>
      <c r="H3984" s="71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67" t="s">
        <v>1429</v>
      </c>
      <c r="B3985" s="66">
        <f t="shared" si="8036"/>
        <v>14</v>
      </c>
      <c r="C3985" s="66">
        <f t="shared" si="8039"/>
        <v>18</v>
      </c>
      <c r="E3985" s="66">
        <f t="shared" ref="E3985" si="8165">plan_id</f>
        <v>1952</v>
      </c>
      <c r="F3985" s="66">
        <f t="shared" ca="1" si="8133"/>
        <v>2012</v>
      </c>
      <c r="G3985" s="66">
        <f t="shared" ref="G3985" ca="1" si="8166">VLOOKUP(INDIRECT(CHAR(39)&amp;$A3985&amp;CHAR(39)&amp;"!r2c"&amp;$C3985,0),variables,2,0)</f>
        <v>9887</v>
      </c>
      <c r="H3985" s="71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67" t="s">
        <v>1429</v>
      </c>
      <c r="B3986" s="66">
        <f t="shared" ref="B3986:B4049" si="8167">B3898+1</f>
        <v>14</v>
      </c>
      <c r="C3986" s="66">
        <f t="shared" si="8039"/>
        <v>19</v>
      </c>
      <c r="E3986" s="66">
        <f t="shared" ref="E3986" si="8168">plan_id</f>
        <v>1952</v>
      </c>
      <c r="F3986" s="66">
        <f t="shared" ca="1" si="8133"/>
        <v>2012</v>
      </c>
      <c r="G3986" s="66">
        <f t="shared" ref="G3986" ca="1" si="8169">VLOOKUP(INDIRECT(CHAR(39)&amp;$A3986&amp;CHAR(39)&amp;"!r2c"&amp;$C3986,0),variables,2,0)</f>
        <v>9914</v>
      </c>
      <c r="H3986" s="71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67" t="s">
        <v>1429</v>
      </c>
      <c r="B3987" s="66">
        <f t="shared" si="8167"/>
        <v>14</v>
      </c>
      <c r="C3987" s="66">
        <f t="shared" ref="C3987:C4050" si="8170">C3899</f>
        <v>20</v>
      </c>
      <c r="E3987" s="66">
        <f t="shared" ref="E3987" si="8171">plan_id</f>
        <v>1952</v>
      </c>
      <c r="F3987" s="66">
        <f t="shared" ca="1" si="8133"/>
        <v>2012</v>
      </c>
      <c r="G3987" s="66">
        <f t="shared" ref="G3987" ca="1" si="8172">VLOOKUP(INDIRECT(CHAR(39)&amp;$A3987&amp;CHAR(39)&amp;"!r2c"&amp;$C3987,0),variables,2,0)</f>
        <v>9917</v>
      </c>
      <c r="H3987" s="71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67" t="s">
        <v>1429</v>
      </c>
      <c r="B3988" s="66">
        <f t="shared" si="8167"/>
        <v>14</v>
      </c>
      <c r="C3988" s="66">
        <f t="shared" si="8170"/>
        <v>21</v>
      </c>
      <c r="E3988" s="66">
        <f t="shared" ref="E3988" si="8173">plan_id</f>
        <v>1952</v>
      </c>
      <c r="F3988" s="66">
        <f t="shared" ca="1" si="8133"/>
        <v>2012</v>
      </c>
      <c r="G3988" s="66">
        <f t="shared" ref="G3988" ca="1" si="8174">VLOOKUP(INDIRECT(CHAR(39)&amp;$A3988&amp;CHAR(39)&amp;"!r2c"&amp;$C3988,0),variables,2,0)</f>
        <v>9920</v>
      </c>
      <c r="H3988" s="71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67" t="s">
        <v>1429</v>
      </c>
      <c r="B3989" s="66">
        <f t="shared" si="8167"/>
        <v>14</v>
      </c>
      <c r="C3989" s="66">
        <f t="shared" si="8170"/>
        <v>22</v>
      </c>
      <c r="E3989" s="66">
        <f t="shared" ref="E3989" si="8175">plan_id</f>
        <v>1952</v>
      </c>
      <c r="F3989" s="66">
        <f t="shared" ca="1" si="8133"/>
        <v>2012</v>
      </c>
      <c r="G3989" s="66">
        <f t="shared" ref="G3989" ca="1" si="8176">VLOOKUP(INDIRECT(CHAR(39)&amp;$A3989&amp;CHAR(39)&amp;"!r2c"&amp;$C3989,0),variables,2,0)</f>
        <v>9648</v>
      </c>
      <c r="H3989" s="71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67" t="s">
        <v>1429</v>
      </c>
      <c r="B3990" s="66">
        <f t="shared" si="8167"/>
        <v>14</v>
      </c>
      <c r="C3990" s="66">
        <f t="shared" si="8170"/>
        <v>23</v>
      </c>
      <c r="E3990" s="66">
        <f t="shared" ref="E3990" si="8177">plan_id</f>
        <v>1952</v>
      </c>
      <c r="F3990" s="66">
        <f t="shared" ca="1" si="8133"/>
        <v>2012</v>
      </c>
      <c r="G3990" s="66">
        <f t="shared" ref="G3990" ca="1" si="8178">VLOOKUP(INDIRECT(CHAR(39)&amp;$A3990&amp;CHAR(39)&amp;"!r2c"&amp;$C3990,0),variables,2,0)</f>
        <v>9713</v>
      </c>
      <c r="H3990" s="71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67" t="s">
        <v>1429</v>
      </c>
      <c r="B3991" s="66">
        <f t="shared" si="8167"/>
        <v>14</v>
      </c>
      <c r="C3991" s="66">
        <f t="shared" si="8170"/>
        <v>24</v>
      </c>
      <c r="E3991" s="66">
        <f t="shared" ref="E3991" si="8179">plan_id</f>
        <v>1952</v>
      </c>
      <c r="F3991" s="66">
        <f t="shared" ca="1" si="8133"/>
        <v>2012</v>
      </c>
      <c r="G3991" s="66">
        <f t="shared" ref="G3991" ca="1" si="8180">VLOOKUP(INDIRECT(CHAR(39)&amp;$A3991&amp;CHAR(39)&amp;"!r2c"&amp;$C3991,0),variables,2,0)</f>
        <v>9719</v>
      </c>
      <c r="H3991" s="71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67" t="s">
        <v>1429</v>
      </c>
      <c r="B3992" s="66">
        <f t="shared" si="8167"/>
        <v>14</v>
      </c>
      <c r="C3992" s="66">
        <f t="shared" si="8170"/>
        <v>25</v>
      </c>
      <c r="E3992" s="66">
        <f t="shared" ref="E3992" si="8181">plan_id</f>
        <v>1952</v>
      </c>
      <c r="F3992" s="66">
        <f t="shared" ca="1" si="8133"/>
        <v>2012</v>
      </c>
      <c r="G3992" s="66">
        <f t="shared" ref="G3992" ca="1" si="8182">VLOOKUP(INDIRECT(CHAR(39)&amp;$A3992&amp;CHAR(39)&amp;"!r2c"&amp;$C3992,0),variables,2,0)</f>
        <v>9725</v>
      </c>
      <c r="H3992" s="71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67" t="s">
        <v>1429</v>
      </c>
      <c r="B3993" s="66">
        <f t="shared" si="8167"/>
        <v>14</v>
      </c>
      <c r="C3993" s="66">
        <f t="shared" si="8170"/>
        <v>26</v>
      </c>
      <c r="E3993" s="66">
        <f t="shared" ref="E3993" si="8183">plan_id</f>
        <v>1952</v>
      </c>
      <c r="F3993" s="66">
        <f t="shared" ca="1" si="8133"/>
        <v>2012</v>
      </c>
      <c r="G3993" s="66">
        <f t="shared" ref="G3993" ca="1" si="8184">VLOOKUP(INDIRECT(CHAR(39)&amp;$A3993&amp;CHAR(39)&amp;"!r2c"&amp;$C3993,0),variables,2,0)</f>
        <v>9743</v>
      </c>
      <c r="H3993" s="71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67" t="s">
        <v>1429</v>
      </c>
      <c r="B3994" s="66">
        <f t="shared" si="8167"/>
        <v>14</v>
      </c>
      <c r="C3994" s="66">
        <f t="shared" si="8170"/>
        <v>27</v>
      </c>
      <c r="E3994" s="66">
        <f t="shared" ref="E3994" si="8185">plan_id</f>
        <v>1952</v>
      </c>
      <c r="F3994" s="66">
        <f t="shared" ca="1" si="8133"/>
        <v>2012</v>
      </c>
      <c r="G3994" s="66">
        <f t="shared" ref="G3994" ca="1" si="8186">VLOOKUP(INDIRECT(CHAR(39)&amp;$A3994&amp;CHAR(39)&amp;"!r2c"&amp;$C3994,0),variables,2,0)</f>
        <v>9746</v>
      </c>
      <c r="H3994" s="71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67" t="s">
        <v>1429</v>
      </c>
      <c r="B3995" s="66">
        <f t="shared" si="8167"/>
        <v>14</v>
      </c>
      <c r="C3995" s="66">
        <f t="shared" si="8170"/>
        <v>28</v>
      </c>
      <c r="E3995" s="66">
        <f t="shared" ref="E3995" si="8187">plan_id</f>
        <v>1952</v>
      </c>
      <c r="F3995" s="66">
        <f t="shared" ca="1" si="8133"/>
        <v>2012</v>
      </c>
      <c r="G3995" s="66">
        <f t="shared" ref="G3995" ca="1" si="8188">VLOOKUP(INDIRECT(CHAR(39)&amp;$A3995&amp;CHAR(39)&amp;"!r2c"&amp;$C3995,0),variables,2,0)</f>
        <v>9761</v>
      </c>
      <c r="H3995" s="71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67" t="s">
        <v>1429</v>
      </c>
      <c r="B3996" s="66">
        <f t="shared" si="8167"/>
        <v>14</v>
      </c>
      <c r="C3996" s="66">
        <f t="shared" si="8170"/>
        <v>29</v>
      </c>
      <c r="E3996" s="66">
        <f t="shared" ref="E3996" si="8189">plan_id</f>
        <v>1952</v>
      </c>
      <c r="F3996" s="66">
        <f t="shared" ca="1" si="8133"/>
        <v>2012</v>
      </c>
      <c r="G3996" s="66">
        <f t="shared" ref="G3996" ca="1" si="8190">VLOOKUP(INDIRECT(CHAR(39)&amp;$A3996&amp;CHAR(39)&amp;"!r2c"&amp;$C3996,0),variables,2,0)</f>
        <v>9764</v>
      </c>
      <c r="H3996" s="71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67" t="s">
        <v>1429</v>
      </c>
      <c r="B3997" s="66">
        <f t="shared" si="8167"/>
        <v>14</v>
      </c>
      <c r="C3997" s="66">
        <f t="shared" si="8170"/>
        <v>30</v>
      </c>
      <c r="E3997" s="66">
        <f t="shared" ref="E3997" si="8191">plan_id</f>
        <v>1952</v>
      </c>
      <c r="F3997" s="66">
        <f t="shared" ca="1" si="8133"/>
        <v>2012</v>
      </c>
      <c r="G3997" s="66">
        <f t="shared" ref="G3997" ca="1" si="8192">VLOOKUP(INDIRECT(CHAR(39)&amp;$A3997&amp;CHAR(39)&amp;"!r2c"&amp;$C3997,0),variables,2,0)</f>
        <v>9767</v>
      </c>
      <c r="H3997" s="71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67" t="s">
        <v>1429</v>
      </c>
      <c r="B3998" s="66">
        <f t="shared" si="8167"/>
        <v>14</v>
      </c>
      <c r="C3998" s="66">
        <f t="shared" si="8170"/>
        <v>31</v>
      </c>
      <c r="E3998" s="66">
        <f t="shared" ref="E3998" si="8193">plan_id</f>
        <v>1952</v>
      </c>
      <c r="F3998" s="66">
        <f t="shared" ca="1" si="8133"/>
        <v>2012</v>
      </c>
      <c r="G3998" s="66">
        <f t="shared" ref="G3998" ca="1" si="8194">VLOOKUP(INDIRECT(CHAR(39)&amp;$A3998&amp;CHAR(39)&amp;"!r2c"&amp;$C3998,0),variables,2,0)</f>
        <v>9770</v>
      </c>
      <c r="H3998" s="71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67" t="s">
        <v>1429</v>
      </c>
      <c r="B3999" s="66">
        <f t="shared" si="8167"/>
        <v>14</v>
      </c>
      <c r="C3999" s="66">
        <f t="shared" si="8170"/>
        <v>32</v>
      </c>
      <c r="E3999" s="66">
        <f t="shared" ref="E3999" si="8195">plan_id</f>
        <v>1952</v>
      </c>
      <c r="F3999" s="66">
        <f t="shared" ca="1" si="8133"/>
        <v>2012</v>
      </c>
      <c r="G3999" s="66">
        <f t="shared" ref="G3999" ca="1" si="8196">VLOOKUP(INDIRECT(CHAR(39)&amp;$A3999&amp;CHAR(39)&amp;"!r2c"&amp;$C3999,0),variables,2,0)</f>
        <v>9773</v>
      </c>
      <c r="H3999" s="71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67" t="s">
        <v>1429</v>
      </c>
      <c r="B4000" s="66">
        <f t="shared" si="8167"/>
        <v>14</v>
      </c>
      <c r="C4000" s="66">
        <f t="shared" si="8170"/>
        <v>33</v>
      </c>
      <c r="E4000" s="66">
        <f t="shared" ref="E4000" si="8197">plan_id</f>
        <v>1952</v>
      </c>
      <c r="F4000" s="66">
        <f t="shared" ca="1" si="8133"/>
        <v>2012</v>
      </c>
      <c r="G4000" s="66">
        <f t="shared" ref="G4000" ca="1" si="8198">VLOOKUP(INDIRECT(CHAR(39)&amp;$A4000&amp;CHAR(39)&amp;"!r2c"&amp;$C4000,0),variables,2,0)</f>
        <v>9776</v>
      </c>
      <c r="H4000" s="71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67" t="s">
        <v>1429</v>
      </c>
      <c r="B4001" s="66">
        <f t="shared" si="8167"/>
        <v>14</v>
      </c>
      <c r="C4001" s="66">
        <f t="shared" si="8170"/>
        <v>34</v>
      </c>
      <c r="E4001" s="66">
        <f t="shared" ref="E4001" si="8199">plan_id</f>
        <v>1952</v>
      </c>
      <c r="F4001" s="66">
        <f t="shared" ca="1" si="8133"/>
        <v>2012</v>
      </c>
      <c r="G4001" s="66">
        <f t="shared" ref="G4001" ca="1" si="8200">VLOOKUP(INDIRECT(CHAR(39)&amp;$A4001&amp;CHAR(39)&amp;"!r2c"&amp;$C4001,0),variables,2,0)</f>
        <v>9779</v>
      </c>
      <c r="H4001" s="71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67" t="s">
        <v>1429</v>
      </c>
      <c r="B4002" s="66">
        <f t="shared" si="8167"/>
        <v>14</v>
      </c>
      <c r="C4002" s="66">
        <f t="shared" si="8170"/>
        <v>35</v>
      </c>
      <c r="E4002" s="66">
        <f t="shared" ref="E4002" si="8201">plan_id</f>
        <v>1952</v>
      </c>
      <c r="F4002" s="66">
        <f t="shared" ca="1" si="8133"/>
        <v>2012</v>
      </c>
      <c r="G4002" s="66">
        <f t="shared" ref="G4002" ca="1" si="8202">VLOOKUP(INDIRECT(CHAR(39)&amp;$A4002&amp;CHAR(39)&amp;"!r2c"&amp;$C4002,0),variables,2,0)</f>
        <v>9785</v>
      </c>
      <c r="H4002" s="71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67" t="s">
        <v>1429</v>
      </c>
      <c r="B4003" s="66">
        <f t="shared" si="8167"/>
        <v>14</v>
      </c>
      <c r="C4003" s="66">
        <f t="shared" si="8170"/>
        <v>36</v>
      </c>
      <c r="E4003" s="66">
        <f t="shared" ref="E4003" si="8203">plan_id</f>
        <v>1952</v>
      </c>
      <c r="F4003" s="66">
        <f t="shared" ca="1" si="8133"/>
        <v>2012</v>
      </c>
      <c r="G4003" s="66">
        <f t="shared" ref="G4003" ca="1" si="8204">VLOOKUP(INDIRECT(CHAR(39)&amp;$A4003&amp;CHAR(39)&amp;"!r2c"&amp;$C4003,0),variables,2,0)</f>
        <v>9794</v>
      </c>
      <c r="H4003" s="71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67" t="s">
        <v>1429</v>
      </c>
      <c r="B4004" s="66">
        <f t="shared" si="8167"/>
        <v>14</v>
      </c>
      <c r="C4004" s="66">
        <f t="shared" si="8170"/>
        <v>37</v>
      </c>
      <c r="E4004" s="66">
        <f t="shared" ref="E4004" si="8205">plan_id</f>
        <v>1952</v>
      </c>
      <c r="F4004" s="66">
        <f t="shared" ca="1" si="8133"/>
        <v>2012</v>
      </c>
      <c r="G4004" s="66">
        <f t="shared" ref="G4004" ca="1" si="8206">VLOOKUP(INDIRECT(CHAR(39)&amp;$A4004&amp;CHAR(39)&amp;"!r2c"&amp;$C4004,0),variables,2,0)</f>
        <v>9797</v>
      </c>
      <c r="H4004" s="71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67" t="s">
        <v>1429</v>
      </c>
      <c r="B4005" s="66">
        <f t="shared" si="8167"/>
        <v>14</v>
      </c>
      <c r="C4005" s="66">
        <f t="shared" si="8170"/>
        <v>38</v>
      </c>
      <c r="E4005" s="66">
        <f t="shared" ref="E4005" si="8207">plan_id</f>
        <v>1952</v>
      </c>
      <c r="F4005" s="66">
        <f t="shared" ca="1" si="8133"/>
        <v>2012</v>
      </c>
      <c r="G4005" s="66">
        <f t="shared" ref="G4005" ca="1" si="8208">VLOOKUP(INDIRECT(CHAR(39)&amp;$A4005&amp;CHAR(39)&amp;"!r2c"&amp;$C4005,0),variables,2,0)</f>
        <v>9806</v>
      </c>
      <c r="H4005" s="71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67" t="s">
        <v>1429</v>
      </c>
      <c r="B4006" s="66">
        <f t="shared" si="8167"/>
        <v>14</v>
      </c>
      <c r="C4006" s="66">
        <f t="shared" si="8170"/>
        <v>39</v>
      </c>
      <c r="E4006" s="66">
        <f t="shared" ref="E4006" si="8209">plan_id</f>
        <v>1952</v>
      </c>
      <c r="F4006" s="66">
        <f t="shared" ca="1" si="8133"/>
        <v>2012</v>
      </c>
      <c r="G4006" s="66">
        <f t="shared" ref="G4006" ca="1" si="8210">VLOOKUP(INDIRECT(CHAR(39)&amp;$A4006&amp;CHAR(39)&amp;"!r2c"&amp;$C4006,0),variables,2,0)</f>
        <v>9809</v>
      </c>
      <c r="H4006" s="71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67" t="s">
        <v>1429</v>
      </c>
      <c r="B4007" s="66">
        <f t="shared" si="8167"/>
        <v>14</v>
      </c>
      <c r="C4007" s="66">
        <f t="shared" si="8170"/>
        <v>40</v>
      </c>
      <c r="E4007" s="66">
        <f t="shared" ref="E4007" si="8211">plan_id</f>
        <v>1952</v>
      </c>
      <c r="F4007" s="66">
        <f t="shared" ca="1" si="8133"/>
        <v>2012</v>
      </c>
      <c r="G4007" s="66">
        <f t="shared" ref="G4007" ca="1" si="8212">VLOOKUP(INDIRECT(CHAR(39)&amp;$A4007&amp;CHAR(39)&amp;"!r2c"&amp;$C4007,0),variables,2,0)</f>
        <v>9818</v>
      </c>
      <c r="H4007" s="71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67" t="s">
        <v>1429</v>
      </c>
      <c r="B4008" s="66">
        <f t="shared" si="8167"/>
        <v>14</v>
      </c>
      <c r="C4008" s="66">
        <f t="shared" si="8170"/>
        <v>41</v>
      </c>
      <c r="E4008" s="66">
        <f t="shared" ref="E4008" si="8213">plan_id</f>
        <v>1952</v>
      </c>
      <c r="F4008" s="66">
        <f t="shared" ca="1" si="8133"/>
        <v>2012</v>
      </c>
      <c r="G4008" s="66">
        <f t="shared" ref="G4008" ca="1" si="8214">VLOOKUP(INDIRECT(CHAR(39)&amp;$A4008&amp;CHAR(39)&amp;"!r2c"&amp;$C4008,0),variables,2,0)</f>
        <v>9839</v>
      </c>
      <c r="H4008" s="71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67" t="s">
        <v>1429</v>
      </c>
      <c r="B4009" s="66">
        <f t="shared" si="8167"/>
        <v>14</v>
      </c>
      <c r="C4009" s="66">
        <f t="shared" si="8170"/>
        <v>42</v>
      </c>
      <c r="E4009" s="66">
        <f t="shared" ref="E4009" si="8215">plan_id</f>
        <v>1952</v>
      </c>
      <c r="F4009" s="66">
        <f t="shared" ca="1" si="8133"/>
        <v>2012</v>
      </c>
      <c r="G4009" s="66">
        <f t="shared" ref="G4009" ca="1" si="8216">VLOOKUP(INDIRECT(CHAR(39)&amp;$A4009&amp;CHAR(39)&amp;"!r2c"&amp;$C4009,0),variables,2,0)</f>
        <v>9860</v>
      </c>
      <c r="H4009" s="71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67" t="s">
        <v>1429</v>
      </c>
      <c r="B4010" s="66">
        <f t="shared" si="8167"/>
        <v>14</v>
      </c>
      <c r="C4010" s="66">
        <f t="shared" si="8170"/>
        <v>43</v>
      </c>
      <c r="E4010" s="66">
        <f t="shared" ref="E4010" si="8217">plan_id</f>
        <v>1952</v>
      </c>
      <c r="F4010" s="66">
        <f t="shared" ca="1" si="8133"/>
        <v>2012</v>
      </c>
      <c r="G4010" s="66">
        <f t="shared" ref="G4010" ca="1" si="8218">VLOOKUP(INDIRECT(CHAR(39)&amp;$A4010&amp;CHAR(39)&amp;"!r2c"&amp;$C4010,0),variables,2,0)</f>
        <v>9863</v>
      </c>
      <c r="H4010" s="71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67" t="s">
        <v>1429</v>
      </c>
      <c r="B4011" s="66">
        <f t="shared" si="8167"/>
        <v>14</v>
      </c>
      <c r="C4011" s="66">
        <f t="shared" si="8170"/>
        <v>44</v>
      </c>
      <c r="E4011" s="66">
        <f t="shared" ref="E4011" si="8219">plan_id</f>
        <v>1952</v>
      </c>
      <c r="F4011" s="66">
        <f t="shared" ca="1" si="8133"/>
        <v>2012</v>
      </c>
      <c r="G4011" s="66">
        <f t="shared" ref="G4011" ca="1" si="8220">VLOOKUP(INDIRECT(CHAR(39)&amp;$A4011&amp;CHAR(39)&amp;"!r2c"&amp;$C4011,0),variables,2,0)</f>
        <v>9878</v>
      </c>
      <c r="H4011" s="71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67" t="s">
        <v>1429</v>
      </c>
      <c r="B4012" s="66">
        <f t="shared" si="8167"/>
        <v>14</v>
      </c>
      <c r="C4012" s="66">
        <f t="shared" si="8170"/>
        <v>45</v>
      </c>
      <c r="E4012" s="66">
        <f t="shared" ref="E4012" si="8221">plan_id</f>
        <v>1952</v>
      </c>
      <c r="F4012" s="66">
        <f t="shared" ca="1" si="8133"/>
        <v>2012</v>
      </c>
      <c r="G4012" s="66">
        <f t="shared" ref="G4012" ca="1" si="8222">VLOOKUP(INDIRECT(CHAR(39)&amp;$A4012&amp;CHAR(39)&amp;"!r2c"&amp;$C4012,0),variables,2,0)</f>
        <v>9923</v>
      </c>
      <c r="H4012" s="71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67" t="s">
        <v>1429</v>
      </c>
      <c r="B4013" s="66">
        <f t="shared" si="8167"/>
        <v>14</v>
      </c>
      <c r="C4013" s="66">
        <f t="shared" si="8170"/>
        <v>46</v>
      </c>
      <c r="E4013" s="66">
        <f t="shared" ref="E4013" si="8223">plan_id</f>
        <v>1952</v>
      </c>
      <c r="F4013" s="66">
        <f t="shared" ca="1" si="8133"/>
        <v>2012</v>
      </c>
      <c r="G4013" s="66">
        <f t="shared" ref="G4013" ca="1" si="8224">VLOOKUP(INDIRECT(CHAR(39)&amp;$A4013&amp;CHAR(39)&amp;"!r2c"&amp;$C4013,0),variables,2,0)</f>
        <v>9932</v>
      </c>
      <c r="H4013" s="71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67" t="s">
        <v>1429</v>
      </c>
      <c r="B4014" s="66">
        <f t="shared" si="8167"/>
        <v>14</v>
      </c>
      <c r="C4014" s="66">
        <f t="shared" si="8170"/>
        <v>47</v>
      </c>
      <c r="E4014" s="66">
        <f t="shared" ref="E4014" si="8225">plan_id</f>
        <v>1952</v>
      </c>
      <c r="F4014" s="66">
        <f t="shared" ca="1" si="8133"/>
        <v>2012</v>
      </c>
      <c r="G4014" s="66">
        <f t="shared" ref="G4014" ca="1" si="8226">VLOOKUP(INDIRECT(CHAR(39)&amp;$A4014&amp;CHAR(39)&amp;"!r2c"&amp;$C4014,0),variables,2,0)</f>
        <v>9935</v>
      </c>
      <c r="H4014" s="71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67" t="s">
        <v>1429</v>
      </c>
      <c r="B4015" s="66">
        <f t="shared" si="8167"/>
        <v>14</v>
      </c>
      <c r="C4015" s="66">
        <f t="shared" si="8170"/>
        <v>48</v>
      </c>
      <c r="E4015" s="66">
        <f t="shared" ref="E4015" si="8227">plan_id</f>
        <v>1952</v>
      </c>
      <c r="F4015" s="66">
        <f t="shared" ca="1" si="8133"/>
        <v>2012</v>
      </c>
      <c r="G4015" s="66">
        <f t="shared" ref="G4015" ca="1" si="8228">VLOOKUP(INDIRECT(CHAR(39)&amp;$A4015&amp;CHAR(39)&amp;"!r2c"&amp;$C4015,0),variables,2,0)</f>
        <v>9651</v>
      </c>
      <c r="H4015" s="71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67" t="s">
        <v>1429</v>
      </c>
      <c r="B4016" s="66">
        <f t="shared" si="8167"/>
        <v>14</v>
      </c>
      <c r="C4016" s="66">
        <f t="shared" si="8170"/>
        <v>49</v>
      </c>
      <c r="E4016" s="66">
        <f t="shared" ref="E4016" si="8229">plan_id</f>
        <v>1952</v>
      </c>
      <c r="F4016" s="66">
        <f t="shared" ca="1" si="8133"/>
        <v>2012</v>
      </c>
      <c r="G4016" s="66">
        <f t="shared" ref="G4016" ca="1" si="8230">VLOOKUP(INDIRECT(CHAR(39)&amp;$A4016&amp;CHAR(39)&amp;"!r2c"&amp;$C4016,0),variables,2,0)</f>
        <v>9722</v>
      </c>
      <c r="H4016" s="71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67" t="s">
        <v>1429</v>
      </c>
      <c r="B4017" s="66">
        <f t="shared" si="8167"/>
        <v>14</v>
      </c>
      <c r="C4017" s="66">
        <f t="shared" si="8170"/>
        <v>50</v>
      </c>
      <c r="E4017" s="66">
        <f t="shared" ref="E4017" si="8231">plan_id</f>
        <v>1952</v>
      </c>
      <c r="F4017" s="66">
        <f t="shared" ca="1" si="8133"/>
        <v>2012</v>
      </c>
      <c r="G4017" s="66">
        <f t="shared" ref="G4017" ca="1" si="8232">VLOOKUP(INDIRECT(CHAR(39)&amp;$A4017&amp;CHAR(39)&amp;"!r2c"&amp;$C4017,0),variables,2,0)</f>
        <v>9848</v>
      </c>
      <c r="H4017" s="71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67" t="s">
        <v>1429</v>
      </c>
      <c r="B4018" s="66">
        <f t="shared" si="8167"/>
        <v>14</v>
      </c>
      <c r="C4018" s="66">
        <f t="shared" si="8170"/>
        <v>51</v>
      </c>
      <c r="E4018" s="66">
        <f t="shared" ref="E4018" si="8233">plan_id</f>
        <v>1952</v>
      </c>
      <c r="F4018" s="66">
        <f t="shared" ca="1" si="8133"/>
        <v>2012</v>
      </c>
      <c r="G4018" s="66">
        <f t="shared" ref="G4018" ca="1" si="8234">VLOOKUP(INDIRECT(CHAR(39)&amp;$A4018&amp;CHAR(39)&amp;"!r2c"&amp;$C4018,0),variables,2,0)</f>
        <v>9866</v>
      </c>
      <c r="H4018" s="71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67" t="s">
        <v>1429</v>
      </c>
      <c r="B4019" s="66">
        <f t="shared" si="8167"/>
        <v>14</v>
      </c>
      <c r="C4019" s="66">
        <f t="shared" si="8170"/>
        <v>52</v>
      </c>
      <c r="E4019" s="66">
        <f t="shared" ref="E4019" si="8235">plan_id</f>
        <v>1952</v>
      </c>
      <c r="F4019" s="66">
        <f t="shared" ca="1" si="8133"/>
        <v>2012</v>
      </c>
      <c r="G4019" s="66">
        <f t="shared" ref="G4019" ca="1" si="8236">VLOOKUP(INDIRECT(CHAR(39)&amp;$A4019&amp;CHAR(39)&amp;"!r2c"&amp;$C4019,0),variables,2,0)</f>
        <v>9899</v>
      </c>
      <c r="H4019" s="71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67" t="s">
        <v>1429</v>
      </c>
      <c r="B4020" s="66">
        <f t="shared" si="8167"/>
        <v>14</v>
      </c>
      <c r="C4020" s="66">
        <f t="shared" si="8170"/>
        <v>53</v>
      </c>
      <c r="E4020" s="66">
        <f t="shared" ref="E4020" si="8237">plan_id</f>
        <v>1952</v>
      </c>
      <c r="F4020" s="66">
        <f t="shared" ca="1" si="8133"/>
        <v>2012</v>
      </c>
      <c r="G4020" s="66">
        <f t="shared" ref="G4020" ca="1" si="8238">VLOOKUP(INDIRECT(CHAR(39)&amp;$A4020&amp;CHAR(39)&amp;"!r2c"&amp;$C4020,0),variables,2,0)</f>
        <v>9905</v>
      </c>
      <c r="H4020" s="71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67" t="s">
        <v>1429</v>
      </c>
      <c r="B4021" s="66">
        <f t="shared" si="8167"/>
        <v>14</v>
      </c>
      <c r="C4021" s="66">
        <f t="shared" si="8170"/>
        <v>54</v>
      </c>
      <c r="E4021" s="66">
        <f t="shared" ref="E4021" si="8239">plan_id</f>
        <v>1952</v>
      </c>
      <c r="F4021" s="66">
        <f t="shared" ca="1" si="8133"/>
        <v>2012</v>
      </c>
      <c r="G4021" s="66">
        <f t="shared" ref="G4021" ca="1" si="8240">VLOOKUP(INDIRECT(CHAR(39)&amp;$A4021&amp;CHAR(39)&amp;"!r2c"&amp;$C4021,0),variables,2,0)</f>
        <v>9929</v>
      </c>
      <c r="H4021" s="71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67" t="s">
        <v>1429</v>
      </c>
      <c r="B4022" s="66">
        <f t="shared" si="8167"/>
        <v>14</v>
      </c>
      <c r="C4022" s="66">
        <f t="shared" si="8170"/>
        <v>55</v>
      </c>
      <c r="E4022" s="66">
        <f t="shared" ref="E4022" si="8241">plan_id</f>
        <v>1952</v>
      </c>
      <c r="F4022" s="66">
        <f t="shared" ca="1" si="8133"/>
        <v>2012</v>
      </c>
      <c r="G4022" s="66">
        <f t="shared" ref="G4022" ca="1" si="8242">VLOOKUP(INDIRECT(CHAR(39)&amp;$A4022&amp;CHAR(39)&amp;"!r2c"&amp;$C4022,0),variables,2,0)</f>
        <v>9654</v>
      </c>
      <c r="H4022" s="71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67" t="s">
        <v>1429</v>
      </c>
      <c r="B4023" s="66">
        <f t="shared" si="8167"/>
        <v>14</v>
      </c>
      <c r="C4023" s="66">
        <f t="shared" si="8170"/>
        <v>56</v>
      </c>
      <c r="E4023" s="66">
        <f t="shared" ref="E4023" si="8243">plan_id</f>
        <v>1952</v>
      </c>
      <c r="F4023" s="66">
        <f t="shared" ca="1" si="8133"/>
        <v>2012</v>
      </c>
      <c r="G4023" s="66">
        <f t="shared" ref="G4023" ca="1" si="8244">VLOOKUP(INDIRECT(CHAR(39)&amp;$A4023&amp;CHAR(39)&amp;"!r2c"&amp;$C4023,0),variables,2,0)</f>
        <v>9707</v>
      </c>
      <c r="H4023" s="71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67" t="s">
        <v>1429</v>
      </c>
      <c r="B4024" s="66">
        <f t="shared" si="8167"/>
        <v>14</v>
      </c>
      <c r="C4024" s="66">
        <f t="shared" si="8170"/>
        <v>57</v>
      </c>
      <c r="E4024" s="66">
        <f t="shared" ref="E4024" si="8245">plan_id</f>
        <v>1952</v>
      </c>
      <c r="F4024" s="66">
        <f t="shared" ca="1" si="8133"/>
        <v>2012</v>
      </c>
      <c r="G4024" s="66">
        <f t="shared" ref="G4024" ca="1" si="8246">VLOOKUP(INDIRECT(CHAR(39)&amp;$A4024&amp;CHAR(39)&amp;"!r2c"&amp;$C4024,0),variables,2,0)</f>
        <v>9669</v>
      </c>
      <c r="H4024" s="71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67" t="s">
        <v>1429</v>
      </c>
      <c r="B4025" s="66">
        <f t="shared" si="8167"/>
        <v>14</v>
      </c>
      <c r="C4025" s="66">
        <f t="shared" si="8170"/>
        <v>58</v>
      </c>
      <c r="E4025" s="66">
        <f t="shared" ref="E4025" si="8247">plan_id</f>
        <v>1952</v>
      </c>
      <c r="F4025" s="66">
        <f t="shared" ca="1" si="8133"/>
        <v>2012</v>
      </c>
      <c r="G4025" s="66">
        <f t="shared" ref="G4025" ca="1" si="8248">VLOOKUP(INDIRECT(CHAR(39)&amp;$A4025&amp;CHAR(39)&amp;"!r2c"&amp;$C4025,0),variables,2,0)</f>
        <v>9851</v>
      </c>
      <c r="H4025" s="71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67" t="s">
        <v>1429</v>
      </c>
      <c r="B4026" s="66">
        <f t="shared" si="8167"/>
        <v>14</v>
      </c>
      <c r="C4026" s="66">
        <f t="shared" si="8170"/>
        <v>59</v>
      </c>
      <c r="E4026" s="66">
        <f t="shared" ref="E4026" si="8249">plan_id</f>
        <v>1952</v>
      </c>
      <c r="F4026" s="66">
        <f t="shared" ca="1" si="8133"/>
        <v>2012</v>
      </c>
      <c r="G4026" s="66">
        <f t="shared" ref="G4026" ca="1" si="8250">VLOOKUP(INDIRECT(CHAR(39)&amp;$A4026&amp;CHAR(39)&amp;"!r2c"&amp;$C4026,0),variables,2,0)</f>
        <v>9890</v>
      </c>
      <c r="H4026" s="71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67" t="s">
        <v>1429</v>
      </c>
      <c r="B4027" s="66">
        <f t="shared" si="8167"/>
        <v>14</v>
      </c>
      <c r="C4027" s="66">
        <f t="shared" si="8170"/>
        <v>60</v>
      </c>
      <c r="E4027" s="66">
        <f t="shared" ref="E4027" si="8251">plan_id</f>
        <v>1952</v>
      </c>
      <c r="F4027" s="66">
        <f t="shared" ca="1" si="8133"/>
        <v>2012</v>
      </c>
      <c r="G4027" s="66">
        <f t="shared" ref="G4027" ca="1" si="8252">VLOOKUP(INDIRECT(CHAR(39)&amp;$A4027&amp;CHAR(39)&amp;"!r2c"&amp;$C4027,0),variables,2,0)</f>
        <v>9893</v>
      </c>
      <c r="H4027" s="71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67" t="s">
        <v>1429</v>
      </c>
      <c r="B4028" s="66">
        <f t="shared" si="8167"/>
        <v>14</v>
      </c>
      <c r="C4028" s="66">
        <f t="shared" si="8170"/>
        <v>61</v>
      </c>
      <c r="E4028" s="66">
        <f t="shared" ref="E4028" si="8253">plan_id</f>
        <v>1952</v>
      </c>
      <c r="F4028" s="66">
        <f t="shared" ca="1" si="8133"/>
        <v>2012</v>
      </c>
      <c r="G4028" s="66">
        <f t="shared" ref="G4028" ca="1" si="8254">VLOOKUP(INDIRECT(CHAR(39)&amp;$A4028&amp;CHAR(39)&amp;"!r2c"&amp;$C4028,0),variables,2,0)</f>
        <v>9896</v>
      </c>
      <c r="H4028" s="71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67" t="s">
        <v>1429</v>
      </c>
      <c r="B4029" s="66">
        <f t="shared" si="8167"/>
        <v>14</v>
      </c>
      <c r="C4029" s="66">
        <f t="shared" si="8170"/>
        <v>62</v>
      </c>
      <c r="E4029" s="66">
        <f t="shared" ref="E4029" si="8255">plan_id</f>
        <v>1952</v>
      </c>
      <c r="F4029" s="66">
        <f t="shared" ca="1" si="8133"/>
        <v>2012</v>
      </c>
      <c r="G4029" s="66">
        <f t="shared" ref="G4029" ca="1" si="8256">VLOOKUP(INDIRECT(CHAR(39)&amp;$A4029&amp;CHAR(39)&amp;"!r2c"&amp;$C4029,0),variables,2,0)</f>
        <v>9660</v>
      </c>
      <c r="H4029" s="71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67" t="s">
        <v>1429</v>
      </c>
      <c r="B4030" s="66">
        <f t="shared" si="8167"/>
        <v>14</v>
      </c>
      <c r="C4030" s="66">
        <f t="shared" si="8170"/>
        <v>63</v>
      </c>
      <c r="E4030" s="66">
        <f t="shared" ref="E4030" si="8257">plan_id</f>
        <v>1952</v>
      </c>
      <c r="F4030" s="66">
        <f t="shared" ca="1" si="8133"/>
        <v>2012</v>
      </c>
      <c r="G4030" s="66">
        <f t="shared" ref="G4030" ca="1" si="8258">VLOOKUP(INDIRECT(CHAR(39)&amp;$A4030&amp;CHAR(39)&amp;"!r2c"&amp;$C4030,0),variables,2,0)</f>
        <v>9701</v>
      </c>
      <c r="H4030" s="71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67" t="s">
        <v>1429</v>
      </c>
      <c r="B4031" s="66">
        <f t="shared" si="8167"/>
        <v>14</v>
      </c>
      <c r="C4031" s="66">
        <f t="shared" si="8170"/>
        <v>64</v>
      </c>
      <c r="E4031" s="66">
        <f t="shared" ref="E4031" si="8259">plan_id</f>
        <v>1952</v>
      </c>
      <c r="F4031" s="66">
        <f t="shared" ca="1" si="8133"/>
        <v>2012</v>
      </c>
      <c r="G4031" s="66">
        <f t="shared" ref="G4031" ca="1" si="8260">VLOOKUP(INDIRECT(CHAR(39)&amp;$A4031&amp;CHAR(39)&amp;"!r2c"&amp;$C4031,0),variables,2,0)</f>
        <v>9728</v>
      </c>
      <c r="H4031" s="71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67" t="s">
        <v>1429</v>
      </c>
      <c r="B4032" s="66">
        <f t="shared" si="8167"/>
        <v>14</v>
      </c>
      <c r="C4032" s="66">
        <f t="shared" si="8170"/>
        <v>65</v>
      </c>
      <c r="E4032" s="66">
        <f t="shared" ref="E4032" si="8261">plan_id</f>
        <v>1952</v>
      </c>
      <c r="F4032" s="66">
        <f t="shared" ca="1" si="8133"/>
        <v>2012</v>
      </c>
      <c r="G4032" s="66">
        <f t="shared" ref="G4032" ca="1" si="8262">VLOOKUP(INDIRECT(CHAR(39)&amp;$A4032&amp;CHAR(39)&amp;"!r2c"&amp;$C4032,0),variables,2,0)</f>
        <v>9731</v>
      </c>
      <c r="H4032" s="71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67" t="s">
        <v>1429</v>
      </c>
      <c r="B4033" s="66">
        <f t="shared" si="8167"/>
        <v>14</v>
      </c>
      <c r="C4033" s="66">
        <f t="shared" si="8170"/>
        <v>66</v>
      </c>
      <c r="E4033" s="66">
        <f t="shared" ref="E4033" si="8263">plan_id</f>
        <v>1952</v>
      </c>
      <c r="F4033" s="66">
        <f t="shared" ref="F4033:F4096" ca="1" si="8264">INDIRECT(CHAR(39)&amp;$A4033&amp;CHAR(39)&amp;"!r"&amp;$B4033&amp;"c2",0)</f>
        <v>2012</v>
      </c>
      <c r="G4033" s="66">
        <f t="shared" ref="G4033" ca="1" si="8265">VLOOKUP(INDIRECT(CHAR(39)&amp;$A4033&amp;CHAR(39)&amp;"!r2c"&amp;$C4033,0),variables,2,0)</f>
        <v>9737</v>
      </c>
      <c r="H4033" s="71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67" t="s">
        <v>1429</v>
      </c>
      <c r="B4034" s="66">
        <f t="shared" si="8167"/>
        <v>14</v>
      </c>
      <c r="C4034" s="66">
        <f t="shared" si="8170"/>
        <v>67</v>
      </c>
      <c r="E4034" s="66">
        <f t="shared" ref="E4034" si="8266">plan_id</f>
        <v>1952</v>
      </c>
      <c r="F4034" s="66">
        <f t="shared" ca="1" si="8264"/>
        <v>2012</v>
      </c>
      <c r="G4034" s="66">
        <f t="shared" ref="G4034" ca="1" si="8267">VLOOKUP(INDIRECT(CHAR(39)&amp;$A4034&amp;CHAR(39)&amp;"!r2c"&amp;$C4034,0),variables,2,0)</f>
        <v>9740</v>
      </c>
      <c r="H4034" s="71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67" t="s">
        <v>1429</v>
      </c>
      <c r="B4035" s="66">
        <f t="shared" si="8167"/>
        <v>14</v>
      </c>
      <c r="C4035" s="66">
        <f t="shared" si="8170"/>
        <v>68</v>
      </c>
      <c r="E4035" s="66">
        <f t="shared" ref="E4035" si="8268">plan_id</f>
        <v>1952</v>
      </c>
      <c r="F4035" s="66">
        <f t="shared" ca="1" si="8264"/>
        <v>2012</v>
      </c>
      <c r="G4035" s="66">
        <f t="shared" ref="G4035" ca="1" si="8269">VLOOKUP(INDIRECT(CHAR(39)&amp;$A4035&amp;CHAR(39)&amp;"!r2c"&amp;$C4035,0),variables,2,0)</f>
        <v>9752</v>
      </c>
      <c r="H4035" s="71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67" t="s">
        <v>1429</v>
      </c>
      <c r="B4036" s="66">
        <f t="shared" si="8167"/>
        <v>14</v>
      </c>
      <c r="C4036" s="66">
        <f t="shared" si="8170"/>
        <v>69</v>
      </c>
      <c r="E4036" s="66">
        <f t="shared" ref="E4036" si="8270">plan_id</f>
        <v>1952</v>
      </c>
      <c r="F4036" s="66">
        <f t="shared" ca="1" si="8264"/>
        <v>2012</v>
      </c>
      <c r="G4036" s="66">
        <f t="shared" ref="G4036" ca="1" si="8271">VLOOKUP(INDIRECT(CHAR(39)&amp;$A4036&amp;CHAR(39)&amp;"!r2c"&amp;$C4036,0),variables,2,0)</f>
        <v>9791</v>
      </c>
      <c r="H4036" s="71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67" t="s">
        <v>1429</v>
      </c>
      <c r="B4037" s="66">
        <f t="shared" si="8167"/>
        <v>14</v>
      </c>
      <c r="C4037" s="66">
        <f t="shared" si="8170"/>
        <v>70</v>
      </c>
      <c r="E4037" s="66">
        <f t="shared" ref="E4037" si="8272">plan_id</f>
        <v>1952</v>
      </c>
      <c r="F4037" s="66">
        <f t="shared" ca="1" si="8264"/>
        <v>2012</v>
      </c>
      <c r="G4037" s="66">
        <f t="shared" ref="G4037" ca="1" si="8273">VLOOKUP(INDIRECT(CHAR(39)&amp;$A4037&amp;CHAR(39)&amp;"!r2c"&amp;$C4037,0),variables,2,0)</f>
        <v>9800</v>
      </c>
      <c r="H4037" s="71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67" t="s">
        <v>1429</v>
      </c>
      <c r="B4038" s="66">
        <f t="shared" si="8167"/>
        <v>14</v>
      </c>
      <c r="C4038" s="66">
        <f t="shared" si="8170"/>
        <v>71</v>
      </c>
      <c r="E4038" s="66">
        <f t="shared" ref="E4038" si="8274">plan_id</f>
        <v>1952</v>
      </c>
      <c r="F4038" s="66">
        <f t="shared" ca="1" si="8264"/>
        <v>2012</v>
      </c>
      <c r="G4038" s="66">
        <f t="shared" ref="G4038" ca="1" si="8275">VLOOKUP(INDIRECT(CHAR(39)&amp;$A4038&amp;CHAR(39)&amp;"!r2c"&amp;$C4038,0),variables,2,0)</f>
        <v>9842</v>
      </c>
      <c r="H4038" s="71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67" t="s">
        <v>1429</v>
      </c>
      <c r="B4039" s="66">
        <f t="shared" si="8167"/>
        <v>14</v>
      </c>
      <c r="C4039" s="66">
        <f t="shared" si="8170"/>
        <v>72</v>
      </c>
      <c r="E4039" s="66">
        <f t="shared" ref="E4039" si="8276">plan_id</f>
        <v>1952</v>
      </c>
      <c r="F4039" s="66">
        <f t="shared" ca="1" si="8264"/>
        <v>2012</v>
      </c>
      <c r="G4039" s="66">
        <f t="shared" ref="G4039" ca="1" si="8277">VLOOKUP(INDIRECT(CHAR(39)&amp;$A4039&amp;CHAR(39)&amp;"!r2c"&amp;$C4039,0),variables,2,0)</f>
        <v>9854</v>
      </c>
      <c r="H4039" s="71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67" t="s">
        <v>1429</v>
      </c>
      <c r="B4040" s="66">
        <f t="shared" si="8167"/>
        <v>14</v>
      </c>
      <c r="C4040" s="66">
        <f t="shared" si="8170"/>
        <v>73</v>
      </c>
      <c r="E4040" s="66">
        <f t="shared" ref="E4040" si="8278">plan_id</f>
        <v>1952</v>
      </c>
      <c r="F4040" s="66">
        <f t="shared" ca="1" si="8264"/>
        <v>2012</v>
      </c>
      <c r="G4040" s="66">
        <f t="shared" ref="G4040" ca="1" si="8279">VLOOKUP(INDIRECT(CHAR(39)&amp;$A4040&amp;CHAR(39)&amp;"!r2c"&amp;$C4040,0),variables,2,0)</f>
        <v>9869</v>
      </c>
      <c r="H4040" s="71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67" t="s">
        <v>1429</v>
      </c>
      <c r="B4041" s="66">
        <f t="shared" si="8167"/>
        <v>14</v>
      </c>
      <c r="C4041" s="66">
        <f t="shared" si="8170"/>
        <v>74</v>
      </c>
      <c r="E4041" s="66">
        <f t="shared" ref="E4041" si="8280">plan_id</f>
        <v>1952</v>
      </c>
      <c r="F4041" s="66">
        <f t="shared" ca="1" si="8264"/>
        <v>2012</v>
      </c>
      <c r="G4041" s="66">
        <f t="shared" ref="G4041" ca="1" si="8281">VLOOKUP(INDIRECT(CHAR(39)&amp;$A4041&amp;CHAR(39)&amp;"!r2c"&amp;$C4041,0),variables,2,0)</f>
        <v>9873</v>
      </c>
      <c r="H4041" s="71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67" t="s">
        <v>1429</v>
      </c>
      <c r="B4042" s="66">
        <f t="shared" si="8167"/>
        <v>14</v>
      </c>
      <c r="C4042" s="66">
        <f t="shared" si="8170"/>
        <v>75</v>
      </c>
      <c r="E4042" s="66">
        <f t="shared" ref="E4042" si="8282">plan_id</f>
        <v>1952</v>
      </c>
      <c r="F4042" s="66">
        <f t="shared" ca="1" si="8264"/>
        <v>2012</v>
      </c>
      <c r="G4042" s="66">
        <f t="shared" ref="G4042" ca="1" si="8283">VLOOKUP(INDIRECT(CHAR(39)&amp;$A4042&amp;CHAR(39)&amp;"!r2c"&amp;$C4042,0),variables,2,0)</f>
        <v>9881</v>
      </c>
      <c r="H4042" s="71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67" t="s">
        <v>1429</v>
      </c>
      <c r="B4043" s="66">
        <f t="shared" si="8167"/>
        <v>14</v>
      </c>
      <c r="C4043" s="66">
        <f t="shared" si="8170"/>
        <v>76</v>
      </c>
      <c r="E4043" s="66">
        <f t="shared" ref="E4043" si="8284">plan_id</f>
        <v>1952</v>
      </c>
      <c r="F4043" s="66">
        <f t="shared" ca="1" si="8264"/>
        <v>2012</v>
      </c>
      <c r="G4043" s="66">
        <f t="shared" ref="G4043" ca="1" si="8285">VLOOKUP(INDIRECT(CHAR(39)&amp;$A4043&amp;CHAR(39)&amp;"!r2c"&amp;$C4043,0),variables,2,0)</f>
        <v>9908</v>
      </c>
      <c r="H4043" s="71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67" t="s">
        <v>1429</v>
      </c>
      <c r="B4044" s="66">
        <f t="shared" si="8167"/>
        <v>14</v>
      </c>
      <c r="C4044" s="66">
        <f t="shared" si="8170"/>
        <v>77</v>
      </c>
      <c r="E4044" s="66">
        <f t="shared" ref="E4044" si="8286">plan_id</f>
        <v>1952</v>
      </c>
      <c r="F4044" s="66">
        <f t="shared" ca="1" si="8264"/>
        <v>2012</v>
      </c>
      <c r="G4044" s="66">
        <f t="shared" ref="G4044" ca="1" si="8287">VLOOKUP(INDIRECT(CHAR(39)&amp;$A4044&amp;CHAR(39)&amp;"!r2c"&amp;$C4044,0),variables,2,0)</f>
        <v>9911</v>
      </c>
      <c r="H4044" s="71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67" t="s">
        <v>1429</v>
      </c>
      <c r="B4045" s="66">
        <f t="shared" si="8167"/>
        <v>14</v>
      </c>
      <c r="C4045" s="66">
        <f t="shared" si="8170"/>
        <v>78</v>
      </c>
      <c r="E4045" s="66">
        <f t="shared" ref="E4045" si="8288">plan_id</f>
        <v>1952</v>
      </c>
      <c r="F4045" s="66">
        <f t="shared" ca="1" si="8264"/>
        <v>2012</v>
      </c>
      <c r="G4045" s="66">
        <f t="shared" ref="G4045" ca="1" si="8289">VLOOKUP(INDIRECT(CHAR(39)&amp;$A4045&amp;CHAR(39)&amp;"!r2c"&amp;$C4045,0),variables,2,0)</f>
        <v>9663</v>
      </c>
      <c r="H4045" s="71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67" t="s">
        <v>1429</v>
      </c>
      <c r="B4046" s="66">
        <f t="shared" si="8167"/>
        <v>14</v>
      </c>
      <c r="C4046" s="66">
        <f t="shared" si="8170"/>
        <v>79</v>
      </c>
      <c r="E4046" s="66">
        <f t="shared" ref="E4046" si="8290">plan_id</f>
        <v>1952</v>
      </c>
      <c r="F4046" s="66">
        <f t="shared" ca="1" si="8264"/>
        <v>2012</v>
      </c>
      <c r="G4046" s="66">
        <f t="shared" ref="G4046" ca="1" si="8291">VLOOKUP(INDIRECT(CHAR(39)&amp;$A4046&amp;CHAR(39)&amp;"!r2c"&amp;$C4046,0),variables,2,0)</f>
        <v>9710</v>
      </c>
      <c r="H4046" s="71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67" t="s">
        <v>1429</v>
      </c>
      <c r="B4047" s="66">
        <f t="shared" si="8167"/>
        <v>14</v>
      </c>
      <c r="C4047" s="66">
        <f t="shared" si="8170"/>
        <v>80</v>
      </c>
      <c r="E4047" s="66">
        <f t="shared" ref="E4047" si="8292">plan_id</f>
        <v>1952</v>
      </c>
      <c r="F4047" s="66">
        <f t="shared" ca="1" si="8264"/>
        <v>2012</v>
      </c>
      <c r="G4047" s="66">
        <f t="shared" ref="G4047" ca="1" si="8293">VLOOKUP(INDIRECT(CHAR(39)&amp;$A4047&amp;CHAR(39)&amp;"!r2c"&amp;$C4047,0),variables,2,0)</f>
        <v>9758</v>
      </c>
      <c r="H4047" s="71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67" t="s">
        <v>1429</v>
      </c>
      <c r="B4048" s="66">
        <f t="shared" si="8167"/>
        <v>14</v>
      </c>
      <c r="C4048" s="66">
        <f t="shared" si="8170"/>
        <v>81</v>
      </c>
      <c r="E4048" s="66">
        <f t="shared" ref="E4048" si="8294">plan_id</f>
        <v>1952</v>
      </c>
      <c r="F4048" s="66">
        <f t="shared" ca="1" si="8264"/>
        <v>2012</v>
      </c>
      <c r="G4048" s="66">
        <f t="shared" ref="G4048" ca="1" si="8295">VLOOKUP(INDIRECT(CHAR(39)&amp;$A4048&amp;CHAR(39)&amp;"!r2c"&amp;$C4048,0),variables,2,0)</f>
        <v>9803</v>
      </c>
      <c r="H4048" s="71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67" t="s">
        <v>1429</v>
      </c>
      <c r="B4049" s="66">
        <f t="shared" si="8167"/>
        <v>14</v>
      </c>
      <c r="C4049" s="66">
        <f t="shared" si="8170"/>
        <v>82</v>
      </c>
      <c r="E4049" s="66">
        <f t="shared" ref="E4049" si="8296">plan_id</f>
        <v>1952</v>
      </c>
      <c r="F4049" s="66">
        <f t="shared" ca="1" si="8264"/>
        <v>2012</v>
      </c>
      <c r="G4049" s="66">
        <f t="shared" ref="G4049" ca="1" si="8297">VLOOKUP(INDIRECT(CHAR(39)&amp;$A4049&amp;CHAR(39)&amp;"!r2c"&amp;$C4049,0),variables,2,0)</f>
        <v>9857</v>
      </c>
      <c r="H4049" s="71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67" t="s">
        <v>1429</v>
      </c>
      <c r="B4050" s="66">
        <f t="shared" ref="B4050:B4113" si="8298">B3962+1</f>
        <v>14</v>
      </c>
      <c r="C4050" s="66">
        <f t="shared" si="8170"/>
        <v>83</v>
      </c>
      <c r="E4050" s="66">
        <f t="shared" ref="E4050" si="8299">plan_id</f>
        <v>1952</v>
      </c>
      <c r="F4050" s="66">
        <f t="shared" ca="1" si="8264"/>
        <v>2012</v>
      </c>
      <c r="G4050" s="66">
        <f t="shared" ref="G4050" ca="1" si="8300">VLOOKUP(INDIRECT(CHAR(39)&amp;$A4050&amp;CHAR(39)&amp;"!r2c"&amp;$C4050,0),variables,2,0)</f>
        <v>9902</v>
      </c>
      <c r="H4050" s="71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67" t="s">
        <v>1429</v>
      </c>
      <c r="B4051" s="66">
        <f t="shared" si="8298"/>
        <v>14</v>
      </c>
      <c r="C4051" s="66">
        <f t="shared" ref="C4051:C4114" si="8301">C3963</f>
        <v>84</v>
      </c>
      <c r="E4051" s="66">
        <f t="shared" ref="E4051" si="8302">plan_id</f>
        <v>1952</v>
      </c>
      <c r="F4051" s="66">
        <f t="shared" ca="1" si="8264"/>
        <v>2012</v>
      </c>
      <c r="G4051" s="66">
        <f t="shared" ref="G4051" ca="1" si="8303">VLOOKUP(INDIRECT(CHAR(39)&amp;$A4051&amp;CHAR(39)&amp;"!r2c"&amp;$C4051,0),variables,2,0)</f>
        <v>9926</v>
      </c>
      <c r="H4051" s="71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67" t="s">
        <v>1429</v>
      </c>
      <c r="B4052" s="66">
        <f t="shared" si="8298"/>
        <v>14</v>
      </c>
      <c r="C4052" s="66">
        <f t="shared" si="8301"/>
        <v>85</v>
      </c>
      <c r="E4052" s="66">
        <f t="shared" ref="E4052" si="8304">plan_id</f>
        <v>1952</v>
      </c>
      <c r="F4052" s="66">
        <f t="shared" ca="1" si="8264"/>
        <v>2012</v>
      </c>
      <c r="G4052" s="66">
        <f t="shared" ref="G4052" ca="1" si="8305">VLOOKUP(INDIRECT(CHAR(39)&amp;$A4052&amp;CHAR(39)&amp;"!r2c"&amp;$C4052,0),variables,2,0)</f>
        <v>9666</v>
      </c>
      <c r="H4052" s="71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67" t="s">
        <v>1429</v>
      </c>
      <c r="B4053" s="66">
        <f t="shared" si="8298"/>
        <v>14</v>
      </c>
      <c r="C4053" s="66">
        <f t="shared" si="8301"/>
        <v>86</v>
      </c>
      <c r="E4053" s="66">
        <f t="shared" ref="E4053" si="8306">plan_id</f>
        <v>1952</v>
      </c>
      <c r="F4053" s="66">
        <f t="shared" ca="1" si="8264"/>
        <v>2012</v>
      </c>
      <c r="G4053" s="66">
        <f t="shared" ref="G4053" ca="1" si="8307">VLOOKUP(INDIRECT(CHAR(39)&amp;$A4053&amp;CHAR(39)&amp;"!r2c"&amp;$C4053,0),variables,2,0)</f>
        <v>9827</v>
      </c>
      <c r="H4053" s="71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67" t="s">
        <v>1429</v>
      </c>
      <c r="B4054" s="66">
        <f t="shared" si="8298"/>
        <v>14</v>
      </c>
      <c r="C4054" s="66">
        <f t="shared" si="8301"/>
        <v>87</v>
      </c>
      <c r="E4054" s="66">
        <f t="shared" ref="E4054" si="8308">plan_id</f>
        <v>1952</v>
      </c>
      <c r="F4054" s="66">
        <f t="shared" ca="1" si="8264"/>
        <v>2012</v>
      </c>
      <c r="G4054" s="66">
        <f t="shared" ref="G4054" ca="1" si="8309">VLOOKUP(INDIRECT(CHAR(39)&amp;$A4054&amp;CHAR(39)&amp;"!r2c"&amp;$C4054,0),variables,2,0)</f>
        <v>9657</v>
      </c>
      <c r="H4054" s="71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67" t="s">
        <v>1429</v>
      </c>
      <c r="B4055" s="66">
        <f t="shared" si="8298"/>
        <v>14</v>
      </c>
      <c r="C4055" s="66">
        <f t="shared" si="8301"/>
        <v>88</v>
      </c>
      <c r="E4055" s="66">
        <f t="shared" ref="E4055" si="8310">plan_id</f>
        <v>1952</v>
      </c>
      <c r="F4055" s="66">
        <f t="shared" ca="1" si="8264"/>
        <v>2012</v>
      </c>
      <c r="G4055" s="66">
        <f t="shared" ref="G4055" ca="1" si="8311">VLOOKUP(INDIRECT(CHAR(39)&amp;$A4055&amp;CHAR(39)&amp;"!r2c"&amp;$C4055,0),variables,2,0)</f>
        <v>9834</v>
      </c>
      <c r="H4055" s="71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67" t="s">
        <v>1429</v>
      </c>
      <c r="B4056" s="66">
        <f t="shared" si="8298"/>
        <v>14</v>
      </c>
      <c r="C4056" s="66">
        <f t="shared" si="8301"/>
        <v>89</v>
      </c>
      <c r="E4056" s="66">
        <f t="shared" ref="E4056" si="8312">plan_id</f>
        <v>1952</v>
      </c>
      <c r="F4056" s="66">
        <f t="shared" ca="1" si="8264"/>
        <v>2012</v>
      </c>
      <c r="G4056" s="66">
        <f t="shared" ref="G4056" ca="1" si="8313">VLOOKUP(INDIRECT(CHAR(39)&amp;$A4056&amp;CHAR(39)&amp;"!r2c"&amp;$C4056,0),variables,2,0)</f>
        <v>9884</v>
      </c>
      <c r="H4056" s="71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67" t="s">
        <v>1429</v>
      </c>
      <c r="B4057" s="66">
        <f t="shared" si="8298"/>
        <v>14</v>
      </c>
      <c r="C4057" s="66">
        <f t="shared" si="8301"/>
        <v>90</v>
      </c>
      <c r="E4057" s="66">
        <f t="shared" ref="E4057" si="8314">plan_id</f>
        <v>1952</v>
      </c>
      <c r="F4057" s="66">
        <f t="shared" ca="1" si="8264"/>
        <v>2012</v>
      </c>
      <c r="G4057" s="66">
        <f t="shared" ref="G4057" ca="1" si="8315">VLOOKUP(INDIRECT(CHAR(39)&amp;$A4057&amp;CHAR(39)&amp;"!r2c"&amp;$C4057,0),variables,2,0)</f>
        <v>9672</v>
      </c>
      <c r="H4057" s="71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67" t="s">
        <v>1429</v>
      </c>
      <c r="B4058" s="66">
        <f t="shared" si="8298"/>
        <v>15</v>
      </c>
      <c r="C4058" s="66">
        <f t="shared" si="8301"/>
        <v>3</v>
      </c>
      <c r="E4058" s="66">
        <f t="shared" ref="E4058" si="8316">plan_id</f>
        <v>1952</v>
      </c>
      <c r="F4058" s="66">
        <f t="shared" ca="1" si="8264"/>
        <v>2013</v>
      </c>
      <c r="G4058" s="66">
        <f t="shared" ref="G4058" ca="1" si="8317">VLOOKUP(INDIRECT(CHAR(39)&amp;$A4058&amp;CHAR(39)&amp;"!r2c"&amp;$C4058,0),variables,2,0)</f>
        <v>9704</v>
      </c>
      <c r="H4058" s="71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67" t="s">
        <v>1429</v>
      </c>
      <c r="B4059" s="66">
        <f t="shared" si="8298"/>
        <v>15</v>
      </c>
      <c r="C4059" s="66">
        <f t="shared" si="8301"/>
        <v>4</v>
      </c>
      <c r="E4059" s="66">
        <f t="shared" ref="E4059" si="8318">plan_id</f>
        <v>1952</v>
      </c>
      <c r="F4059" s="66">
        <f t="shared" ca="1" si="8264"/>
        <v>2013</v>
      </c>
      <c r="G4059" s="66">
        <f t="shared" ref="G4059" ca="1" si="8319">VLOOKUP(INDIRECT(CHAR(39)&amp;$A4059&amp;CHAR(39)&amp;"!r2c"&amp;$C4059,0),variables,2,0)</f>
        <v>9716</v>
      </c>
      <c r="H4059" s="71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67" t="s">
        <v>1429</v>
      </c>
      <c r="B4060" s="66">
        <f t="shared" si="8298"/>
        <v>15</v>
      </c>
      <c r="C4060" s="66">
        <f t="shared" si="8301"/>
        <v>5</v>
      </c>
      <c r="E4060" s="66">
        <f t="shared" ref="E4060" si="8320">plan_id</f>
        <v>1952</v>
      </c>
      <c r="F4060" s="66">
        <f t="shared" ca="1" si="8264"/>
        <v>2013</v>
      </c>
      <c r="G4060" s="66">
        <f t="shared" ref="G4060" ca="1" si="8321">VLOOKUP(INDIRECT(CHAR(39)&amp;$A4060&amp;CHAR(39)&amp;"!r2c"&amp;$C4060,0),variables,2,0)</f>
        <v>9734</v>
      </c>
      <c r="H4060" s="71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67" t="s">
        <v>1429</v>
      </c>
      <c r="B4061" s="66">
        <f t="shared" si="8298"/>
        <v>15</v>
      </c>
      <c r="C4061" s="66">
        <f t="shared" si="8301"/>
        <v>6</v>
      </c>
      <c r="E4061" s="66">
        <f t="shared" ref="E4061" si="8322">plan_id</f>
        <v>1952</v>
      </c>
      <c r="F4061" s="66">
        <f t="shared" ca="1" si="8264"/>
        <v>2013</v>
      </c>
      <c r="G4061" s="66">
        <f t="shared" ref="G4061" ca="1" si="8323">VLOOKUP(INDIRECT(CHAR(39)&amp;$A4061&amp;CHAR(39)&amp;"!r2c"&amp;$C4061,0),variables,2,0)</f>
        <v>9749</v>
      </c>
      <c r="H4061" s="71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67" t="s">
        <v>1429</v>
      </c>
      <c r="B4062" s="66">
        <f t="shared" si="8298"/>
        <v>15</v>
      </c>
      <c r="C4062" s="66">
        <f t="shared" si="8301"/>
        <v>7</v>
      </c>
      <c r="E4062" s="66">
        <f t="shared" ref="E4062" si="8324">plan_id</f>
        <v>1952</v>
      </c>
      <c r="F4062" s="66">
        <f t="shared" ca="1" si="8264"/>
        <v>2013</v>
      </c>
      <c r="G4062" s="66">
        <f t="shared" ref="G4062" ca="1" si="8325">VLOOKUP(INDIRECT(CHAR(39)&amp;$A4062&amp;CHAR(39)&amp;"!r2c"&amp;$C4062,0),variables,2,0)</f>
        <v>9755</v>
      </c>
      <c r="H4062" s="71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67" t="s">
        <v>1429</v>
      </c>
      <c r="B4063" s="66">
        <f t="shared" si="8298"/>
        <v>15</v>
      </c>
      <c r="C4063" s="66">
        <f t="shared" si="8301"/>
        <v>8</v>
      </c>
      <c r="E4063" s="66">
        <f t="shared" ref="E4063" si="8326">plan_id</f>
        <v>1952</v>
      </c>
      <c r="F4063" s="66">
        <f t="shared" ca="1" si="8264"/>
        <v>2013</v>
      </c>
      <c r="G4063" s="66">
        <f t="shared" ref="G4063" ca="1" si="8327">VLOOKUP(INDIRECT(CHAR(39)&amp;$A4063&amp;CHAR(39)&amp;"!r2c"&amp;$C4063,0),variables,2,0)</f>
        <v>9782</v>
      </c>
      <c r="H4063" s="71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67" t="s">
        <v>1429</v>
      </c>
      <c r="B4064" s="66">
        <f t="shared" si="8298"/>
        <v>15</v>
      </c>
      <c r="C4064" s="66">
        <f t="shared" si="8301"/>
        <v>9</v>
      </c>
      <c r="E4064" s="66">
        <f t="shared" ref="E4064" si="8328">plan_id</f>
        <v>1952</v>
      </c>
      <c r="F4064" s="66">
        <f t="shared" ca="1" si="8264"/>
        <v>2013</v>
      </c>
      <c r="G4064" s="66">
        <f t="shared" ref="G4064" ca="1" si="8329">VLOOKUP(INDIRECT(CHAR(39)&amp;$A4064&amp;CHAR(39)&amp;"!r2c"&amp;$C4064,0),variables,2,0)</f>
        <v>9788</v>
      </c>
      <c r="H4064" s="71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67" t="s">
        <v>1429</v>
      </c>
      <c r="B4065" s="66">
        <f t="shared" si="8298"/>
        <v>15</v>
      </c>
      <c r="C4065" s="66">
        <f t="shared" si="8301"/>
        <v>10</v>
      </c>
      <c r="E4065" s="66">
        <f t="shared" ref="E4065" si="8330">plan_id</f>
        <v>1952</v>
      </c>
      <c r="F4065" s="66">
        <f t="shared" ca="1" si="8264"/>
        <v>2013</v>
      </c>
      <c r="G4065" s="66">
        <f t="shared" ref="G4065" ca="1" si="8331">VLOOKUP(INDIRECT(CHAR(39)&amp;$A4065&amp;CHAR(39)&amp;"!r2c"&amp;$C4065,0),variables,2,0)</f>
        <v>9812</v>
      </c>
      <c r="H4065" s="71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67" t="s">
        <v>1429</v>
      </c>
      <c r="B4066" s="66">
        <f t="shared" si="8298"/>
        <v>15</v>
      </c>
      <c r="C4066" s="66">
        <f t="shared" si="8301"/>
        <v>11</v>
      </c>
      <c r="E4066" s="66">
        <f t="shared" ref="E4066" si="8332">plan_id</f>
        <v>1952</v>
      </c>
      <c r="F4066" s="66">
        <f t="shared" ca="1" si="8264"/>
        <v>2013</v>
      </c>
      <c r="G4066" s="66">
        <f t="shared" ref="G4066" ca="1" si="8333">VLOOKUP(INDIRECT(CHAR(39)&amp;$A4066&amp;CHAR(39)&amp;"!r2c"&amp;$C4066,0),variables,2,0)</f>
        <v>9815</v>
      </c>
      <c r="H4066" s="71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67" t="s">
        <v>1429</v>
      </c>
      <c r="B4067" s="66">
        <f t="shared" si="8298"/>
        <v>15</v>
      </c>
      <c r="C4067" s="66">
        <f t="shared" si="8301"/>
        <v>12</v>
      </c>
      <c r="E4067" s="66">
        <f t="shared" ref="E4067" si="8334">plan_id</f>
        <v>1952</v>
      </c>
      <c r="F4067" s="66">
        <f t="shared" ca="1" si="8264"/>
        <v>2013</v>
      </c>
      <c r="G4067" s="66">
        <f t="shared" ref="G4067" ca="1" si="8335">VLOOKUP(INDIRECT(CHAR(39)&amp;$A4067&amp;CHAR(39)&amp;"!r2c"&amp;$C4067,0),variables,2,0)</f>
        <v>9821</v>
      </c>
      <c r="H4067" s="71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67" t="s">
        <v>1429</v>
      </c>
      <c r="B4068" s="66">
        <f t="shared" si="8298"/>
        <v>15</v>
      </c>
      <c r="C4068" s="66">
        <f t="shared" si="8301"/>
        <v>13</v>
      </c>
      <c r="E4068" s="66">
        <f t="shared" ref="E4068" si="8336">plan_id</f>
        <v>1952</v>
      </c>
      <c r="F4068" s="66">
        <f t="shared" ca="1" si="8264"/>
        <v>2013</v>
      </c>
      <c r="G4068" s="66">
        <f t="shared" ref="G4068" ca="1" si="8337">VLOOKUP(INDIRECT(CHAR(39)&amp;$A4068&amp;CHAR(39)&amp;"!r2c"&amp;$C4068,0),variables,2,0)</f>
        <v>9824</v>
      </c>
      <c r="H4068" s="71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67" t="s">
        <v>1429</v>
      </c>
      <c r="B4069" s="66">
        <f t="shared" si="8298"/>
        <v>15</v>
      </c>
      <c r="C4069" s="66">
        <f t="shared" si="8301"/>
        <v>14</v>
      </c>
      <c r="E4069" s="66">
        <f t="shared" ref="E4069" si="8338">plan_id</f>
        <v>1952</v>
      </c>
      <c r="F4069" s="66">
        <f t="shared" ca="1" si="8264"/>
        <v>2013</v>
      </c>
      <c r="G4069" s="66">
        <f t="shared" ref="G4069" ca="1" si="8339">VLOOKUP(INDIRECT(CHAR(39)&amp;$A4069&amp;CHAR(39)&amp;"!r2c"&amp;$C4069,0),variables,2,0)</f>
        <v>9830</v>
      </c>
      <c r="H4069" s="71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67" t="s">
        <v>1429</v>
      </c>
      <c r="B4070" s="66">
        <f t="shared" si="8298"/>
        <v>15</v>
      </c>
      <c r="C4070" s="66">
        <f t="shared" si="8301"/>
        <v>15</v>
      </c>
      <c r="E4070" s="66">
        <f t="shared" ref="E4070" si="8340">plan_id</f>
        <v>1952</v>
      </c>
      <c r="F4070" s="66">
        <f t="shared" ca="1" si="8264"/>
        <v>2013</v>
      </c>
      <c r="G4070" s="66">
        <f t="shared" ref="G4070" ca="1" si="8341">VLOOKUP(INDIRECT(CHAR(39)&amp;$A4070&amp;CHAR(39)&amp;"!r2c"&amp;$C4070,0),variables,2,0)</f>
        <v>9833</v>
      </c>
      <c r="H4070" s="71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67" t="s">
        <v>1429</v>
      </c>
      <c r="B4071" s="66">
        <f t="shared" si="8298"/>
        <v>15</v>
      </c>
      <c r="C4071" s="66">
        <f t="shared" si="8301"/>
        <v>16</v>
      </c>
      <c r="E4071" s="66">
        <f t="shared" ref="E4071" si="8342">plan_id</f>
        <v>1952</v>
      </c>
      <c r="F4071" s="66">
        <f t="shared" ca="1" si="8264"/>
        <v>2013</v>
      </c>
      <c r="G4071" s="66">
        <f t="shared" ref="G4071" ca="1" si="8343">VLOOKUP(INDIRECT(CHAR(39)&amp;$A4071&amp;CHAR(39)&amp;"!r2c"&amp;$C4071,0),variables,2,0)</f>
        <v>9845</v>
      </c>
      <c r="H4071" s="71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67" t="s">
        <v>1429</v>
      </c>
      <c r="B4072" s="66">
        <f t="shared" si="8298"/>
        <v>15</v>
      </c>
      <c r="C4072" s="66">
        <f t="shared" si="8301"/>
        <v>17</v>
      </c>
      <c r="E4072" s="66">
        <f t="shared" ref="E4072" si="8344">plan_id</f>
        <v>1952</v>
      </c>
      <c r="F4072" s="66">
        <f t="shared" ca="1" si="8264"/>
        <v>2013</v>
      </c>
      <c r="G4072" s="66">
        <f t="shared" ref="G4072" ca="1" si="8345">VLOOKUP(INDIRECT(CHAR(39)&amp;$A4072&amp;CHAR(39)&amp;"!r2c"&amp;$C4072,0),variables,2,0)</f>
        <v>9872</v>
      </c>
      <c r="H4072" s="71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67" t="s">
        <v>1429</v>
      </c>
      <c r="B4073" s="66">
        <f t="shared" si="8298"/>
        <v>15</v>
      </c>
      <c r="C4073" s="66">
        <f t="shared" si="8301"/>
        <v>18</v>
      </c>
      <c r="E4073" s="66">
        <f t="shared" ref="E4073" si="8346">plan_id</f>
        <v>1952</v>
      </c>
      <c r="F4073" s="66">
        <f t="shared" ca="1" si="8264"/>
        <v>2013</v>
      </c>
      <c r="G4073" s="66">
        <f t="shared" ref="G4073" ca="1" si="8347">VLOOKUP(INDIRECT(CHAR(39)&amp;$A4073&amp;CHAR(39)&amp;"!r2c"&amp;$C4073,0),variables,2,0)</f>
        <v>9887</v>
      </c>
      <c r="H4073" s="71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67" t="s">
        <v>1429</v>
      </c>
      <c r="B4074" s="66">
        <f t="shared" si="8298"/>
        <v>15</v>
      </c>
      <c r="C4074" s="66">
        <f t="shared" si="8301"/>
        <v>19</v>
      </c>
      <c r="E4074" s="66">
        <f t="shared" ref="E4074" si="8348">plan_id</f>
        <v>1952</v>
      </c>
      <c r="F4074" s="66">
        <f t="shared" ca="1" si="8264"/>
        <v>2013</v>
      </c>
      <c r="G4074" s="66">
        <f t="shared" ref="G4074" ca="1" si="8349">VLOOKUP(INDIRECT(CHAR(39)&amp;$A4074&amp;CHAR(39)&amp;"!r2c"&amp;$C4074,0),variables,2,0)</f>
        <v>9914</v>
      </c>
      <c r="H4074" s="71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67" t="s">
        <v>1429</v>
      </c>
      <c r="B4075" s="66">
        <f t="shared" si="8298"/>
        <v>15</v>
      </c>
      <c r="C4075" s="66">
        <f t="shared" si="8301"/>
        <v>20</v>
      </c>
      <c r="E4075" s="66">
        <f t="shared" ref="E4075" si="8350">plan_id</f>
        <v>1952</v>
      </c>
      <c r="F4075" s="66">
        <f t="shared" ca="1" si="8264"/>
        <v>2013</v>
      </c>
      <c r="G4075" s="66">
        <f t="shared" ref="G4075" ca="1" si="8351">VLOOKUP(INDIRECT(CHAR(39)&amp;$A4075&amp;CHAR(39)&amp;"!r2c"&amp;$C4075,0),variables,2,0)</f>
        <v>9917</v>
      </c>
      <c r="H4075" s="71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67" t="s">
        <v>1429</v>
      </c>
      <c r="B4076" s="66">
        <f t="shared" si="8298"/>
        <v>15</v>
      </c>
      <c r="C4076" s="66">
        <f t="shared" si="8301"/>
        <v>21</v>
      </c>
      <c r="E4076" s="66">
        <f t="shared" ref="E4076" si="8352">plan_id</f>
        <v>1952</v>
      </c>
      <c r="F4076" s="66">
        <f t="shared" ca="1" si="8264"/>
        <v>2013</v>
      </c>
      <c r="G4076" s="66">
        <f t="shared" ref="G4076" ca="1" si="8353">VLOOKUP(INDIRECT(CHAR(39)&amp;$A4076&amp;CHAR(39)&amp;"!r2c"&amp;$C4076,0),variables,2,0)</f>
        <v>9920</v>
      </c>
      <c r="H4076" s="71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67" t="s">
        <v>1429</v>
      </c>
      <c r="B4077" s="66">
        <f t="shared" si="8298"/>
        <v>15</v>
      </c>
      <c r="C4077" s="66">
        <f t="shared" si="8301"/>
        <v>22</v>
      </c>
      <c r="E4077" s="66">
        <f t="shared" ref="E4077" si="8354">plan_id</f>
        <v>1952</v>
      </c>
      <c r="F4077" s="66">
        <f t="shared" ca="1" si="8264"/>
        <v>2013</v>
      </c>
      <c r="G4077" s="66">
        <f t="shared" ref="G4077" ca="1" si="8355">VLOOKUP(INDIRECT(CHAR(39)&amp;$A4077&amp;CHAR(39)&amp;"!r2c"&amp;$C4077,0),variables,2,0)</f>
        <v>9648</v>
      </c>
      <c r="H4077" s="71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67" t="s">
        <v>1429</v>
      </c>
      <c r="B4078" s="66">
        <f t="shared" si="8298"/>
        <v>15</v>
      </c>
      <c r="C4078" s="66">
        <f t="shared" si="8301"/>
        <v>23</v>
      </c>
      <c r="E4078" s="66">
        <f t="shared" ref="E4078" si="8356">plan_id</f>
        <v>1952</v>
      </c>
      <c r="F4078" s="66">
        <f t="shared" ca="1" si="8264"/>
        <v>2013</v>
      </c>
      <c r="G4078" s="66">
        <f t="shared" ref="G4078" ca="1" si="8357">VLOOKUP(INDIRECT(CHAR(39)&amp;$A4078&amp;CHAR(39)&amp;"!r2c"&amp;$C4078,0),variables,2,0)</f>
        <v>9713</v>
      </c>
      <c r="H4078" s="71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67" t="s">
        <v>1429</v>
      </c>
      <c r="B4079" s="66">
        <f t="shared" si="8298"/>
        <v>15</v>
      </c>
      <c r="C4079" s="66">
        <f t="shared" si="8301"/>
        <v>24</v>
      </c>
      <c r="E4079" s="66">
        <f t="shared" ref="E4079" si="8358">plan_id</f>
        <v>1952</v>
      </c>
      <c r="F4079" s="66">
        <f t="shared" ca="1" si="8264"/>
        <v>2013</v>
      </c>
      <c r="G4079" s="66">
        <f t="shared" ref="G4079" ca="1" si="8359">VLOOKUP(INDIRECT(CHAR(39)&amp;$A4079&amp;CHAR(39)&amp;"!r2c"&amp;$C4079,0),variables,2,0)</f>
        <v>9719</v>
      </c>
      <c r="H4079" s="71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67" t="s">
        <v>1429</v>
      </c>
      <c r="B4080" s="66">
        <f t="shared" si="8298"/>
        <v>15</v>
      </c>
      <c r="C4080" s="66">
        <f t="shared" si="8301"/>
        <v>25</v>
      </c>
      <c r="E4080" s="66">
        <f t="shared" ref="E4080" si="8360">plan_id</f>
        <v>1952</v>
      </c>
      <c r="F4080" s="66">
        <f t="shared" ca="1" si="8264"/>
        <v>2013</v>
      </c>
      <c r="G4080" s="66">
        <f t="shared" ref="G4080" ca="1" si="8361">VLOOKUP(INDIRECT(CHAR(39)&amp;$A4080&amp;CHAR(39)&amp;"!r2c"&amp;$C4080,0),variables,2,0)</f>
        <v>9725</v>
      </c>
      <c r="H4080" s="71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67" t="s">
        <v>1429</v>
      </c>
      <c r="B4081" s="66">
        <f t="shared" si="8298"/>
        <v>15</v>
      </c>
      <c r="C4081" s="66">
        <f t="shared" si="8301"/>
        <v>26</v>
      </c>
      <c r="E4081" s="66">
        <f t="shared" ref="E4081" si="8362">plan_id</f>
        <v>1952</v>
      </c>
      <c r="F4081" s="66">
        <f t="shared" ca="1" si="8264"/>
        <v>2013</v>
      </c>
      <c r="G4081" s="66">
        <f t="shared" ref="G4081" ca="1" si="8363">VLOOKUP(INDIRECT(CHAR(39)&amp;$A4081&amp;CHAR(39)&amp;"!r2c"&amp;$C4081,0),variables,2,0)</f>
        <v>9743</v>
      </c>
      <c r="H4081" s="71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67" t="s">
        <v>1429</v>
      </c>
      <c r="B4082" s="66">
        <f t="shared" si="8298"/>
        <v>15</v>
      </c>
      <c r="C4082" s="66">
        <f t="shared" si="8301"/>
        <v>27</v>
      </c>
      <c r="E4082" s="66">
        <f t="shared" ref="E4082" si="8364">plan_id</f>
        <v>1952</v>
      </c>
      <c r="F4082" s="66">
        <f t="shared" ca="1" si="8264"/>
        <v>2013</v>
      </c>
      <c r="G4082" s="66">
        <f t="shared" ref="G4082" ca="1" si="8365">VLOOKUP(INDIRECT(CHAR(39)&amp;$A4082&amp;CHAR(39)&amp;"!r2c"&amp;$C4082,0),variables,2,0)</f>
        <v>9746</v>
      </c>
      <c r="H4082" s="71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67" t="s">
        <v>1429</v>
      </c>
      <c r="B4083" s="66">
        <f t="shared" si="8298"/>
        <v>15</v>
      </c>
      <c r="C4083" s="66">
        <f t="shared" si="8301"/>
        <v>28</v>
      </c>
      <c r="E4083" s="66">
        <f t="shared" ref="E4083" si="8366">plan_id</f>
        <v>1952</v>
      </c>
      <c r="F4083" s="66">
        <f t="shared" ca="1" si="8264"/>
        <v>2013</v>
      </c>
      <c r="G4083" s="66">
        <f t="shared" ref="G4083" ca="1" si="8367">VLOOKUP(INDIRECT(CHAR(39)&amp;$A4083&amp;CHAR(39)&amp;"!r2c"&amp;$C4083,0),variables,2,0)</f>
        <v>9761</v>
      </c>
      <c r="H4083" s="71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67" t="s">
        <v>1429</v>
      </c>
      <c r="B4084" s="66">
        <f t="shared" si="8298"/>
        <v>15</v>
      </c>
      <c r="C4084" s="66">
        <f t="shared" si="8301"/>
        <v>29</v>
      </c>
      <c r="E4084" s="66">
        <f t="shared" ref="E4084" si="8368">plan_id</f>
        <v>1952</v>
      </c>
      <c r="F4084" s="66">
        <f t="shared" ca="1" si="8264"/>
        <v>2013</v>
      </c>
      <c r="G4084" s="66">
        <f t="shared" ref="G4084" ca="1" si="8369">VLOOKUP(INDIRECT(CHAR(39)&amp;$A4084&amp;CHAR(39)&amp;"!r2c"&amp;$C4084,0),variables,2,0)</f>
        <v>9764</v>
      </c>
      <c r="H4084" s="71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67" t="s">
        <v>1429</v>
      </c>
      <c r="B4085" s="66">
        <f t="shared" si="8298"/>
        <v>15</v>
      </c>
      <c r="C4085" s="66">
        <f t="shared" si="8301"/>
        <v>30</v>
      </c>
      <c r="E4085" s="66">
        <f t="shared" ref="E4085" si="8370">plan_id</f>
        <v>1952</v>
      </c>
      <c r="F4085" s="66">
        <f t="shared" ca="1" si="8264"/>
        <v>2013</v>
      </c>
      <c r="G4085" s="66">
        <f t="shared" ref="G4085" ca="1" si="8371">VLOOKUP(INDIRECT(CHAR(39)&amp;$A4085&amp;CHAR(39)&amp;"!r2c"&amp;$C4085,0),variables,2,0)</f>
        <v>9767</v>
      </c>
      <c r="H4085" s="71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67" t="s">
        <v>1429</v>
      </c>
      <c r="B4086" s="66">
        <f t="shared" si="8298"/>
        <v>15</v>
      </c>
      <c r="C4086" s="66">
        <f t="shared" si="8301"/>
        <v>31</v>
      </c>
      <c r="E4086" s="66">
        <f t="shared" ref="E4086" si="8372">plan_id</f>
        <v>1952</v>
      </c>
      <c r="F4086" s="66">
        <f t="shared" ca="1" si="8264"/>
        <v>2013</v>
      </c>
      <c r="G4086" s="66">
        <f t="shared" ref="G4086" ca="1" si="8373">VLOOKUP(INDIRECT(CHAR(39)&amp;$A4086&amp;CHAR(39)&amp;"!r2c"&amp;$C4086,0),variables,2,0)</f>
        <v>9770</v>
      </c>
      <c r="H4086" s="71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67" t="s">
        <v>1429</v>
      </c>
      <c r="B4087" s="66">
        <f t="shared" si="8298"/>
        <v>15</v>
      </c>
      <c r="C4087" s="66">
        <f t="shared" si="8301"/>
        <v>32</v>
      </c>
      <c r="E4087" s="66">
        <f t="shared" ref="E4087" si="8374">plan_id</f>
        <v>1952</v>
      </c>
      <c r="F4087" s="66">
        <f t="shared" ca="1" si="8264"/>
        <v>2013</v>
      </c>
      <c r="G4087" s="66">
        <f t="shared" ref="G4087" ca="1" si="8375">VLOOKUP(INDIRECT(CHAR(39)&amp;$A4087&amp;CHAR(39)&amp;"!r2c"&amp;$C4087,0),variables,2,0)</f>
        <v>9773</v>
      </c>
      <c r="H4087" s="71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67" t="s">
        <v>1429</v>
      </c>
      <c r="B4088" s="66">
        <f t="shared" si="8298"/>
        <v>15</v>
      </c>
      <c r="C4088" s="66">
        <f t="shared" si="8301"/>
        <v>33</v>
      </c>
      <c r="E4088" s="66">
        <f t="shared" ref="E4088" si="8376">plan_id</f>
        <v>1952</v>
      </c>
      <c r="F4088" s="66">
        <f t="shared" ca="1" si="8264"/>
        <v>2013</v>
      </c>
      <c r="G4088" s="66">
        <f t="shared" ref="G4088" ca="1" si="8377">VLOOKUP(INDIRECT(CHAR(39)&amp;$A4088&amp;CHAR(39)&amp;"!r2c"&amp;$C4088,0),variables,2,0)</f>
        <v>9776</v>
      </c>
      <c r="H4088" s="71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67" t="s">
        <v>1429</v>
      </c>
      <c r="B4089" s="66">
        <f t="shared" si="8298"/>
        <v>15</v>
      </c>
      <c r="C4089" s="66">
        <f t="shared" si="8301"/>
        <v>34</v>
      </c>
      <c r="E4089" s="66">
        <f t="shared" ref="E4089" si="8378">plan_id</f>
        <v>1952</v>
      </c>
      <c r="F4089" s="66">
        <f t="shared" ca="1" si="8264"/>
        <v>2013</v>
      </c>
      <c r="G4089" s="66">
        <f t="shared" ref="G4089" ca="1" si="8379">VLOOKUP(INDIRECT(CHAR(39)&amp;$A4089&amp;CHAR(39)&amp;"!r2c"&amp;$C4089,0),variables,2,0)</f>
        <v>9779</v>
      </c>
      <c r="H4089" s="71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67" t="s">
        <v>1429</v>
      </c>
      <c r="B4090" s="66">
        <f t="shared" si="8298"/>
        <v>15</v>
      </c>
      <c r="C4090" s="66">
        <f t="shared" si="8301"/>
        <v>35</v>
      </c>
      <c r="E4090" s="66">
        <f t="shared" ref="E4090" si="8380">plan_id</f>
        <v>1952</v>
      </c>
      <c r="F4090" s="66">
        <f t="shared" ca="1" si="8264"/>
        <v>2013</v>
      </c>
      <c r="G4090" s="66">
        <f t="shared" ref="G4090" ca="1" si="8381">VLOOKUP(INDIRECT(CHAR(39)&amp;$A4090&amp;CHAR(39)&amp;"!r2c"&amp;$C4090,0),variables,2,0)</f>
        <v>9785</v>
      </c>
      <c r="H4090" s="71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67" t="s">
        <v>1429</v>
      </c>
      <c r="B4091" s="66">
        <f t="shared" si="8298"/>
        <v>15</v>
      </c>
      <c r="C4091" s="66">
        <f t="shared" si="8301"/>
        <v>36</v>
      </c>
      <c r="E4091" s="66">
        <f t="shared" ref="E4091" si="8382">plan_id</f>
        <v>1952</v>
      </c>
      <c r="F4091" s="66">
        <f t="shared" ca="1" si="8264"/>
        <v>2013</v>
      </c>
      <c r="G4091" s="66">
        <f t="shared" ref="G4091" ca="1" si="8383">VLOOKUP(INDIRECT(CHAR(39)&amp;$A4091&amp;CHAR(39)&amp;"!r2c"&amp;$C4091,0),variables,2,0)</f>
        <v>9794</v>
      </c>
      <c r="H4091" s="71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67" t="s">
        <v>1429</v>
      </c>
      <c r="B4092" s="66">
        <f t="shared" si="8298"/>
        <v>15</v>
      </c>
      <c r="C4092" s="66">
        <f t="shared" si="8301"/>
        <v>37</v>
      </c>
      <c r="E4092" s="66">
        <f t="shared" ref="E4092" si="8384">plan_id</f>
        <v>1952</v>
      </c>
      <c r="F4092" s="66">
        <f t="shared" ca="1" si="8264"/>
        <v>2013</v>
      </c>
      <c r="G4092" s="66">
        <f t="shared" ref="G4092" ca="1" si="8385">VLOOKUP(INDIRECT(CHAR(39)&amp;$A4092&amp;CHAR(39)&amp;"!r2c"&amp;$C4092,0),variables,2,0)</f>
        <v>9797</v>
      </c>
      <c r="H4092" s="71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67" t="s">
        <v>1429</v>
      </c>
      <c r="B4093" s="66">
        <f t="shared" si="8298"/>
        <v>15</v>
      </c>
      <c r="C4093" s="66">
        <f t="shared" si="8301"/>
        <v>38</v>
      </c>
      <c r="E4093" s="66">
        <f t="shared" ref="E4093" si="8386">plan_id</f>
        <v>1952</v>
      </c>
      <c r="F4093" s="66">
        <f t="shared" ca="1" si="8264"/>
        <v>2013</v>
      </c>
      <c r="G4093" s="66">
        <f t="shared" ref="G4093" ca="1" si="8387">VLOOKUP(INDIRECT(CHAR(39)&amp;$A4093&amp;CHAR(39)&amp;"!r2c"&amp;$C4093,0),variables,2,0)</f>
        <v>9806</v>
      </c>
      <c r="H4093" s="71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67" t="s">
        <v>1429</v>
      </c>
      <c r="B4094" s="66">
        <f t="shared" si="8298"/>
        <v>15</v>
      </c>
      <c r="C4094" s="66">
        <f t="shared" si="8301"/>
        <v>39</v>
      </c>
      <c r="E4094" s="66">
        <f t="shared" ref="E4094" si="8388">plan_id</f>
        <v>1952</v>
      </c>
      <c r="F4094" s="66">
        <f t="shared" ca="1" si="8264"/>
        <v>2013</v>
      </c>
      <c r="G4094" s="66">
        <f t="shared" ref="G4094" ca="1" si="8389">VLOOKUP(INDIRECT(CHAR(39)&amp;$A4094&amp;CHAR(39)&amp;"!r2c"&amp;$C4094,0),variables,2,0)</f>
        <v>9809</v>
      </c>
      <c r="H4094" s="71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67" t="s">
        <v>1429</v>
      </c>
      <c r="B4095" s="66">
        <f t="shared" si="8298"/>
        <v>15</v>
      </c>
      <c r="C4095" s="66">
        <f t="shared" si="8301"/>
        <v>40</v>
      </c>
      <c r="E4095" s="66">
        <f t="shared" ref="E4095" si="8390">plan_id</f>
        <v>1952</v>
      </c>
      <c r="F4095" s="66">
        <f t="shared" ca="1" si="8264"/>
        <v>2013</v>
      </c>
      <c r="G4095" s="66">
        <f t="shared" ref="G4095" ca="1" si="8391">VLOOKUP(INDIRECT(CHAR(39)&amp;$A4095&amp;CHAR(39)&amp;"!r2c"&amp;$C4095,0),variables,2,0)</f>
        <v>9818</v>
      </c>
      <c r="H4095" s="71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67" t="s">
        <v>1429</v>
      </c>
      <c r="B4096" s="66">
        <f t="shared" si="8298"/>
        <v>15</v>
      </c>
      <c r="C4096" s="66">
        <f t="shared" si="8301"/>
        <v>41</v>
      </c>
      <c r="E4096" s="66">
        <f t="shared" ref="E4096" si="8392">plan_id</f>
        <v>1952</v>
      </c>
      <c r="F4096" s="66">
        <f t="shared" ca="1" si="8264"/>
        <v>2013</v>
      </c>
      <c r="G4096" s="66">
        <f t="shared" ref="G4096" ca="1" si="8393">VLOOKUP(INDIRECT(CHAR(39)&amp;$A4096&amp;CHAR(39)&amp;"!r2c"&amp;$C4096,0),variables,2,0)</f>
        <v>9839</v>
      </c>
      <c r="H4096" s="71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67" t="s">
        <v>1429</v>
      </c>
      <c r="B4097" s="66">
        <f t="shared" si="8298"/>
        <v>15</v>
      </c>
      <c r="C4097" s="66">
        <f t="shared" si="8301"/>
        <v>42</v>
      </c>
      <c r="E4097" s="66">
        <f t="shared" ref="E4097" si="8394">plan_id</f>
        <v>1952</v>
      </c>
      <c r="F4097" s="66">
        <f t="shared" ref="F4097:F4160" ca="1" si="8395">INDIRECT(CHAR(39)&amp;$A4097&amp;CHAR(39)&amp;"!r"&amp;$B4097&amp;"c2",0)</f>
        <v>2013</v>
      </c>
      <c r="G4097" s="66">
        <f t="shared" ref="G4097" ca="1" si="8396">VLOOKUP(INDIRECT(CHAR(39)&amp;$A4097&amp;CHAR(39)&amp;"!r2c"&amp;$C4097,0),variables,2,0)</f>
        <v>9860</v>
      </c>
      <c r="H4097" s="71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67" t="s">
        <v>1429</v>
      </c>
      <c r="B4098" s="66">
        <f t="shared" si="8298"/>
        <v>15</v>
      </c>
      <c r="C4098" s="66">
        <f t="shared" si="8301"/>
        <v>43</v>
      </c>
      <c r="E4098" s="66">
        <f t="shared" ref="E4098" si="8397">plan_id</f>
        <v>1952</v>
      </c>
      <c r="F4098" s="66">
        <f t="shared" ca="1" si="8395"/>
        <v>2013</v>
      </c>
      <c r="G4098" s="66">
        <f t="shared" ref="G4098" ca="1" si="8398">VLOOKUP(INDIRECT(CHAR(39)&amp;$A4098&amp;CHAR(39)&amp;"!r2c"&amp;$C4098,0),variables,2,0)</f>
        <v>9863</v>
      </c>
      <c r="H4098" s="71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67" t="s">
        <v>1429</v>
      </c>
      <c r="B4099" s="66">
        <f t="shared" si="8298"/>
        <v>15</v>
      </c>
      <c r="C4099" s="66">
        <f t="shared" si="8301"/>
        <v>44</v>
      </c>
      <c r="E4099" s="66">
        <f t="shared" ref="E4099" si="8399">plan_id</f>
        <v>1952</v>
      </c>
      <c r="F4099" s="66">
        <f t="shared" ca="1" si="8395"/>
        <v>2013</v>
      </c>
      <c r="G4099" s="66">
        <f t="shared" ref="G4099" ca="1" si="8400">VLOOKUP(INDIRECT(CHAR(39)&amp;$A4099&amp;CHAR(39)&amp;"!r2c"&amp;$C4099,0),variables,2,0)</f>
        <v>9878</v>
      </c>
      <c r="H4099" s="71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67" t="s">
        <v>1429</v>
      </c>
      <c r="B4100" s="66">
        <f t="shared" si="8298"/>
        <v>15</v>
      </c>
      <c r="C4100" s="66">
        <f t="shared" si="8301"/>
        <v>45</v>
      </c>
      <c r="E4100" s="66">
        <f t="shared" ref="E4100" si="8401">plan_id</f>
        <v>1952</v>
      </c>
      <c r="F4100" s="66">
        <f t="shared" ca="1" si="8395"/>
        <v>2013</v>
      </c>
      <c r="G4100" s="66">
        <f t="shared" ref="G4100" ca="1" si="8402">VLOOKUP(INDIRECT(CHAR(39)&amp;$A4100&amp;CHAR(39)&amp;"!r2c"&amp;$C4100,0),variables,2,0)</f>
        <v>9923</v>
      </c>
      <c r="H4100" s="71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67" t="s">
        <v>1429</v>
      </c>
      <c r="B4101" s="66">
        <f t="shared" si="8298"/>
        <v>15</v>
      </c>
      <c r="C4101" s="66">
        <f t="shared" si="8301"/>
        <v>46</v>
      </c>
      <c r="E4101" s="66">
        <f t="shared" ref="E4101" si="8403">plan_id</f>
        <v>1952</v>
      </c>
      <c r="F4101" s="66">
        <f t="shared" ca="1" si="8395"/>
        <v>2013</v>
      </c>
      <c r="G4101" s="66">
        <f t="shared" ref="G4101" ca="1" si="8404">VLOOKUP(INDIRECT(CHAR(39)&amp;$A4101&amp;CHAR(39)&amp;"!r2c"&amp;$C4101,0),variables,2,0)</f>
        <v>9932</v>
      </c>
      <c r="H4101" s="71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67" t="s">
        <v>1429</v>
      </c>
      <c r="B4102" s="66">
        <f t="shared" si="8298"/>
        <v>15</v>
      </c>
      <c r="C4102" s="66">
        <f t="shared" si="8301"/>
        <v>47</v>
      </c>
      <c r="E4102" s="66">
        <f t="shared" ref="E4102" si="8405">plan_id</f>
        <v>1952</v>
      </c>
      <c r="F4102" s="66">
        <f t="shared" ca="1" si="8395"/>
        <v>2013</v>
      </c>
      <c r="G4102" s="66">
        <f t="shared" ref="G4102" ca="1" si="8406">VLOOKUP(INDIRECT(CHAR(39)&amp;$A4102&amp;CHAR(39)&amp;"!r2c"&amp;$C4102,0),variables,2,0)</f>
        <v>9935</v>
      </c>
      <c r="H4102" s="71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67" t="s">
        <v>1429</v>
      </c>
      <c r="B4103" s="66">
        <f t="shared" si="8298"/>
        <v>15</v>
      </c>
      <c r="C4103" s="66">
        <f t="shared" si="8301"/>
        <v>48</v>
      </c>
      <c r="E4103" s="66">
        <f t="shared" ref="E4103" si="8407">plan_id</f>
        <v>1952</v>
      </c>
      <c r="F4103" s="66">
        <f t="shared" ca="1" si="8395"/>
        <v>2013</v>
      </c>
      <c r="G4103" s="66">
        <f t="shared" ref="G4103" ca="1" si="8408">VLOOKUP(INDIRECT(CHAR(39)&amp;$A4103&amp;CHAR(39)&amp;"!r2c"&amp;$C4103,0),variables,2,0)</f>
        <v>9651</v>
      </c>
      <c r="H4103" s="71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67" t="s">
        <v>1429</v>
      </c>
      <c r="B4104" s="66">
        <f t="shared" si="8298"/>
        <v>15</v>
      </c>
      <c r="C4104" s="66">
        <f t="shared" si="8301"/>
        <v>49</v>
      </c>
      <c r="E4104" s="66">
        <f t="shared" ref="E4104" si="8409">plan_id</f>
        <v>1952</v>
      </c>
      <c r="F4104" s="66">
        <f t="shared" ca="1" si="8395"/>
        <v>2013</v>
      </c>
      <c r="G4104" s="66">
        <f t="shared" ref="G4104" ca="1" si="8410">VLOOKUP(INDIRECT(CHAR(39)&amp;$A4104&amp;CHAR(39)&amp;"!r2c"&amp;$C4104,0),variables,2,0)</f>
        <v>9722</v>
      </c>
      <c r="H4104" s="71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67" t="s">
        <v>1429</v>
      </c>
      <c r="B4105" s="66">
        <f t="shared" si="8298"/>
        <v>15</v>
      </c>
      <c r="C4105" s="66">
        <f t="shared" si="8301"/>
        <v>50</v>
      </c>
      <c r="E4105" s="66">
        <f t="shared" ref="E4105" si="8411">plan_id</f>
        <v>1952</v>
      </c>
      <c r="F4105" s="66">
        <f t="shared" ca="1" si="8395"/>
        <v>2013</v>
      </c>
      <c r="G4105" s="66">
        <f t="shared" ref="G4105" ca="1" si="8412">VLOOKUP(INDIRECT(CHAR(39)&amp;$A4105&amp;CHAR(39)&amp;"!r2c"&amp;$C4105,0),variables,2,0)</f>
        <v>9848</v>
      </c>
      <c r="H4105" s="71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67" t="s">
        <v>1429</v>
      </c>
      <c r="B4106" s="66">
        <f t="shared" si="8298"/>
        <v>15</v>
      </c>
      <c r="C4106" s="66">
        <f t="shared" si="8301"/>
        <v>51</v>
      </c>
      <c r="E4106" s="66">
        <f t="shared" ref="E4106" si="8413">plan_id</f>
        <v>1952</v>
      </c>
      <c r="F4106" s="66">
        <f t="shared" ca="1" si="8395"/>
        <v>2013</v>
      </c>
      <c r="G4106" s="66">
        <f t="shared" ref="G4106" ca="1" si="8414">VLOOKUP(INDIRECT(CHAR(39)&amp;$A4106&amp;CHAR(39)&amp;"!r2c"&amp;$C4106,0),variables,2,0)</f>
        <v>9866</v>
      </c>
      <c r="H4106" s="71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67" t="s">
        <v>1429</v>
      </c>
      <c r="B4107" s="66">
        <f t="shared" si="8298"/>
        <v>15</v>
      </c>
      <c r="C4107" s="66">
        <f t="shared" si="8301"/>
        <v>52</v>
      </c>
      <c r="E4107" s="66">
        <f t="shared" ref="E4107" si="8415">plan_id</f>
        <v>1952</v>
      </c>
      <c r="F4107" s="66">
        <f t="shared" ca="1" si="8395"/>
        <v>2013</v>
      </c>
      <c r="G4107" s="66">
        <f t="shared" ref="G4107" ca="1" si="8416">VLOOKUP(INDIRECT(CHAR(39)&amp;$A4107&amp;CHAR(39)&amp;"!r2c"&amp;$C4107,0),variables,2,0)</f>
        <v>9899</v>
      </c>
      <c r="H4107" s="71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67" t="s">
        <v>1429</v>
      </c>
      <c r="B4108" s="66">
        <f t="shared" si="8298"/>
        <v>15</v>
      </c>
      <c r="C4108" s="66">
        <f t="shared" si="8301"/>
        <v>53</v>
      </c>
      <c r="E4108" s="66">
        <f t="shared" ref="E4108" si="8417">plan_id</f>
        <v>1952</v>
      </c>
      <c r="F4108" s="66">
        <f t="shared" ca="1" si="8395"/>
        <v>2013</v>
      </c>
      <c r="G4108" s="66">
        <f t="shared" ref="G4108" ca="1" si="8418">VLOOKUP(INDIRECT(CHAR(39)&amp;$A4108&amp;CHAR(39)&amp;"!r2c"&amp;$C4108,0),variables,2,0)</f>
        <v>9905</v>
      </c>
      <c r="H4108" s="71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67" t="s">
        <v>1429</v>
      </c>
      <c r="B4109" s="66">
        <f t="shared" si="8298"/>
        <v>15</v>
      </c>
      <c r="C4109" s="66">
        <f t="shared" si="8301"/>
        <v>54</v>
      </c>
      <c r="E4109" s="66">
        <f t="shared" ref="E4109" si="8419">plan_id</f>
        <v>1952</v>
      </c>
      <c r="F4109" s="66">
        <f t="shared" ca="1" si="8395"/>
        <v>2013</v>
      </c>
      <c r="G4109" s="66">
        <f t="shared" ref="G4109" ca="1" si="8420">VLOOKUP(INDIRECT(CHAR(39)&amp;$A4109&amp;CHAR(39)&amp;"!r2c"&amp;$C4109,0),variables,2,0)</f>
        <v>9929</v>
      </c>
      <c r="H4109" s="71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67" t="s">
        <v>1429</v>
      </c>
      <c r="B4110" s="66">
        <f t="shared" si="8298"/>
        <v>15</v>
      </c>
      <c r="C4110" s="66">
        <f t="shared" si="8301"/>
        <v>55</v>
      </c>
      <c r="E4110" s="66">
        <f t="shared" ref="E4110" si="8421">plan_id</f>
        <v>1952</v>
      </c>
      <c r="F4110" s="66">
        <f t="shared" ca="1" si="8395"/>
        <v>2013</v>
      </c>
      <c r="G4110" s="66">
        <f t="shared" ref="G4110" ca="1" si="8422">VLOOKUP(INDIRECT(CHAR(39)&amp;$A4110&amp;CHAR(39)&amp;"!r2c"&amp;$C4110,0),variables,2,0)</f>
        <v>9654</v>
      </c>
      <c r="H4110" s="71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67" t="s">
        <v>1429</v>
      </c>
      <c r="B4111" s="66">
        <f t="shared" si="8298"/>
        <v>15</v>
      </c>
      <c r="C4111" s="66">
        <f t="shared" si="8301"/>
        <v>56</v>
      </c>
      <c r="E4111" s="66">
        <f t="shared" ref="E4111" si="8423">plan_id</f>
        <v>1952</v>
      </c>
      <c r="F4111" s="66">
        <f t="shared" ca="1" si="8395"/>
        <v>2013</v>
      </c>
      <c r="G4111" s="66">
        <f t="shared" ref="G4111" ca="1" si="8424">VLOOKUP(INDIRECT(CHAR(39)&amp;$A4111&amp;CHAR(39)&amp;"!r2c"&amp;$C4111,0),variables,2,0)</f>
        <v>9707</v>
      </c>
      <c r="H4111" s="71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67" t="s">
        <v>1429</v>
      </c>
      <c r="B4112" s="66">
        <f t="shared" si="8298"/>
        <v>15</v>
      </c>
      <c r="C4112" s="66">
        <f t="shared" si="8301"/>
        <v>57</v>
      </c>
      <c r="E4112" s="66">
        <f t="shared" ref="E4112" si="8425">plan_id</f>
        <v>1952</v>
      </c>
      <c r="F4112" s="66">
        <f t="shared" ca="1" si="8395"/>
        <v>2013</v>
      </c>
      <c r="G4112" s="66">
        <f t="shared" ref="G4112" ca="1" si="8426">VLOOKUP(INDIRECT(CHAR(39)&amp;$A4112&amp;CHAR(39)&amp;"!r2c"&amp;$C4112,0),variables,2,0)</f>
        <v>9669</v>
      </c>
      <c r="H4112" s="71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67" t="s">
        <v>1429</v>
      </c>
      <c r="B4113" s="66">
        <f t="shared" si="8298"/>
        <v>15</v>
      </c>
      <c r="C4113" s="66">
        <f t="shared" si="8301"/>
        <v>58</v>
      </c>
      <c r="E4113" s="66">
        <f t="shared" ref="E4113" si="8427">plan_id</f>
        <v>1952</v>
      </c>
      <c r="F4113" s="66">
        <f t="shared" ca="1" si="8395"/>
        <v>2013</v>
      </c>
      <c r="G4113" s="66">
        <f t="shared" ref="G4113" ca="1" si="8428">VLOOKUP(INDIRECT(CHAR(39)&amp;$A4113&amp;CHAR(39)&amp;"!r2c"&amp;$C4113,0),variables,2,0)</f>
        <v>9851</v>
      </c>
      <c r="H4113" s="71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67" t="s">
        <v>1429</v>
      </c>
      <c r="B4114" s="66">
        <f t="shared" ref="B4114:B4177" si="8429">B4026+1</f>
        <v>15</v>
      </c>
      <c r="C4114" s="66">
        <f t="shared" si="8301"/>
        <v>59</v>
      </c>
      <c r="E4114" s="66">
        <f t="shared" ref="E4114" si="8430">plan_id</f>
        <v>1952</v>
      </c>
      <c r="F4114" s="66">
        <f t="shared" ca="1" si="8395"/>
        <v>2013</v>
      </c>
      <c r="G4114" s="66">
        <f t="shared" ref="G4114" ca="1" si="8431">VLOOKUP(INDIRECT(CHAR(39)&amp;$A4114&amp;CHAR(39)&amp;"!r2c"&amp;$C4114,0),variables,2,0)</f>
        <v>9890</v>
      </c>
      <c r="H4114" s="71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67" t="s">
        <v>1429</v>
      </c>
      <c r="B4115" s="66">
        <f t="shared" si="8429"/>
        <v>15</v>
      </c>
      <c r="C4115" s="66">
        <f t="shared" ref="C4115:C4178" si="8432">C4027</f>
        <v>60</v>
      </c>
      <c r="E4115" s="66">
        <f t="shared" ref="E4115" si="8433">plan_id</f>
        <v>1952</v>
      </c>
      <c r="F4115" s="66">
        <f t="shared" ca="1" si="8395"/>
        <v>2013</v>
      </c>
      <c r="G4115" s="66">
        <f t="shared" ref="G4115" ca="1" si="8434">VLOOKUP(INDIRECT(CHAR(39)&amp;$A4115&amp;CHAR(39)&amp;"!r2c"&amp;$C4115,0),variables,2,0)</f>
        <v>9893</v>
      </c>
      <c r="H4115" s="71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67" t="s">
        <v>1429</v>
      </c>
      <c r="B4116" s="66">
        <f t="shared" si="8429"/>
        <v>15</v>
      </c>
      <c r="C4116" s="66">
        <f t="shared" si="8432"/>
        <v>61</v>
      </c>
      <c r="E4116" s="66">
        <f t="shared" ref="E4116" si="8435">plan_id</f>
        <v>1952</v>
      </c>
      <c r="F4116" s="66">
        <f t="shared" ca="1" si="8395"/>
        <v>2013</v>
      </c>
      <c r="G4116" s="66">
        <f t="shared" ref="G4116" ca="1" si="8436">VLOOKUP(INDIRECT(CHAR(39)&amp;$A4116&amp;CHAR(39)&amp;"!r2c"&amp;$C4116,0),variables,2,0)</f>
        <v>9896</v>
      </c>
      <c r="H4116" s="71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67" t="s">
        <v>1429</v>
      </c>
      <c r="B4117" s="66">
        <f t="shared" si="8429"/>
        <v>15</v>
      </c>
      <c r="C4117" s="66">
        <f t="shared" si="8432"/>
        <v>62</v>
      </c>
      <c r="E4117" s="66">
        <f t="shared" ref="E4117" si="8437">plan_id</f>
        <v>1952</v>
      </c>
      <c r="F4117" s="66">
        <f t="shared" ca="1" si="8395"/>
        <v>2013</v>
      </c>
      <c r="G4117" s="66">
        <f t="shared" ref="G4117" ca="1" si="8438">VLOOKUP(INDIRECT(CHAR(39)&amp;$A4117&amp;CHAR(39)&amp;"!r2c"&amp;$C4117,0),variables,2,0)</f>
        <v>9660</v>
      </c>
      <c r="H4117" s="71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67" t="s">
        <v>1429</v>
      </c>
      <c r="B4118" s="66">
        <f t="shared" si="8429"/>
        <v>15</v>
      </c>
      <c r="C4118" s="66">
        <f t="shared" si="8432"/>
        <v>63</v>
      </c>
      <c r="E4118" s="66">
        <f t="shared" ref="E4118" si="8439">plan_id</f>
        <v>1952</v>
      </c>
      <c r="F4118" s="66">
        <f t="shared" ca="1" si="8395"/>
        <v>2013</v>
      </c>
      <c r="G4118" s="66">
        <f t="shared" ref="G4118" ca="1" si="8440">VLOOKUP(INDIRECT(CHAR(39)&amp;$A4118&amp;CHAR(39)&amp;"!r2c"&amp;$C4118,0),variables,2,0)</f>
        <v>9701</v>
      </c>
      <c r="H4118" s="71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67" t="s">
        <v>1429</v>
      </c>
      <c r="B4119" s="66">
        <f t="shared" si="8429"/>
        <v>15</v>
      </c>
      <c r="C4119" s="66">
        <f t="shared" si="8432"/>
        <v>64</v>
      </c>
      <c r="E4119" s="66">
        <f t="shared" ref="E4119" si="8441">plan_id</f>
        <v>1952</v>
      </c>
      <c r="F4119" s="66">
        <f t="shared" ca="1" si="8395"/>
        <v>2013</v>
      </c>
      <c r="G4119" s="66">
        <f t="shared" ref="G4119" ca="1" si="8442">VLOOKUP(INDIRECT(CHAR(39)&amp;$A4119&amp;CHAR(39)&amp;"!r2c"&amp;$C4119,0),variables,2,0)</f>
        <v>9728</v>
      </c>
      <c r="H4119" s="71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67" t="s">
        <v>1429</v>
      </c>
      <c r="B4120" s="66">
        <f t="shared" si="8429"/>
        <v>15</v>
      </c>
      <c r="C4120" s="66">
        <f t="shared" si="8432"/>
        <v>65</v>
      </c>
      <c r="E4120" s="66">
        <f t="shared" ref="E4120" si="8443">plan_id</f>
        <v>1952</v>
      </c>
      <c r="F4120" s="66">
        <f t="shared" ca="1" si="8395"/>
        <v>2013</v>
      </c>
      <c r="G4120" s="66">
        <f t="shared" ref="G4120" ca="1" si="8444">VLOOKUP(INDIRECT(CHAR(39)&amp;$A4120&amp;CHAR(39)&amp;"!r2c"&amp;$C4120,0),variables,2,0)</f>
        <v>9731</v>
      </c>
      <c r="H4120" s="71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67" t="s">
        <v>1429</v>
      </c>
      <c r="B4121" s="66">
        <f t="shared" si="8429"/>
        <v>15</v>
      </c>
      <c r="C4121" s="66">
        <f t="shared" si="8432"/>
        <v>66</v>
      </c>
      <c r="E4121" s="66">
        <f t="shared" ref="E4121" si="8445">plan_id</f>
        <v>1952</v>
      </c>
      <c r="F4121" s="66">
        <f t="shared" ca="1" si="8395"/>
        <v>2013</v>
      </c>
      <c r="G4121" s="66">
        <f t="shared" ref="G4121" ca="1" si="8446">VLOOKUP(INDIRECT(CHAR(39)&amp;$A4121&amp;CHAR(39)&amp;"!r2c"&amp;$C4121,0),variables,2,0)</f>
        <v>9737</v>
      </c>
      <c r="H4121" s="71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67" t="s">
        <v>1429</v>
      </c>
      <c r="B4122" s="66">
        <f t="shared" si="8429"/>
        <v>15</v>
      </c>
      <c r="C4122" s="66">
        <f t="shared" si="8432"/>
        <v>67</v>
      </c>
      <c r="E4122" s="66">
        <f t="shared" ref="E4122" si="8447">plan_id</f>
        <v>1952</v>
      </c>
      <c r="F4122" s="66">
        <f t="shared" ca="1" si="8395"/>
        <v>2013</v>
      </c>
      <c r="G4122" s="66">
        <f t="shared" ref="G4122" ca="1" si="8448">VLOOKUP(INDIRECT(CHAR(39)&amp;$A4122&amp;CHAR(39)&amp;"!r2c"&amp;$C4122,0),variables,2,0)</f>
        <v>9740</v>
      </c>
      <c r="H4122" s="71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67" t="s">
        <v>1429</v>
      </c>
      <c r="B4123" s="66">
        <f t="shared" si="8429"/>
        <v>15</v>
      </c>
      <c r="C4123" s="66">
        <f t="shared" si="8432"/>
        <v>68</v>
      </c>
      <c r="E4123" s="66">
        <f t="shared" ref="E4123" si="8449">plan_id</f>
        <v>1952</v>
      </c>
      <c r="F4123" s="66">
        <f t="shared" ca="1" si="8395"/>
        <v>2013</v>
      </c>
      <c r="G4123" s="66">
        <f t="shared" ref="G4123" ca="1" si="8450">VLOOKUP(INDIRECT(CHAR(39)&amp;$A4123&amp;CHAR(39)&amp;"!r2c"&amp;$C4123,0),variables,2,0)</f>
        <v>9752</v>
      </c>
      <c r="H4123" s="71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67" t="s">
        <v>1429</v>
      </c>
      <c r="B4124" s="66">
        <f t="shared" si="8429"/>
        <v>15</v>
      </c>
      <c r="C4124" s="66">
        <f t="shared" si="8432"/>
        <v>69</v>
      </c>
      <c r="E4124" s="66">
        <f t="shared" ref="E4124" si="8451">plan_id</f>
        <v>1952</v>
      </c>
      <c r="F4124" s="66">
        <f t="shared" ca="1" si="8395"/>
        <v>2013</v>
      </c>
      <c r="G4124" s="66">
        <f t="shared" ref="G4124" ca="1" si="8452">VLOOKUP(INDIRECT(CHAR(39)&amp;$A4124&amp;CHAR(39)&amp;"!r2c"&amp;$C4124,0),variables,2,0)</f>
        <v>9791</v>
      </c>
      <c r="H4124" s="71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67" t="s">
        <v>1429</v>
      </c>
      <c r="B4125" s="66">
        <f t="shared" si="8429"/>
        <v>15</v>
      </c>
      <c r="C4125" s="66">
        <f t="shared" si="8432"/>
        <v>70</v>
      </c>
      <c r="E4125" s="66">
        <f t="shared" ref="E4125" si="8453">plan_id</f>
        <v>1952</v>
      </c>
      <c r="F4125" s="66">
        <f t="shared" ca="1" si="8395"/>
        <v>2013</v>
      </c>
      <c r="G4125" s="66">
        <f t="shared" ref="G4125" ca="1" si="8454">VLOOKUP(INDIRECT(CHAR(39)&amp;$A4125&amp;CHAR(39)&amp;"!r2c"&amp;$C4125,0),variables,2,0)</f>
        <v>9800</v>
      </c>
      <c r="H4125" s="71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67" t="s">
        <v>1429</v>
      </c>
      <c r="B4126" s="66">
        <f t="shared" si="8429"/>
        <v>15</v>
      </c>
      <c r="C4126" s="66">
        <f t="shared" si="8432"/>
        <v>71</v>
      </c>
      <c r="E4126" s="66">
        <f t="shared" ref="E4126" si="8455">plan_id</f>
        <v>1952</v>
      </c>
      <c r="F4126" s="66">
        <f t="shared" ca="1" si="8395"/>
        <v>2013</v>
      </c>
      <c r="G4126" s="66">
        <f t="shared" ref="G4126" ca="1" si="8456">VLOOKUP(INDIRECT(CHAR(39)&amp;$A4126&amp;CHAR(39)&amp;"!r2c"&amp;$C4126,0),variables,2,0)</f>
        <v>9842</v>
      </c>
      <c r="H4126" s="71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67" t="s">
        <v>1429</v>
      </c>
      <c r="B4127" s="66">
        <f t="shared" si="8429"/>
        <v>15</v>
      </c>
      <c r="C4127" s="66">
        <f t="shared" si="8432"/>
        <v>72</v>
      </c>
      <c r="E4127" s="66">
        <f t="shared" ref="E4127" si="8457">plan_id</f>
        <v>1952</v>
      </c>
      <c r="F4127" s="66">
        <f t="shared" ca="1" si="8395"/>
        <v>2013</v>
      </c>
      <c r="G4127" s="66">
        <f t="shared" ref="G4127" ca="1" si="8458">VLOOKUP(INDIRECT(CHAR(39)&amp;$A4127&amp;CHAR(39)&amp;"!r2c"&amp;$C4127,0),variables,2,0)</f>
        <v>9854</v>
      </c>
      <c r="H4127" s="71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67" t="s">
        <v>1429</v>
      </c>
      <c r="B4128" s="66">
        <f t="shared" si="8429"/>
        <v>15</v>
      </c>
      <c r="C4128" s="66">
        <f t="shared" si="8432"/>
        <v>73</v>
      </c>
      <c r="E4128" s="66">
        <f t="shared" ref="E4128" si="8459">plan_id</f>
        <v>1952</v>
      </c>
      <c r="F4128" s="66">
        <f t="shared" ca="1" si="8395"/>
        <v>2013</v>
      </c>
      <c r="G4128" s="66">
        <f t="shared" ref="G4128" ca="1" si="8460">VLOOKUP(INDIRECT(CHAR(39)&amp;$A4128&amp;CHAR(39)&amp;"!r2c"&amp;$C4128,0),variables,2,0)</f>
        <v>9869</v>
      </c>
      <c r="H4128" s="71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67" t="s">
        <v>1429</v>
      </c>
      <c r="B4129" s="66">
        <f t="shared" si="8429"/>
        <v>15</v>
      </c>
      <c r="C4129" s="66">
        <f t="shared" si="8432"/>
        <v>74</v>
      </c>
      <c r="E4129" s="66">
        <f t="shared" ref="E4129" si="8461">plan_id</f>
        <v>1952</v>
      </c>
      <c r="F4129" s="66">
        <f t="shared" ca="1" si="8395"/>
        <v>2013</v>
      </c>
      <c r="G4129" s="66">
        <f t="shared" ref="G4129" ca="1" si="8462">VLOOKUP(INDIRECT(CHAR(39)&amp;$A4129&amp;CHAR(39)&amp;"!r2c"&amp;$C4129,0),variables,2,0)</f>
        <v>9873</v>
      </c>
      <c r="H4129" s="71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67" t="s">
        <v>1429</v>
      </c>
      <c r="B4130" s="66">
        <f t="shared" si="8429"/>
        <v>15</v>
      </c>
      <c r="C4130" s="66">
        <f t="shared" si="8432"/>
        <v>75</v>
      </c>
      <c r="E4130" s="66">
        <f t="shared" ref="E4130" si="8463">plan_id</f>
        <v>1952</v>
      </c>
      <c r="F4130" s="66">
        <f t="shared" ca="1" si="8395"/>
        <v>2013</v>
      </c>
      <c r="G4130" s="66">
        <f t="shared" ref="G4130" ca="1" si="8464">VLOOKUP(INDIRECT(CHAR(39)&amp;$A4130&amp;CHAR(39)&amp;"!r2c"&amp;$C4130,0),variables,2,0)</f>
        <v>9881</v>
      </c>
      <c r="H4130" s="71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67" t="s">
        <v>1429</v>
      </c>
      <c r="B4131" s="66">
        <f t="shared" si="8429"/>
        <v>15</v>
      </c>
      <c r="C4131" s="66">
        <f t="shared" si="8432"/>
        <v>76</v>
      </c>
      <c r="E4131" s="66">
        <f t="shared" ref="E4131" si="8465">plan_id</f>
        <v>1952</v>
      </c>
      <c r="F4131" s="66">
        <f t="shared" ca="1" si="8395"/>
        <v>2013</v>
      </c>
      <c r="G4131" s="66">
        <f t="shared" ref="G4131" ca="1" si="8466">VLOOKUP(INDIRECT(CHAR(39)&amp;$A4131&amp;CHAR(39)&amp;"!r2c"&amp;$C4131,0),variables,2,0)</f>
        <v>9908</v>
      </c>
      <c r="H4131" s="71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67" t="s">
        <v>1429</v>
      </c>
      <c r="B4132" s="66">
        <f t="shared" si="8429"/>
        <v>15</v>
      </c>
      <c r="C4132" s="66">
        <f t="shared" si="8432"/>
        <v>77</v>
      </c>
      <c r="E4132" s="66">
        <f t="shared" ref="E4132" si="8467">plan_id</f>
        <v>1952</v>
      </c>
      <c r="F4132" s="66">
        <f t="shared" ca="1" si="8395"/>
        <v>2013</v>
      </c>
      <c r="G4132" s="66">
        <f t="shared" ref="G4132" ca="1" si="8468">VLOOKUP(INDIRECT(CHAR(39)&amp;$A4132&amp;CHAR(39)&amp;"!r2c"&amp;$C4132,0),variables,2,0)</f>
        <v>9911</v>
      </c>
      <c r="H4132" s="71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67" t="s">
        <v>1429</v>
      </c>
      <c r="B4133" s="66">
        <f t="shared" si="8429"/>
        <v>15</v>
      </c>
      <c r="C4133" s="66">
        <f t="shared" si="8432"/>
        <v>78</v>
      </c>
      <c r="E4133" s="66">
        <f t="shared" ref="E4133" si="8469">plan_id</f>
        <v>1952</v>
      </c>
      <c r="F4133" s="66">
        <f t="shared" ca="1" si="8395"/>
        <v>2013</v>
      </c>
      <c r="G4133" s="66">
        <f t="shared" ref="G4133" ca="1" si="8470">VLOOKUP(INDIRECT(CHAR(39)&amp;$A4133&amp;CHAR(39)&amp;"!r2c"&amp;$C4133,0),variables,2,0)</f>
        <v>9663</v>
      </c>
      <c r="H4133" s="71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67" t="s">
        <v>1429</v>
      </c>
      <c r="B4134" s="66">
        <f t="shared" si="8429"/>
        <v>15</v>
      </c>
      <c r="C4134" s="66">
        <f t="shared" si="8432"/>
        <v>79</v>
      </c>
      <c r="E4134" s="66">
        <f t="shared" ref="E4134" si="8471">plan_id</f>
        <v>1952</v>
      </c>
      <c r="F4134" s="66">
        <f t="shared" ca="1" si="8395"/>
        <v>2013</v>
      </c>
      <c r="G4134" s="66">
        <f t="shared" ref="G4134" ca="1" si="8472">VLOOKUP(INDIRECT(CHAR(39)&amp;$A4134&amp;CHAR(39)&amp;"!r2c"&amp;$C4134,0),variables,2,0)</f>
        <v>9710</v>
      </c>
      <c r="H4134" s="71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67" t="s">
        <v>1429</v>
      </c>
      <c r="B4135" s="66">
        <f t="shared" si="8429"/>
        <v>15</v>
      </c>
      <c r="C4135" s="66">
        <f t="shared" si="8432"/>
        <v>80</v>
      </c>
      <c r="E4135" s="66">
        <f t="shared" ref="E4135" si="8473">plan_id</f>
        <v>1952</v>
      </c>
      <c r="F4135" s="66">
        <f t="shared" ca="1" si="8395"/>
        <v>2013</v>
      </c>
      <c r="G4135" s="66">
        <f t="shared" ref="G4135" ca="1" si="8474">VLOOKUP(INDIRECT(CHAR(39)&amp;$A4135&amp;CHAR(39)&amp;"!r2c"&amp;$C4135,0),variables,2,0)</f>
        <v>9758</v>
      </c>
      <c r="H4135" s="71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67" t="s">
        <v>1429</v>
      </c>
      <c r="B4136" s="66">
        <f t="shared" si="8429"/>
        <v>15</v>
      </c>
      <c r="C4136" s="66">
        <f t="shared" si="8432"/>
        <v>81</v>
      </c>
      <c r="E4136" s="66">
        <f t="shared" ref="E4136" si="8475">plan_id</f>
        <v>1952</v>
      </c>
      <c r="F4136" s="66">
        <f t="shared" ca="1" si="8395"/>
        <v>2013</v>
      </c>
      <c r="G4136" s="66">
        <f t="shared" ref="G4136" ca="1" si="8476">VLOOKUP(INDIRECT(CHAR(39)&amp;$A4136&amp;CHAR(39)&amp;"!r2c"&amp;$C4136,0),variables,2,0)</f>
        <v>9803</v>
      </c>
      <c r="H4136" s="71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67" t="s">
        <v>1429</v>
      </c>
      <c r="B4137" s="66">
        <f t="shared" si="8429"/>
        <v>15</v>
      </c>
      <c r="C4137" s="66">
        <f t="shared" si="8432"/>
        <v>82</v>
      </c>
      <c r="E4137" s="66">
        <f t="shared" ref="E4137" si="8477">plan_id</f>
        <v>1952</v>
      </c>
      <c r="F4137" s="66">
        <f t="shared" ca="1" si="8395"/>
        <v>2013</v>
      </c>
      <c r="G4137" s="66">
        <f t="shared" ref="G4137" ca="1" si="8478">VLOOKUP(INDIRECT(CHAR(39)&amp;$A4137&amp;CHAR(39)&amp;"!r2c"&amp;$C4137,0),variables,2,0)</f>
        <v>9857</v>
      </c>
      <c r="H4137" s="71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67" t="s">
        <v>1429</v>
      </c>
      <c r="B4138" s="66">
        <f t="shared" si="8429"/>
        <v>15</v>
      </c>
      <c r="C4138" s="66">
        <f t="shared" si="8432"/>
        <v>83</v>
      </c>
      <c r="E4138" s="66">
        <f t="shared" ref="E4138" si="8479">plan_id</f>
        <v>1952</v>
      </c>
      <c r="F4138" s="66">
        <f t="shared" ca="1" si="8395"/>
        <v>2013</v>
      </c>
      <c r="G4138" s="66">
        <f t="shared" ref="G4138" ca="1" si="8480">VLOOKUP(INDIRECT(CHAR(39)&amp;$A4138&amp;CHAR(39)&amp;"!r2c"&amp;$C4138,0),variables,2,0)</f>
        <v>9902</v>
      </c>
      <c r="H4138" s="71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67" t="s">
        <v>1429</v>
      </c>
      <c r="B4139" s="66">
        <f t="shared" si="8429"/>
        <v>15</v>
      </c>
      <c r="C4139" s="66">
        <f t="shared" si="8432"/>
        <v>84</v>
      </c>
      <c r="E4139" s="66">
        <f t="shared" ref="E4139" si="8481">plan_id</f>
        <v>1952</v>
      </c>
      <c r="F4139" s="66">
        <f t="shared" ca="1" si="8395"/>
        <v>2013</v>
      </c>
      <c r="G4139" s="66">
        <f t="shared" ref="G4139" ca="1" si="8482">VLOOKUP(INDIRECT(CHAR(39)&amp;$A4139&amp;CHAR(39)&amp;"!r2c"&amp;$C4139,0),variables,2,0)</f>
        <v>9926</v>
      </c>
      <c r="H4139" s="71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67" t="s">
        <v>1429</v>
      </c>
      <c r="B4140" s="66">
        <f t="shared" si="8429"/>
        <v>15</v>
      </c>
      <c r="C4140" s="66">
        <f t="shared" si="8432"/>
        <v>85</v>
      </c>
      <c r="E4140" s="66">
        <f t="shared" ref="E4140" si="8483">plan_id</f>
        <v>1952</v>
      </c>
      <c r="F4140" s="66">
        <f t="shared" ca="1" si="8395"/>
        <v>2013</v>
      </c>
      <c r="G4140" s="66">
        <f t="shared" ref="G4140" ca="1" si="8484">VLOOKUP(INDIRECT(CHAR(39)&amp;$A4140&amp;CHAR(39)&amp;"!r2c"&amp;$C4140,0),variables,2,0)</f>
        <v>9666</v>
      </c>
      <c r="H4140" s="71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67" t="s">
        <v>1429</v>
      </c>
      <c r="B4141" s="66">
        <f t="shared" si="8429"/>
        <v>15</v>
      </c>
      <c r="C4141" s="66">
        <f t="shared" si="8432"/>
        <v>86</v>
      </c>
      <c r="E4141" s="66">
        <f t="shared" ref="E4141" si="8485">plan_id</f>
        <v>1952</v>
      </c>
      <c r="F4141" s="66">
        <f t="shared" ca="1" si="8395"/>
        <v>2013</v>
      </c>
      <c r="G4141" s="66">
        <f t="shared" ref="G4141" ca="1" si="8486">VLOOKUP(INDIRECT(CHAR(39)&amp;$A4141&amp;CHAR(39)&amp;"!r2c"&amp;$C4141,0),variables,2,0)</f>
        <v>9827</v>
      </c>
      <c r="H4141" s="71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67" t="s">
        <v>1429</v>
      </c>
      <c r="B4142" s="66">
        <f t="shared" si="8429"/>
        <v>15</v>
      </c>
      <c r="C4142" s="66">
        <f t="shared" si="8432"/>
        <v>87</v>
      </c>
      <c r="E4142" s="66">
        <f t="shared" ref="E4142" si="8487">plan_id</f>
        <v>1952</v>
      </c>
      <c r="F4142" s="66">
        <f t="shared" ca="1" si="8395"/>
        <v>2013</v>
      </c>
      <c r="G4142" s="66">
        <f t="shared" ref="G4142" ca="1" si="8488">VLOOKUP(INDIRECT(CHAR(39)&amp;$A4142&amp;CHAR(39)&amp;"!r2c"&amp;$C4142,0),variables,2,0)</f>
        <v>9657</v>
      </c>
      <c r="H4142" s="71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67" t="s">
        <v>1429</v>
      </c>
      <c r="B4143" s="66">
        <f t="shared" si="8429"/>
        <v>15</v>
      </c>
      <c r="C4143" s="66">
        <f t="shared" si="8432"/>
        <v>88</v>
      </c>
      <c r="E4143" s="66">
        <f t="shared" ref="E4143" si="8489">plan_id</f>
        <v>1952</v>
      </c>
      <c r="F4143" s="66">
        <f t="shared" ca="1" si="8395"/>
        <v>2013</v>
      </c>
      <c r="G4143" s="66">
        <f t="shared" ref="G4143" ca="1" si="8490">VLOOKUP(INDIRECT(CHAR(39)&amp;$A4143&amp;CHAR(39)&amp;"!r2c"&amp;$C4143,0),variables,2,0)</f>
        <v>9834</v>
      </c>
      <c r="H4143" s="71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67" t="s">
        <v>1429</v>
      </c>
      <c r="B4144" s="66">
        <f t="shared" si="8429"/>
        <v>15</v>
      </c>
      <c r="C4144" s="66">
        <f t="shared" si="8432"/>
        <v>89</v>
      </c>
      <c r="E4144" s="66">
        <f t="shared" ref="E4144" si="8491">plan_id</f>
        <v>1952</v>
      </c>
      <c r="F4144" s="66">
        <f t="shared" ca="1" si="8395"/>
        <v>2013</v>
      </c>
      <c r="G4144" s="66">
        <f t="shared" ref="G4144" ca="1" si="8492">VLOOKUP(INDIRECT(CHAR(39)&amp;$A4144&amp;CHAR(39)&amp;"!r2c"&amp;$C4144,0),variables,2,0)</f>
        <v>9884</v>
      </c>
      <c r="H4144" s="71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67" t="s">
        <v>1429</v>
      </c>
      <c r="B4145" s="66">
        <f t="shared" si="8429"/>
        <v>15</v>
      </c>
      <c r="C4145" s="66">
        <f t="shared" si="8432"/>
        <v>90</v>
      </c>
      <c r="E4145" s="66">
        <f t="shared" ref="E4145" si="8493">plan_id</f>
        <v>1952</v>
      </c>
      <c r="F4145" s="66">
        <f t="shared" ca="1" si="8395"/>
        <v>2013</v>
      </c>
      <c r="G4145" s="66">
        <f t="shared" ref="G4145" ca="1" si="8494">VLOOKUP(INDIRECT(CHAR(39)&amp;$A4145&amp;CHAR(39)&amp;"!r2c"&amp;$C4145,0),variables,2,0)</f>
        <v>9672</v>
      </c>
      <c r="H4145" s="71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67" t="s">
        <v>1429</v>
      </c>
      <c r="B4146" s="66">
        <f t="shared" si="8429"/>
        <v>16</v>
      </c>
      <c r="C4146" s="66">
        <f t="shared" si="8432"/>
        <v>3</v>
      </c>
      <c r="E4146" s="66">
        <f t="shared" ref="E4146" si="8495">plan_id</f>
        <v>1952</v>
      </c>
      <c r="F4146" s="66">
        <f t="shared" ca="1" si="8395"/>
        <v>2014</v>
      </c>
      <c r="G4146" s="66">
        <f t="shared" ref="G4146" ca="1" si="8496">VLOOKUP(INDIRECT(CHAR(39)&amp;$A4146&amp;CHAR(39)&amp;"!r2c"&amp;$C4146,0),variables,2,0)</f>
        <v>9704</v>
      </c>
      <c r="H4146" s="71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67" t="s">
        <v>1429</v>
      </c>
      <c r="B4147" s="66">
        <f t="shared" si="8429"/>
        <v>16</v>
      </c>
      <c r="C4147" s="66">
        <f t="shared" si="8432"/>
        <v>4</v>
      </c>
      <c r="E4147" s="66">
        <f t="shared" ref="E4147" si="8497">plan_id</f>
        <v>1952</v>
      </c>
      <c r="F4147" s="66">
        <f t="shared" ca="1" si="8395"/>
        <v>2014</v>
      </c>
      <c r="G4147" s="66">
        <f t="shared" ref="G4147" ca="1" si="8498">VLOOKUP(INDIRECT(CHAR(39)&amp;$A4147&amp;CHAR(39)&amp;"!r2c"&amp;$C4147,0),variables,2,0)</f>
        <v>9716</v>
      </c>
      <c r="H4147" s="71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67" t="s">
        <v>1429</v>
      </c>
      <c r="B4148" s="66">
        <f t="shared" si="8429"/>
        <v>16</v>
      </c>
      <c r="C4148" s="66">
        <f t="shared" si="8432"/>
        <v>5</v>
      </c>
      <c r="E4148" s="66">
        <f t="shared" ref="E4148" si="8499">plan_id</f>
        <v>1952</v>
      </c>
      <c r="F4148" s="66">
        <f t="shared" ca="1" si="8395"/>
        <v>2014</v>
      </c>
      <c r="G4148" s="66">
        <f t="shared" ref="G4148" ca="1" si="8500">VLOOKUP(INDIRECT(CHAR(39)&amp;$A4148&amp;CHAR(39)&amp;"!r2c"&amp;$C4148,0),variables,2,0)</f>
        <v>9734</v>
      </c>
      <c r="H4148" s="71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67" t="s">
        <v>1429</v>
      </c>
      <c r="B4149" s="66">
        <f t="shared" si="8429"/>
        <v>16</v>
      </c>
      <c r="C4149" s="66">
        <f t="shared" si="8432"/>
        <v>6</v>
      </c>
      <c r="E4149" s="66">
        <f t="shared" ref="E4149" si="8501">plan_id</f>
        <v>1952</v>
      </c>
      <c r="F4149" s="66">
        <f t="shared" ca="1" si="8395"/>
        <v>2014</v>
      </c>
      <c r="G4149" s="66">
        <f t="shared" ref="G4149" ca="1" si="8502">VLOOKUP(INDIRECT(CHAR(39)&amp;$A4149&amp;CHAR(39)&amp;"!r2c"&amp;$C4149,0),variables,2,0)</f>
        <v>9749</v>
      </c>
      <c r="H4149" s="71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67" t="s">
        <v>1429</v>
      </c>
      <c r="B4150" s="66">
        <f t="shared" si="8429"/>
        <v>16</v>
      </c>
      <c r="C4150" s="66">
        <f t="shared" si="8432"/>
        <v>7</v>
      </c>
      <c r="E4150" s="66">
        <f t="shared" ref="E4150" si="8503">plan_id</f>
        <v>1952</v>
      </c>
      <c r="F4150" s="66">
        <f t="shared" ca="1" si="8395"/>
        <v>2014</v>
      </c>
      <c r="G4150" s="66">
        <f t="shared" ref="G4150" ca="1" si="8504">VLOOKUP(INDIRECT(CHAR(39)&amp;$A4150&amp;CHAR(39)&amp;"!r2c"&amp;$C4150,0),variables,2,0)</f>
        <v>9755</v>
      </c>
      <c r="H4150" s="71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67" t="s">
        <v>1429</v>
      </c>
      <c r="B4151" s="66">
        <f t="shared" si="8429"/>
        <v>16</v>
      </c>
      <c r="C4151" s="66">
        <f t="shared" si="8432"/>
        <v>8</v>
      </c>
      <c r="E4151" s="66">
        <f t="shared" ref="E4151" si="8505">plan_id</f>
        <v>1952</v>
      </c>
      <c r="F4151" s="66">
        <f t="shared" ca="1" si="8395"/>
        <v>2014</v>
      </c>
      <c r="G4151" s="66">
        <f t="shared" ref="G4151" ca="1" si="8506">VLOOKUP(INDIRECT(CHAR(39)&amp;$A4151&amp;CHAR(39)&amp;"!r2c"&amp;$C4151,0),variables,2,0)</f>
        <v>9782</v>
      </c>
      <c r="H4151" s="71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67" t="s">
        <v>1429</v>
      </c>
      <c r="B4152" s="66">
        <f t="shared" si="8429"/>
        <v>16</v>
      </c>
      <c r="C4152" s="66">
        <f t="shared" si="8432"/>
        <v>9</v>
      </c>
      <c r="E4152" s="66">
        <f t="shared" ref="E4152" si="8507">plan_id</f>
        <v>1952</v>
      </c>
      <c r="F4152" s="66">
        <f t="shared" ca="1" si="8395"/>
        <v>2014</v>
      </c>
      <c r="G4152" s="66">
        <f t="shared" ref="G4152" ca="1" si="8508">VLOOKUP(INDIRECT(CHAR(39)&amp;$A4152&amp;CHAR(39)&amp;"!r2c"&amp;$C4152,0),variables,2,0)</f>
        <v>9788</v>
      </c>
      <c r="H4152" s="71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67" t="s">
        <v>1429</v>
      </c>
      <c r="B4153" s="66">
        <f t="shared" si="8429"/>
        <v>16</v>
      </c>
      <c r="C4153" s="66">
        <f t="shared" si="8432"/>
        <v>10</v>
      </c>
      <c r="E4153" s="66">
        <f t="shared" ref="E4153" si="8509">plan_id</f>
        <v>1952</v>
      </c>
      <c r="F4153" s="66">
        <f t="shared" ca="1" si="8395"/>
        <v>2014</v>
      </c>
      <c r="G4153" s="66">
        <f t="shared" ref="G4153" ca="1" si="8510">VLOOKUP(INDIRECT(CHAR(39)&amp;$A4153&amp;CHAR(39)&amp;"!r2c"&amp;$C4153,0),variables,2,0)</f>
        <v>9812</v>
      </c>
      <c r="H4153" s="71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67" t="s">
        <v>1429</v>
      </c>
      <c r="B4154" s="66">
        <f t="shared" si="8429"/>
        <v>16</v>
      </c>
      <c r="C4154" s="66">
        <f t="shared" si="8432"/>
        <v>11</v>
      </c>
      <c r="E4154" s="66">
        <f t="shared" ref="E4154" si="8511">plan_id</f>
        <v>1952</v>
      </c>
      <c r="F4154" s="66">
        <f t="shared" ca="1" si="8395"/>
        <v>2014</v>
      </c>
      <c r="G4154" s="66">
        <f t="shared" ref="G4154" ca="1" si="8512">VLOOKUP(INDIRECT(CHAR(39)&amp;$A4154&amp;CHAR(39)&amp;"!r2c"&amp;$C4154,0),variables,2,0)</f>
        <v>9815</v>
      </c>
      <c r="H4154" s="71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67" t="s">
        <v>1429</v>
      </c>
      <c r="B4155" s="66">
        <f t="shared" si="8429"/>
        <v>16</v>
      </c>
      <c r="C4155" s="66">
        <f t="shared" si="8432"/>
        <v>12</v>
      </c>
      <c r="E4155" s="66">
        <f t="shared" ref="E4155" si="8513">plan_id</f>
        <v>1952</v>
      </c>
      <c r="F4155" s="66">
        <f t="shared" ca="1" si="8395"/>
        <v>2014</v>
      </c>
      <c r="G4155" s="66">
        <f t="shared" ref="G4155" ca="1" si="8514">VLOOKUP(INDIRECT(CHAR(39)&amp;$A4155&amp;CHAR(39)&amp;"!r2c"&amp;$C4155,0),variables,2,0)</f>
        <v>9821</v>
      </c>
      <c r="H4155" s="71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67" t="s">
        <v>1429</v>
      </c>
      <c r="B4156" s="66">
        <f t="shared" si="8429"/>
        <v>16</v>
      </c>
      <c r="C4156" s="66">
        <f t="shared" si="8432"/>
        <v>13</v>
      </c>
      <c r="E4156" s="66">
        <f t="shared" ref="E4156" si="8515">plan_id</f>
        <v>1952</v>
      </c>
      <c r="F4156" s="66">
        <f t="shared" ca="1" si="8395"/>
        <v>2014</v>
      </c>
      <c r="G4156" s="66">
        <f t="shared" ref="G4156" ca="1" si="8516">VLOOKUP(INDIRECT(CHAR(39)&amp;$A4156&amp;CHAR(39)&amp;"!r2c"&amp;$C4156,0),variables,2,0)</f>
        <v>9824</v>
      </c>
      <c r="H4156" s="71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67" t="s">
        <v>1429</v>
      </c>
      <c r="B4157" s="66">
        <f t="shared" si="8429"/>
        <v>16</v>
      </c>
      <c r="C4157" s="66">
        <f t="shared" si="8432"/>
        <v>14</v>
      </c>
      <c r="E4157" s="66">
        <f t="shared" ref="E4157" si="8517">plan_id</f>
        <v>1952</v>
      </c>
      <c r="F4157" s="66">
        <f t="shared" ca="1" si="8395"/>
        <v>2014</v>
      </c>
      <c r="G4157" s="66">
        <f t="shared" ref="G4157" ca="1" si="8518">VLOOKUP(INDIRECT(CHAR(39)&amp;$A4157&amp;CHAR(39)&amp;"!r2c"&amp;$C4157,0),variables,2,0)</f>
        <v>9830</v>
      </c>
      <c r="H4157" s="71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67" t="s">
        <v>1429</v>
      </c>
      <c r="B4158" s="66">
        <f t="shared" si="8429"/>
        <v>16</v>
      </c>
      <c r="C4158" s="66">
        <f t="shared" si="8432"/>
        <v>15</v>
      </c>
      <c r="E4158" s="66">
        <f t="shared" ref="E4158" si="8519">plan_id</f>
        <v>1952</v>
      </c>
      <c r="F4158" s="66">
        <f t="shared" ca="1" si="8395"/>
        <v>2014</v>
      </c>
      <c r="G4158" s="66">
        <f t="shared" ref="G4158" ca="1" si="8520">VLOOKUP(INDIRECT(CHAR(39)&amp;$A4158&amp;CHAR(39)&amp;"!r2c"&amp;$C4158,0),variables,2,0)</f>
        <v>9833</v>
      </c>
      <c r="H4158" s="71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67" t="s">
        <v>1429</v>
      </c>
      <c r="B4159" s="66">
        <f t="shared" si="8429"/>
        <v>16</v>
      </c>
      <c r="C4159" s="66">
        <f t="shared" si="8432"/>
        <v>16</v>
      </c>
      <c r="E4159" s="66">
        <f t="shared" ref="E4159" si="8521">plan_id</f>
        <v>1952</v>
      </c>
      <c r="F4159" s="66">
        <f t="shared" ca="1" si="8395"/>
        <v>2014</v>
      </c>
      <c r="G4159" s="66">
        <f t="shared" ref="G4159" ca="1" si="8522">VLOOKUP(INDIRECT(CHAR(39)&amp;$A4159&amp;CHAR(39)&amp;"!r2c"&amp;$C4159,0),variables,2,0)</f>
        <v>9845</v>
      </c>
      <c r="H4159" s="71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67" t="s">
        <v>1429</v>
      </c>
      <c r="B4160" s="66">
        <f t="shared" si="8429"/>
        <v>16</v>
      </c>
      <c r="C4160" s="66">
        <f t="shared" si="8432"/>
        <v>17</v>
      </c>
      <c r="E4160" s="66">
        <f t="shared" ref="E4160" si="8523">plan_id</f>
        <v>1952</v>
      </c>
      <c r="F4160" s="66">
        <f t="shared" ca="1" si="8395"/>
        <v>2014</v>
      </c>
      <c r="G4160" s="66">
        <f t="shared" ref="G4160" ca="1" si="8524">VLOOKUP(INDIRECT(CHAR(39)&amp;$A4160&amp;CHAR(39)&amp;"!r2c"&amp;$C4160,0),variables,2,0)</f>
        <v>9872</v>
      </c>
      <c r="H4160" s="71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67" t="s">
        <v>1429</v>
      </c>
      <c r="B4161" s="66">
        <f t="shared" si="8429"/>
        <v>16</v>
      </c>
      <c r="C4161" s="66">
        <f t="shared" si="8432"/>
        <v>18</v>
      </c>
      <c r="E4161" s="66">
        <f t="shared" ref="E4161" si="8525">plan_id</f>
        <v>1952</v>
      </c>
      <c r="F4161" s="66">
        <f t="shared" ref="F4161:F4224" ca="1" si="8526">INDIRECT(CHAR(39)&amp;$A4161&amp;CHAR(39)&amp;"!r"&amp;$B4161&amp;"c2",0)</f>
        <v>2014</v>
      </c>
      <c r="G4161" s="66">
        <f t="shared" ref="G4161" ca="1" si="8527">VLOOKUP(INDIRECT(CHAR(39)&amp;$A4161&amp;CHAR(39)&amp;"!r2c"&amp;$C4161,0),variables,2,0)</f>
        <v>9887</v>
      </c>
      <c r="H4161" s="71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67" t="s">
        <v>1429</v>
      </c>
      <c r="B4162" s="66">
        <f t="shared" si="8429"/>
        <v>16</v>
      </c>
      <c r="C4162" s="66">
        <f t="shared" si="8432"/>
        <v>19</v>
      </c>
      <c r="E4162" s="66">
        <f t="shared" ref="E4162" si="8528">plan_id</f>
        <v>1952</v>
      </c>
      <c r="F4162" s="66">
        <f t="shared" ca="1" si="8526"/>
        <v>2014</v>
      </c>
      <c r="G4162" s="66">
        <f t="shared" ref="G4162" ca="1" si="8529">VLOOKUP(INDIRECT(CHAR(39)&amp;$A4162&amp;CHAR(39)&amp;"!r2c"&amp;$C4162,0),variables,2,0)</f>
        <v>9914</v>
      </c>
      <c r="H4162" s="71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67" t="s">
        <v>1429</v>
      </c>
      <c r="B4163" s="66">
        <f t="shared" si="8429"/>
        <v>16</v>
      </c>
      <c r="C4163" s="66">
        <f t="shared" si="8432"/>
        <v>20</v>
      </c>
      <c r="E4163" s="66">
        <f t="shared" ref="E4163" si="8530">plan_id</f>
        <v>1952</v>
      </c>
      <c r="F4163" s="66">
        <f t="shared" ca="1" si="8526"/>
        <v>2014</v>
      </c>
      <c r="G4163" s="66">
        <f t="shared" ref="G4163" ca="1" si="8531">VLOOKUP(INDIRECT(CHAR(39)&amp;$A4163&amp;CHAR(39)&amp;"!r2c"&amp;$C4163,0),variables,2,0)</f>
        <v>9917</v>
      </c>
      <c r="H4163" s="71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67" t="s">
        <v>1429</v>
      </c>
      <c r="B4164" s="66">
        <f t="shared" si="8429"/>
        <v>16</v>
      </c>
      <c r="C4164" s="66">
        <f t="shared" si="8432"/>
        <v>21</v>
      </c>
      <c r="E4164" s="66">
        <f t="shared" ref="E4164" si="8532">plan_id</f>
        <v>1952</v>
      </c>
      <c r="F4164" s="66">
        <f t="shared" ca="1" si="8526"/>
        <v>2014</v>
      </c>
      <c r="G4164" s="66">
        <f t="shared" ref="G4164" ca="1" si="8533">VLOOKUP(INDIRECT(CHAR(39)&amp;$A4164&amp;CHAR(39)&amp;"!r2c"&amp;$C4164,0),variables,2,0)</f>
        <v>9920</v>
      </c>
      <c r="H4164" s="71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67" t="s">
        <v>1429</v>
      </c>
      <c r="B4165" s="66">
        <f t="shared" si="8429"/>
        <v>16</v>
      </c>
      <c r="C4165" s="66">
        <f t="shared" si="8432"/>
        <v>22</v>
      </c>
      <c r="E4165" s="66">
        <f t="shared" ref="E4165" si="8534">plan_id</f>
        <v>1952</v>
      </c>
      <c r="F4165" s="66">
        <f t="shared" ca="1" si="8526"/>
        <v>2014</v>
      </c>
      <c r="G4165" s="66">
        <f t="shared" ref="G4165" ca="1" si="8535">VLOOKUP(INDIRECT(CHAR(39)&amp;$A4165&amp;CHAR(39)&amp;"!r2c"&amp;$C4165,0),variables,2,0)</f>
        <v>9648</v>
      </c>
      <c r="H4165" s="71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67" t="s">
        <v>1429</v>
      </c>
      <c r="B4166" s="66">
        <f t="shared" si="8429"/>
        <v>16</v>
      </c>
      <c r="C4166" s="66">
        <f t="shared" si="8432"/>
        <v>23</v>
      </c>
      <c r="E4166" s="66">
        <f t="shared" ref="E4166" si="8536">plan_id</f>
        <v>1952</v>
      </c>
      <c r="F4166" s="66">
        <f t="shared" ca="1" si="8526"/>
        <v>2014</v>
      </c>
      <c r="G4166" s="66">
        <f t="shared" ref="G4166" ca="1" si="8537">VLOOKUP(INDIRECT(CHAR(39)&amp;$A4166&amp;CHAR(39)&amp;"!r2c"&amp;$C4166,0),variables,2,0)</f>
        <v>9713</v>
      </c>
      <c r="H4166" s="71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67" t="s">
        <v>1429</v>
      </c>
      <c r="B4167" s="66">
        <f t="shared" si="8429"/>
        <v>16</v>
      </c>
      <c r="C4167" s="66">
        <f t="shared" si="8432"/>
        <v>24</v>
      </c>
      <c r="E4167" s="66">
        <f t="shared" ref="E4167" si="8538">plan_id</f>
        <v>1952</v>
      </c>
      <c r="F4167" s="66">
        <f t="shared" ca="1" si="8526"/>
        <v>2014</v>
      </c>
      <c r="G4167" s="66">
        <f t="shared" ref="G4167" ca="1" si="8539">VLOOKUP(INDIRECT(CHAR(39)&amp;$A4167&amp;CHAR(39)&amp;"!r2c"&amp;$C4167,0),variables,2,0)</f>
        <v>9719</v>
      </c>
      <c r="H4167" s="71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67" t="s">
        <v>1429</v>
      </c>
      <c r="B4168" s="66">
        <f t="shared" si="8429"/>
        <v>16</v>
      </c>
      <c r="C4168" s="66">
        <f t="shared" si="8432"/>
        <v>25</v>
      </c>
      <c r="E4168" s="66">
        <f t="shared" ref="E4168" si="8540">plan_id</f>
        <v>1952</v>
      </c>
      <c r="F4168" s="66">
        <f t="shared" ca="1" si="8526"/>
        <v>2014</v>
      </c>
      <c r="G4168" s="66">
        <f t="shared" ref="G4168" ca="1" si="8541">VLOOKUP(INDIRECT(CHAR(39)&amp;$A4168&amp;CHAR(39)&amp;"!r2c"&amp;$C4168,0),variables,2,0)</f>
        <v>9725</v>
      </c>
      <c r="H4168" s="71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67" t="s">
        <v>1429</v>
      </c>
      <c r="B4169" s="66">
        <f t="shared" si="8429"/>
        <v>16</v>
      </c>
      <c r="C4169" s="66">
        <f t="shared" si="8432"/>
        <v>26</v>
      </c>
      <c r="E4169" s="66">
        <f t="shared" ref="E4169" si="8542">plan_id</f>
        <v>1952</v>
      </c>
      <c r="F4169" s="66">
        <f t="shared" ca="1" si="8526"/>
        <v>2014</v>
      </c>
      <c r="G4169" s="66">
        <f t="shared" ref="G4169" ca="1" si="8543">VLOOKUP(INDIRECT(CHAR(39)&amp;$A4169&amp;CHAR(39)&amp;"!r2c"&amp;$C4169,0),variables,2,0)</f>
        <v>9743</v>
      </c>
      <c r="H4169" s="71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67" t="s">
        <v>1429</v>
      </c>
      <c r="B4170" s="66">
        <f t="shared" si="8429"/>
        <v>16</v>
      </c>
      <c r="C4170" s="66">
        <f t="shared" si="8432"/>
        <v>27</v>
      </c>
      <c r="E4170" s="66">
        <f t="shared" ref="E4170" si="8544">plan_id</f>
        <v>1952</v>
      </c>
      <c r="F4170" s="66">
        <f t="shared" ca="1" si="8526"/>
        <v>2014</v>
      </c>
      <c r="G4170" s="66">
        <f t="shared" ref="G4170" ca="1" si="8545">VLOOKUP(INDIRECT(CHAR(39)&amp;$A4170&amp;CHAR(39)&amp;"!r2c"&amp;$C4170,0),variables,2,0)</f>
        <v>9746</v>
      </c>
      <c r="H4170" s="71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67" t="s">
        <v>1429</v>
      </c>
      <c r="B4171" s="66">
        <f t="shared" si="8429"/>
        <v>16</v>
      </c>
      <c r="C4171" s="66">
        <f t="shared" si="8432"/>
        <v>28</v>
      </c>
      <c r="E4171" s="66">
        <f t="shared" ref="E4171" si="8546">plan_id</f>
        <v>1952</v>
      </c>
      <c r="F4171" s="66">
        <f t="shared" ca="1" si="8526"/>
        <v>2014</v>
      </c>
      <c r="G4171" s="66">
        <f t="shared" ref="G4171" ca="1" si="8547">VLOOKUP(INDIRECT(CHAR(39)&amp;$A4171&amp;CHAR(39)&amp;"!r2c"&amp;$C4171,0),variables,2,0)</f>
        <v>9761</v>
      </c>
      <c r="H4171" s="71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67" t="s">
        <v>1429</v>
      </c>
      <c r="B4172" s="66">
        <f t="shared" si="8429"/>
        <v>16</v>
      </c>
      <c r="C4172" s="66">
        <f t="shared" si="8432"/>
        <v>29</v>
      </c>
      <c r="E4172" s="66">
        <f t="shared" ref="E4172" si="8548">plan_id</f>
        <v>1952</v>
      </c>
      <c r="F4172" s="66">
        <f t="shared" ca="1" si="8526"/>
        <v>2014</v>
      </c>
      <c r="G4172" s="66">
        <f t="shared" ref="G4172" ca="1" si="8549">VLOOKUP(INDIRECT(CHAR(39)&amp;$A4172&amp;CHAR(39)&amp;"!r2c"&amp;$C4172,0),variables,2,0)</f>
        <v>9764</v>
      </c>
      <c r="H4172" s="71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67" t="s">
        <v>1429</v>
      </c>
      <c r="B4173" s="66">
        <f t="shared" si="8429"/>
        <v>16</v>
      </c>
      <c r="C4173" s="66">
        <f t="shared" si="8432"/>
        <v>30</v>
      </c>
      <c r="E4173" s="66">
        <f t="shared" ref="E4173" si="8550">plan_id</f>
        <v>1952</v>
      </c>
      <c r="F4173" s="66">
        <f t="shared" ca="1" si="8526"/>
        <v>2014</v>
      </c>
      <c r="G4173" s="66">
        <f t="shared" ref="G4173" ca="1" si="8551">VLOOKUP(INDIRECT(CHAR(39)&amp;$A4173&amp;CHAR(39)&amp;"!r2c"&amp;$C4173,0),variables,2,0)</f>
        <v>9767</v>
      </c>
      <c r="H4173" s="71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67" t="s">
        <v>1429</v>
      </c>
      <c r="B4174" s="66">
        <f t="shared" si="8429"/>
        <v>16</v>
      </c>
      <c r="C4174" s="66">
        <f t="shared" si="8432"/>
        <v>31</v>
      </c>
      <c r="E4174" s="66">
        <f t="shared" ref="E4174" si="8552">plan_id</f>
        <v>1952</v>
      </c>
      <c r="F4174" s="66">
        <f t="shared" ca="1" si="8526"/>
        <v>2014</v>
      </c>
      <c r="G4174" s="66">
        <f t="shared" ref="G4174" ca="1" si="8553">VLOOKUP(INDIRECT(CHAR(39)&amp;$A4174&amp;CHAR(39)&amp;"!r2c"&amp;$C4174,0),variables,2,0)</f>
        <v>9770</v>
      </c>
      <c r="H4174" s="71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67" t="s">
        <v>1429</v>
      </c>
      <c r="B4175" s="66">
        <f t="shared" si="8429"/>
        <v>16</v>
      </c>
      <c r="C4175" s="66">
        <f t="shared" si="8432"/>
        <v>32</v>
      </c>
      <c r="E4175" s="66">
        <f t="shared" ref="E4175" si="8554">plan_id</f>
        <v>1952</v>
      </c>
      <c r="F4175" s="66">
        <f t="shared" ca="1" si="8526"/>
        <v>2014</v>
      </c>
      <c r="G4175" s="66">
        <f t="shared" ref="G4175" ca="1" si="8555">VLOOKUP(INDIRECT(CHAR(39)&amp;$A4175&amp;CHAR(39)&amp;"!r2c"&amp;$C4175,0),variables,2,0)</f>
        <v>9773</v>
      </c>
      <c r="H4175" s="71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67" t="s">
        <v>1429</v>
      </c>
      <c r="B4176" s="66">
        <f t="shared" si="8429"/>
        <v>16</v>
      </c>
      <c r="C4176" s="66">
        <f t="shared" si="8432"/>
        <v>33</v>
      </c>
      <c r="E4176" s="66">
        <f t="shared" ref="E4176" si="8556">plan_id</f>
        <v>1952</v>
      </c>
      <c r="F4176" s="66">
        <f t="shared" ca="1" si="8526"/>
        <v>2014</v>
      </c>
      <c r="G4176" s="66">
        <f t="shared" ref="G4176" ca="1" si="8557">VLOOKUP(INDIRECT(CHAR(39)&amp;$A4176&amp;CHAR(39)&amp;"!r2c"&amp;$C4176,0),variables,2,0)</f>
        <v>9776</v>
      </c>
      <c r="H4176" s="71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67" t="s">
        <v>1429</v>
      </c>
      <c r="B4177" s="66">
        <f t="shared" si="8429"/>
        <v>16</v>
      </c>
      <c r="C4177" s="66">
        <f t="shared" si="8432"/>
        <v>34</v>
      </c>
      <c r="E4177" s="66">
        <f t="shared" ref="E4177" si="8558">plan_id</f>
        <v>1952</v>
      </c>
      <c r="F4177" s="66">
        <f t="shared" ca="1" si="8526"/>
        <v>2014</v>
      </c>
      <c r="G4177" s="66">
        <f t="shared" ref="G4177" ca="1" si="8559">VLOOKUP(INDIRECT(CHAR(39)&amp;$A4177&amp;CHAR(39)&amp;"!r2c"&amp;$C4177,0),variables,2,0)</f>
        <v>9779</v>
      </c>
      <c r="H4177" s="71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67" t="s">
        <v>1429</v>
      </c>
      <c r="B4178" s="66">
        <f t="shared" ref="B4178:B4241" si="8560">B4090+1</f>
        <v>16</v>
      </c>
      <c r="C4178" s="66">
        <f t="shared" si="8432"/>
        <v>35</v>
      </c>
      <c r="E4178" s="66">
        <f t="shared" ref="E4178" si="8561">plan_id</f>
        <v>1952</v>
      </c>
      <c r="F4178" s="66">
        <f t="shared" ca="1" si="8526"/>
        <v>2014</v>
      </c>
      <c r="G4178" s="66">
        <f t="shared" ref="G4178" ca="1" si="8562">VLOOKUP(INDIRECT(CHAR(39)&amp;$A4178&amp;CHAR(39)&amp;"!r2c"&amp;$C4178,0),variables,2,0)</f>
        <v>9785</v>
      </c>
      <c r="H4178" s="71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67" t="s">
        <v>1429</v>
      </c>
      <c r="B4179" s="66">
        <f t="shared" si="8560"/>
        <v>16</v>
      </c>
      <c r="C4179" s="66">
        <f t="shared" ref="C4179:C4242" si="8563">C4091</f>
        <v>36</v>
      </c>
      <c r="E4179" s="66">
        <f t="shared" ref="E4179" si="8564">plan_id</f>
        <v>1952</v>
      </c>
      <c r="F4179" s="66">
        <f t="shared" ca="1" si="8526"/>
        <v>2014</v>
      </c>
      <c r="G4179" s="66">
        <f t="shared" ref="G4179" ca="1" si="8565">VLOOKUP(INDIRECT(CHAR(39)&amp;$A4179&amp;CHAR(39)&amp;"!r2c"&amp;$C4179,0),variables,2,0)</f>
        <v>9794</v>
      </c>
      <c r="H4179" s="71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67" t="s">
        <v>1429</v>
      </c>
      <c r="B4180" s="66">
        <f t="shared" si="8560"/>
        <v>16</v>
      </c>
      <c r="C4180" s="66">
        <f t="shared" si="8563"/>
        <v>37</v>
      </c>
      <c r="E4180" s="66">
        <f t="shared" ref="E4180" si="8566">plan_id</f>
        <v>1952</v>
      </c>
      <c r="F4180" s="66">
        <f t="shared" ca="1" si="8526"/>
        <v>2014</v>
      </c>
      <c r="G4180" s="66">
        <f t="shared" ref="G4180" ca="1" si="8567">VLOOKUP(INDIRECT(CHAR(39)&amp;$A4180&amp;CHAR(39)&amp;"!r2c"&amp;$C4180,0),variables,2,0)</f>
        <v>9797</v>
      </c>
      <c r="H4180" s="71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67" t="s">
        <v>1429</v>
      </c>
      <c r="B4181" s="66">
        <f t="shared" si="8560"/>
        <v>16</v>
      </c>
      <c r="C4181" s="66">
        <f t="shared" si="8563"/>
        <v>38</v>
      </c>
      <c r="E4181" s="66">
        <f t="shared" ref="E4181" si="8568">plan_id</f>
        <v>1952</v>
      </c>
      <c r="F4181" s="66">
        <f t="shared" ca="1" si="8526"/>
        <v>2014</v>
      </c>
      <c r="G4181" s="66">
        <f t="shared" ref="G4181" ca="1" si="8569">VLOOKUP(INDIRECT(CHAR(39)&amp;$A4181&amp;CHAR(39)&amp;"!r2c"&amp;$C4181,0),variables,2,0)</f>
        <v>9806</v>
      </c>
      <c r="H4181" s="71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67" t="s">
        <v>1429</v>
      </c>
      <c r="B4182" s="66">
        <f t="shared" si="8560"/>
        <v>16</v>
      </c>
      <c r="C4182" s="66">
        <f t="shared" si="8563"/>
        <v>39</v>
      </c>
      <c r="E4182" s="66">
        <f t="shared" ref="E4182" si="8570">plan_id</f>
        <v>1952</v>
      </c>
      <c r="F4182" s="66">
        <f t="shared" ca="1" si="8526"/>
        <v>2014</v>
      </c>
      <c r="G4182" s="66">
        <f t="shared" ref="G4182" ca="1" si="8571">VLOOKUP(INDIRECT(CHAR(39)&amp;$A4182&amp;CHAR(39)&amp;"!r2c"&amp;$C4182,0),variables,2,0)</f>
        <v>9809</v>
      </c>
      <c r="H4182" s="71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67" t="s">
        <v>1429</v>
      </c>
      <c r="B4183" s="66">
        <f t="shared" si="8560"/>
        <v>16</v>
      </c>
      <c r="C4183" s="66">
        <f t="shared" si="8563"/>
        <v>40</v>
      </c>
      <c r="E4183" s="66">
        <f t="shared" ref="E4183" si="8572">plan_id</f>
        <v>1952</v>
      </c>
      <c r="F4183" s="66">
        <f t="shared" ca="1" si="8526"/>
        <v>2014</v>
      </c>
      <c r="G4183" s="66">
        <f t="shared" ref="G4183" ca="1" si="8573">VLOOKUP(INDIRECT(CHAR(39)&amp;$A4183&amp;CHAR(39)&amp;"!r2c"&amp;$C4183,0),variables,2,0)</f>
        <v>9818</v>
      </c>
      <c r="H4183" s="71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67" t="s">
        <v>1429</v>
      </c>
      <c r="B4184" s="66">
        <f t="shared" si="8560"/>
        <v>16</v>
      </c>
      <c r="C4184" s="66">
        <f t="shared" si="8563"/>
        <v>41</v>
      </c>
      <c r="E4184" s="66">
        <f t="shared" ref="E4184" si="8574">plan_id</f>
        <v>1952</v>
      </c>
      <c r="F4184" s="66">
        <f t="shared" ca="1" si="8526"/>
        <v>2014</v>
      </c>
      <c r="G4184" s="66">
        <f t="shared" ref="G4184" ca="1" si="8575">VLOOKUP(INDIRECT(CHAR(39)&amp;$A4184&amp;CHAR(39)&amp;"!r2c"&amp;$C4184,0),variables,2,0)</f>
        <v>9839</v>
      </c>
      <c r="H4184" s="71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67" t="s">
        <v>1429</v>
      </c>
      <c r="B4185" s="66">
        <f t="shared" si="8560"/>
        <v>16</v>
      </c>
      <c r="C4185" s="66">
        <f t="shared" si="8563"/>
        <v>42</v>
      </c>
      <c r="E4185" s="66">
        <f t="shared" ref="E4185" si="8576">plan_id</f>
        <v>1952</v>
      </c>
      <c r="F4185" s="66">
        <f t="shared" ca="1" si="8526"/>
        <v>2014</v>
      </c>
      <c r="G4185" s="66">
        <f t="shared" ref="G4185" ca="1" si="8577">VLOOKUP(INDIRECT(CHAR(39)&amp;$A4185&amp;CHAR(39)&amp;"!r2c"&amp;$C4185,0),variables,2,0)</f>
        <v>9860</v>
      </c>
      <c r="H4185" s="71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67" t="s">
        <v>1429</v>
      </c>
      <c r="B4186" s="66">
        <f t="shared" si="8560"/>
        <v>16</v>
      </c>
      <c r="C4186" s="66">
        <f t="shared" si="8563"/>
        <v>43</v>
      </c>
      <c r="E4186" s="66">
        <f t="shared" ref="E4186" si="8578">plan_id</f>
        <v>1952</v>
      </c>
      <c r="F4186" s="66">
        <f t="shared" ca="1" si="8526"/>
        <v>2014</v>
      </c>
      <c r="G4186" s="66">
        <f t="shared" ref="G4186" ca="1" si="8579">VLOOKUP(INDIRECT(CHAR(39)&amp;$A4186&amp;CHAR(39)&amp;"!r2c"&amp;$C4186,0),variables,2,0)</f>
        <v>9863</v>
      </c>
      <c r="H4186" s="71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67" t="s">
        <v>1429</v>
      </c>
      <c r="B4187" s="66">
        <f t="shared" si="8560"/>
        <v>16</v>
      </c>
      <c r="C4187" s="66">
        <f t="shared" si="8563"/>
        <v>44</v>
      </c>
      <c r="E4187" s="66">
        <f t="shared" ref="E4187" si="8580">plan_id</f>
        <v>1952</v>
      </c>
      <c r="F4187" s="66">
        <f t="shared" ca="1" si="8526"/>
        <v>2014</v>
      </c>
      <c r="G4187" s="66">
        <f t="shared" ref="G4187" ca="1" si="8581">VLOOKUP(INDIRECT(CHAR(39)&amp;$A4187&amp;CHAR(39)&amp;"!r2c"&amp;$C4187,0),variables,2,0)</f>
        <v>9878</v>
      </c>
      <c r="H4187" s="71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67" t="s">
        <v>1429</v>
      </c>
      <c r="B4188" s="66">
        <f t="shared" si="8560"/>
        <v>16</v>
      </c>
      <c r="C4188" s="66">
        <f t="shared" si="8563"/>
        <v>45</v>
      </c>
      <c r="E4188" s="66">
        <f t="shared" ref="E4188" si="8582">plan_id</f>
        <v>1952</v>
      </c>
      <c r="F4188" s="66">
        <f t="shared" ca="1" si="8526"/>
        <v>2014</v>
      </c>
      <c r="G4188" s="66">
        <f t="shared" ref="G4188" ca="1" si="8583">VLOOKUP(INDIRECT(CHAR(39)&amp;$A4188&amp;CHAR(39)&amp;"!r2c"&amp;$C4188,0),variables,2,0)</f>
        <v>9923</v>
      </c>
      <c r="H4188" s="71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67" t="s">
        <v>1429</v>
      </c>
      <c r="B4189" s="66">
        <f t="shared" si="8560"/>
        <v>16</v>
      </c>
      <c r="C4189" s="66">
        <f t="shared" si="8563"/>
        <v>46</v>
      </c>
      <c r="E4189" s="66">
        <f t="shared" ref="E4189" si="8584">plan_id</f>
        <v>1952</v>
      </c>
      <c r="F4189" s="66">
        <f t="shared" ca="1" si="8526"/>
        <v>2014</v>
      </c>
      <c r="G4189" s="66">
        <f t="shared" ref="G4189" ca="1" si="8585">VLOOKUP(INDIRECT(CHAR(39)&amp;$A4189&amp;CHAR(39)&amp;"!r2c"&amp;$C4189,0),variables,2,0)</f>
        <v>9932</v>
      </c>
      <c r="H4189" s="71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67" t="s">
        <v>1429</v>
      </c>
      <c r="B4190" s="66">
        <f t="shared" si="8560"/>
        <v>16</v>
      </c>
      <c r="C4190" s="66">
        <f t="shared" si="8563"/>
        <v>47</v>
      </c>
      <c r="E4190" s="66">
        <f t="shared" ref="E4190" si="8586">plan_id</f>
        <v>1952</v>
      </c>
      <c r="F4190" s="66">
        <f t="shared" ca="1" si="8526"/>
        <v>2014</v>
      </c>
      <c r="G4190" s="66">
        <f t="shared" ref="G4190" ca="1" si="8587">VLOOKUP(INDIRECT(CHAR(39)&amp;$A4190&amp;CHAR(39)&amp;"!r2c"&amp;$C4190,0),variables,2,0)</f>
        <v>9935</v>
      </c>
      <c r="H4190" s="71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67" t="s">
        <v>1429</v>
      </c>
      <c r="B4191" s="66">
        <f t="shared" si="8560"/>
        <v>16</v>
      </c>
      <c r="C4191" s="66">
        <f t="shared" si="8563"/>
        <v>48</v>
      </c>
      <c r="E4191" s="66">
        <f t="shared" ref="E4191" si="8588">plan_id</f>
        <v>1952</v>
      </c>
      <c r="F4191" s="66">
        <f t="shared" ca="1" si="8526"/>
        <v>2014</v>
      </c>
      <c r="G4191" s="66">
        <f t="shared" ref="G4191" ca="1" si="8589">VLOOKUP(INDIRECT(CHAR(39)&amp;$A4191&amp;CHAR(39)&amp;"!r2c"&amp;$C4191,0),variables,2,0)</f>
        <v>9651</v>
      </c>
      <c r="H4191" s="71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67" t="s">
        <v>1429</v>
      </c>
      <c r="B4192" s="66">
        <f t="shared" si="8560"/>
        <v>16</v>
      </c>
      <c r="C4192" s="66">
        <f t="shared" si="8563"/>
        <v>49</v>
      </c>
      <c r="E4192" s="66">
        <f t="shared" ref="E4192" si="8590">plan_id</f>
        <v>1952</v>
      </c>
      <c r="F4192" s="66">
        <f t="shared" ca="1" si="8526"/>
        <v>2014</v>
      </c>
      <c r="G4192" s="66">
        <f t="shared" ref="G4192" ca="1" si="8591">VLOOKUP(INDIRECT(CHAR(39)&amp;$A4192&amp;CHAR(39)&amp;"!r2c"&amp;$C4192,0),variables,2,0)</f>
        <v>9722</v>
      </c>
      <c r="H4192" s="71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67" t="s">
        <v>1429</v>
      </c>
      <c r="B4193" s="66">
        <f t="shared" si="8560"/>
        <v>16</v>
      </c>
      <c r="C4193" s="66">
        <f t="shared" si="8563"/>
        <v>50</v>
      </c>
      <c r="E4193" s="66">
        <f t="shared" ref="E4193" si="8592">plan_id</f>
        <v>1952</v>
      </c>
      <c r="F4193" s="66">
        <f t="shared" ca="1" si="8526"/>
        <v>2014</v>
      </c>
      <c r="G4193" s="66">
        <f t="shared" ref="G4193" ca="1" si="8593">VLOOKUP(INDIRECT(CHAR(39)&amp;$A4193&amp;CHAR(39)&amp;"!r2c"&amp;$C4193,0),variables,2,0)</f>
        <v>9848</v>
      </c>
      <c r="H4193" s="71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67" t="s">
        <v>1429</v>
      </c>
      <c r="B4194" s="66">
        <f t="shared" si="8560"/>
        <v>16</v>
      </c>
      <c r="C4194" s="66">
        <f t="shared" si="8563"/>
        <v>51</v>
      </c>
      <c r="E4194" s="66">
        <f t="shared" ref="E4194" si="8594">plan_id</f>
        <v>1952</v>
      </c>
      <c r="F4194" s="66">
        <f t="shared" ca="1" si="8526"/>
        <v>2014</v>
      </c>
      <c r="G4194" s="66">
        <f t="shared" ref="G4194" ca="1" si="8595">VLOOKUP(INDIRECT(CHAR(39)&amp;$A4194&amp;CHAR(39)&amp;"!r2c"&amp;$C4194,0),variables,2,0)</f>
        <v>9866</v>
      </c>
      <c r="H4194" s="71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67" t="s">
        <v>1429</v>
      </c>
      <c r="B4195" s="66">
        <f t="shared" si="8560"/>
        <v>16</v>
      </c>
      <c r="C4195" s="66">
        <f t="shared" si="8563"/>
        <v>52</v>
      </c>
      <c r="E4195" s="66">
        <f t="shared" ref="E4195" si="8596">plan_id</f>
        <v>1952</v>
      </c>
      <c r="F4195" s="66">
        <f t="shared" ca="1" si="8526"/>
        <v>2014</v>
      </c>
      <c r="G4195" s="66">
        <f t="shared" ref="G4195" ca="1" si="8597">VLOOKUP(INDIRECT(CHAR(39)&amp;$A4195&amp;CHAR(39)&amp;"!r2c"&amp;$C4195,0),variables,2,0)</f>
        <v>9899</v>
      </c>
      <c r="H4195" s="71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67" t="s">
        <v>1429</v>
      </c>
      <c r="B4196" s="66">
        <f t="shared" si="8560"/>
        <v>16</v>
      </c>
      <c r="C4196" s="66">
        <f t="shared" si="8563"/>
        <v>53</v>
      </c>
      <c r="E4196" s="66">
        <f t="shared" ref="E4196" si="8598">plan_id</f>
        <v>1952</v>
      </c>
      <c r="F4196" s="66">
        <f t="shared" ca="1" si="8526"/>
        <v>2014</v>
      </c>
      <c r="G4196" s="66">
        <f t="shared" ref="G4196" ca="1" si="8599">VLOOKUP(INDIRECT(CHAR(39)&amp;$A4196&amp;CHAR(39)&amp;"!r2c"&amp;$C4196,0),variables,2,0)</f>
        <v>9905</v>
      </c>
      <c r="H4196" s="71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67" t="s">
        <v>1429</v>
      </c>
      <c r="B4197" s="66">
        <f t="shared" si="8560"/>
        <v>16</v>
      </c>
      <c r="C4197" s="66">
        <f t="shared" si="8563"/>
        <v>54</v>
      </c>
      <c r="E4197" s="66">
        <f t="shared" ref="E4197" si="8600">plan_id</f>
        <v>1952</v>
      </c>
      <c r="F4197" s="66">
        <f t="shared" ca="1" si="8526"/>
        <v>2014</v>
      </c>
      <c r="G4197" s="66">
        <f t="shared" ref="G4197" ca="1" si="8601">VLOOKUP(INDIRECT(CHAR(39)&amp;$A4197&amp;CHAR(39)&amp;"!r2c"&amp;$C4197,0),variables,2,0)</f>
        <v>9929</v>
      </c>
      <c r="H4197" s="71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67" t="s">
        <v>1429</v>
      </c>
      <c r="B4198" s="66">
        <f t="shared" si="8560"/>
        <v>16</v>
      </c>
      <c r="C4198" s="66">
        <f t="shared" si="8563"/>
        <v>55</v>
      </c>
      <c r="E4198" s="66">
        <f t="shared" ref="E4198" si="8602">plan_id</f>
        <v>1952</v>
      </c>
      <c r="F4198" s="66">
        <f t="shared" ca="1" si="8526"/>
        <v>2014</v>
      </c>
      <c r="G4198" s="66">
        <f t="shared" ref="G4198" ca="1" si="8603">VLOOKUP(INDIRECT(CHAR(39)&amp;$A4198&amp;CHAR(39)&amp;"!r2c"&amp;$C4198,0),variables,2,0)</f>
        <v>9654</v>
      </c>
      <c r="H4198" s="71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67" t="s">
        <v>1429</v>
      </c>
      <c r="B4199" s="66">
        <f t="shared" si="8560"/>
        <v>16</v>
      </c>
      <c r="C4199" s="66">
        <f t="shared" si="8563"/>
        <v>56</v>
      </c>
      <c r="E4199" s="66">
        <f t="shared" ref="E4199" si="8604">plan_id</f>
        <v>1952</v>
      </c>
      <c r="F4199" s="66">
        <f t="shared" ca="1" si="8526"/>
        <v>2014</v>
      </c>
      <c r="G4199" s="66">
        <f t="shared" ref="G4199" ca="1" si="8605">VLOOKUP(INDIRECT(CHAR(39)&amp;$A4199&amp;CHAR(39)&amp;"!r2c"&amp;$C4199,0),variables,2,0)</f>
        <v>9707</v>
      </c>
      <c r="H4199" s="71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67" t="s">
        <v>1429</v>
      </c>
      <c r="B4200" s="66">
        <f t="shared" si="8560"/>
        <v>16</v>
      </c>
      <c r="C4200" s="66">
        <f t="shared" si="8563"/>
        <v>57</v>
      </c>
      <c r="E4200" s="66">
        <f t="shared" ref="E4200" si="8606">plan_id</f>
        <v>1952</v>
      </c>
      <c r="F4200" s="66">
        <f t="shared" ca="1" si="8526"/>
        <v>2014</v>
      </c>
      <c r="G4200" s="66">
        <f t="shared" ref="G4200" ca="1" si="8607">VLOOKUP(INDIRECT(CHAR(39)&amp;$A4200&amp;CHAR(39)&amp;"!r2c"&amp;$C4200,0),variables,2,0)</f>
        <v>9669</v>
      </c>
      <c r="H4200" s="71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67" t="s">
        <v>1429</v>
      </c>
      <c r="B4201" s="66">
        <f t="shared" si="8560"/>
        <v>16</v>
      </c>
      <c r="C4201" s="66">
        <f t="shared" si="8563"/>
        <v>58</v>
      </c>
      <c r="E4201" s="66">
        <f t="shared" ref="E4201" si="8608">plan_id</f>
        <v>1952</v>
      </c>
      <c r="F4201" s="66">
        <f t="shared" ca="1" si="8526"/>
        <v>2014</v>
      </c>
      <c r="G4201" s="66">
        <f t="shared" ref="G4201" ca="1" si="8609">VLOOKUP(INDIRECT(CHAR(39)&amp;$A4201&amp;CHAR(39)&amp;"!r2c"&amp;$C4201,0),variables,2,0)</f>
        <v>9851</v>
      </c>
      <c r="H4201" s="71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67" t="s">
        <v>1429</v>
      </c>
      <c r="B4202" s="66">
        <f t="shared" si="8560"/>
        <v>16</v>
      </c>
      <c r="C4202" s="66">
        <f t="shared" si="8563"/>
        <v>59</v>
      </c>
      <c r="E4202" s="66">
        <f t="shared" ref="E4202" si="8610">plan_id</f>
        <v>1952</v>
      </c>
      <c r="F4202" s="66">
        <f t="shared" ca="1" si="8526"/>
        <v>2014</v>
      </c>
      <c r="G4202" s="66">
        <f t="shared" ref="G4202" ca="1" si="8611">VLOOKUP(INDIRECT(CHAR(39)&amp;$A4202&amp;CHAR(39)&amp;"!r2c"&amp;$C4202,0),variables,2,0)</f>
        <v>9890</v>
      </c>
      <c r="H4202" s="71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67" t="s">
        <v>1429</v>
      </c>
      <c r="B4203" s="66">
        <f t="shared" si="8560"/>
        <v>16</v>
      </c>
      <c r="C4203" s="66">
        <f t="shared" si="8563"/>
        <v>60</v>
      </c>
      <c r="E4203" s="66">
        <f t="shared" ref="E4203" si="8612">plan_id</f>
        <v>1952</v>
      </c>
      <c r="F4203" s="66">
        <f t="shared" ca="1" si="8526"/>
        <v>2014</v>
      </c>
      <c r="G4203" s="66">
        <f t="shared" ref="G4203" ca="1" si="8613">VLOOKUP(INDIRECT(CHAR(39)&amp;$A4203&amp;CHAR(39)&amp;"!r2c"&amp;$C4203,0),variables,2,0)</f>
        <v>9893</v>
      </c>
      <c r="H4203" s="71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67" t="s">
        <v>1429</v>
      </c>
      <c r="B4204" s="66">
        <f t="shared" si="8560"/>
        <v>16</v>
      </c>
      <c r="C4204" s="66">
        <f t="shared" si="8563"/>
        <v>61</v>
      </c>
      <c r="E4204" s="66">
        <f t="shared" ref="E4204" si="8614">plan_id</f>
        <v>1952</v>
      </c>
      <c r="F4204" s="66">
        <f t="shared" ca="1" si="8526"/>
        <v>2014</v>
      </c>
      <c r="G4204" s="66">
        <f t="shared" ref="G4204" ca="1" si="8615">VLOOKUP(INDIRECT(CHAR(39)&amp;$A4204&amp;CHAR(39)&amp;"!r2c"&amp;$C4204,0),variables,2,0)</f>
        <v>9896</v>
      </c>
      <c r="H4204" s="71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67" t="s">
        <v>1429</v>
      </c>
      <c r="B4205" s="66">
        <f t="shared" si="8560"/>
        <v>16</v>
      </c>
      <c r="C4205" s="66">
        <f t="shared" si="8563"/>
        <v>62</v>
      </c>
      <c r="E4205" s="66">
        <f t="shared" ref="E4205" si="8616">plan_id</f>
        <v>1952</v>
      </c>
      <c r="F4205" s="66">
        <f t="shared" ca="1" si="8526"/>
        <v>2014</v>
      </c>
      <c r="G4205" s="66">
        <f t="shared" ref="G4205" ca="1" si="8617">VLOOKUP(INDIRECT(CHAR(39)&amp;$A4205&amp;CHAR(39)&amp;"!r2c"&amp;$C4205,0),variables,2,0)</f>
        <v>9660</v>
      </c>
      <c r="H4205" s="71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67" t="s">
        <v>1429</v>
      </c>
      <c r="B4206" s="66">
        <f t="shared" si="8560"/>
        <v>16</v>
      </c>
      <c r="C4206" s="66">
        <f t="shared" si="8563"/>
        <v>63</v>
      </c>
      <c r="E4206" s="66">
        <f t="shared" ref="E4206" si="8618">plan_id</f>
        <v>1952</v>
      </c>
      <c r="F4206" s="66">
        <f t="shared" ca="1" si="8526"/>
        <v>2014</v>
      </c>
      <c r="G4206" s="66">
        <f t="shared" ref="G4206" ca="1" si="8619">VLOOKUP(INDIRECT(CHAR(39)&amp;$A4206&amp;CHAR(39)&amp;"!r2c"&amp;$C4206,0),variables,2,0)</f>
        <v>9701</v>
      </c>
      <c r="H4206" s="71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67" t="s">
        <v>1429</v>
      </c>
      <c r="B4207" s="66">
        <f t="shared" si="8560"/>
        <v>16</v>
      </c>
      <c r="C4207" s="66">
        <f t="shared" si="8563"/>
        <v>64</v>
      </c>
      <c r="E4207" s="66">
        <f t="shared" ref="E4207" si="8620">plan_id</f>
        <v>1952</v>
      </c>
      <c r="F4207" s="66">
        <f t="shared" ca="1" si="8526"/>
        <v>2014</v>
      </c>
      <c r="G4207" s="66">
        <f t="shared" ref="G4207" ca="1" si="8621">VLOOKUP(INDIRECT(CHAR(39)&amp;$A4207&amp;CHAR(39)&amp;"!r2c"&amp;$C4207,0),variables,2,0)</f>
        <v>9728</v>
      </c>
      <c r="H4207" s="71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67" t="s">
        <v>1429</v>
      </c>
      <c r="B4208" s="66">
        <f t="shared" si="8560"/>
        <v>16</v>
      </c>
      <c r="C4208" s="66">
        <f t="shared" si="8563"/>
        <v>65</v>
      </c>
      <c r="E4208" s="66">
        <f t="shared" ref="E4208" si="8622">plan_id</f>
        <v>1952</v>
      </c>
      <c r="F4208" s="66">
        <f t="shared" ca="1" si="8526"/>
        <v>2014</v>
      </c>
      <c r="G4208" s="66">
        <f t="shared" ref="G4208" ca="1" si="8623">VLOOKUP(INDIRECT(CHAR(39)&amp;$A4208&amp;CHAR(39)&amp;"!r2c"&amp;$C4208,0),variables,2,0)</f>
        <v>9731</v>
      </c>
      <c r="H4208" s="71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67" t="s">
        <v>1429</v>
      </c>
      <c r="B4209" s="66">
        <f t="shared" si="8560"/>
        <v>16</v>
      </c>
      <c r="C4209" s="66">
        <f t="shared" si="8563"/>
        <v>66</v>
      </c>
      <c r="E4209" s="66">
        <f t="shared" ref="E4209" si="8624">plan_id</f>
        <v>1952</v>
      </c>
      <c r="F4209" s="66">
        <f t="shared" ca="1" si="8526"/>
        <v>2014</v>
      </c>
      <c r="G4209" s="66">
        <f t="shared" ref="G4209" ca="1" si="8625">VLOOKUP(INDIRECT(CHAR(39)&amp;$A4209&amp;CHAR(39)&amp;"!r2c"&amp;$C4209,0),variables,2,0)</f>
        <v>9737</v>
      </c>
      <c r="H4209" s="71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67" t="s">
        <v>1429</v>
      </c>
      <c r="B4210" s="66">
        <f t="shared" si="8560"/>
        <v>16</v>
      </c>
      <c r="C4210" s="66">
        <f t="shared" si="8563"/>
        <v>67</v>
      </c>
      <c r="E4210" s="66">
        <f t="shared" ref="E4210" si="8626">plan_id</f>
        <v>1952</v>
      </c>
      <c r="F4210" s="66">
        <f t="shared" ca="1" si="8526"/>
        <v>2014</v>
      </c>
      <c r="G4210" s="66">
        <f t="shared" ref="G4210" ca="1" si="8627">VLOOKUP(INDIRECT(CHAR(39)&amp;$A4210&amp;CHAR(39)&amp;"!r2c"&amp;$C4210,0),variables,2,0)</f>
        <v>9740</v>
      </c>
      <c r="H4210" s="71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67" t="s">
        <v>1429</v>
      </c>
      <c r="B4211" s="66">
        <f t="shared" si="8560"/>
        <v>16</v>
      </c>
      <c r="C4211" s="66">
        <f t="shared" si="8563"/>
        <v>68</v>
      </c>
      <c r="E4211" s="66">
        <f t="shared" ref="E4211" si="8628">plan_id</f>
        <v>1952</v>
      </c>
      <c r="F4211" s="66">
        <f t="shared" ca="1" si="8526"/>
        <v>2014</v>
      </c>
      <c r="G4211" s="66">
        <f t="shared" ref="G4211" ca="1" si="8629">VLOOKUP(INDIRECT(CHAR(39)&amp;$A4211&amp;CHAR(39)&amp;"!r2c"&amp;$C4211,0),variables,2,0)</f>
        <v>9752</v>
      </c>
      <c r="H4211" s="71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67" t="s">
        <v>1429</v>
      </c>
      <c r="B4212" s="66">
        <f t="shared" si="8560"/>
        <v>16</v>
      </c>
      <c r="C4212" s="66">
        <f t="shared" si="8563"/>
        <v>69</v>
      </c>
      <c r="E4212" s="66">
        <f t="shared" ref="E4212" si="8630">plan_id</f>
        <v>1952</v>
      </c>
      <c r="F4212" s="66">
        <f t="shared" ca="1" si="8526"/>
        <v>2014</v>
      </c>
      <c r="G4212" s="66">
        <f t="shared" ref="G4212" ca="1" si="8631">VLOOKUP(INDIRECT(CHAR(39)&amp;$A4212&amp;CHAR(39)&amp;"!r2c"&amp;$C4212,0),variables,2,0)</f>
        <v>9791</v>
      </c>
      <c r="H4212" s="71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67" t="s">
        <v>1429</v>
      </c>
      <c r="B4213" s="66">
        <f t="shared" si="8560"/>
        <v>16</v>
      </c>
      <c r="C4213" s="66">
        <f t="shared" si="8563"/>
        <v>70</v>
      </c>
      <c r="E4213" s="66">
        <f t="shared" ref="E4213" si="8632">plan_id</f>
        <v>1952</v>
      </c>
      <c r="F4213" s="66">
        <f t="shared" ca="1" si="8526"/>
        <v>2014</v>
      </c>
      <c r="G4213" s="66">
        <f t="shared" ref="G4213" ca="1" si="8633">VLOOKUP(INDIRECT(CHAR(39)&amp;$A4213&amp;CHAR(39)&amp;"!r2c"&amp;$C4213,0),variables,2,0)</f>
        <v>9800</v>
      </c>
      <c r="H4213" s="71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67" t="s">
        <v>1429</v>
      </c>
      <c r="B4214" s="66">
        <f t="shared" si="8560"/>
        <v>16</v>
      </c>
      <c r="C4214" s="66">
        <f t="shared" si="8563"/>
        <v>71</v>
      </c>
      <c r="E4214" s="66">
        <f t="shared" ref="E4214" si="8634">plan_id</f>
        <v>1952</v>
      </c>
      <c r="F4214" s="66">
        <f t="shared" ca="1" si="8526"/>
        <v>2014</v>
      </c>
      <c r="G4214" s="66">
        <f t="shared" ref="G4214" ca="1" si="8635">VLOOKUP(INDIRECT(CHAR(39)&amp;$A4214&amp;CHAR(39)&amp;"!r2c"&amp;$C4214,0),variables,2,0)</f>
        <v>9842</v>
      </c>
      <c r="H4214" s="71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67" t="s">
        <v>1429</v>
      </c>
      <c r="B4215" s="66">
        <f t="shared" si="8560"/>
        <v>16</v>
      </c>
      <c r="C4215" s="66">
        <f t="shared" si="8563"/>
        <v>72</v>
      </c>
      <c r="E4215" s="66">
        <f t="shared" ref="E4215" si="8636">plan_id</f>
        <v>1952</v>
      </c>
      <c r="F4215" s="66">
        <f t="shared" ca="1" si="8526"/>
        <v>2014</v>
      </c>
      <c r="G4215" s="66">
        <f t="shared" ref="G4215" ca="1" si="8637">VLOOKUP(INDIRECT(CHAR(39)&amp;$A4215&amp;CHAR(39)&amp;"!r2c"&amp;$C4215,0),variables,2,0)</f>
        <v>9854</v>
      </c>
      <c r="H4215" s="71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67" t="s">
        <v>1429</v>
      </c>
      <c r="B4216" s="66">
        <f t="shared" si="8560"/>
        <v>16</v>
      </c>
      <c r="C4216" s="66">
        <f t="shared" si="8563"/>
        <v>73</v>
      </c>
      <c r="E4216" s="66">
        <f t="shared" ref="E4216" si="8638">plan_id</f>
        <v>1952</v>
      </c>
      <c r="F4216" s="66">
        <f t="shared" ca="1" si="8526"/>
        <v>2014</v>
      </c>
      <c r="G4216" s="66">
        <f t="shared" ref="G4216" ca="1" si="8639">VLOOKUP(INDIRECT(CHAR(39)&amp;$A4216&amp;CHAR(39)&amp;"!r2c"&amp;$C4216,0),variables,2,0)</f>
        <v>9869</v>
      </c>
      <c r="H4216" s="71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67" t="s">
        <v>1429</v>
      </c>
      <c r="B4217" s="66">
        <f t="shared" si="8560"/>
        <v>16</v>
      </c>
      <c r="C4217" s="66">
        <f t="shared" si="8563"/>
        <v>74</v>
      </c>
      <c r="E4217" s="66">
        <f t="shared" ref="E4217" si="8640">plan_id</f>
        <v>1952</v>
      </c>
      <c r="F4217" s="66">
        <f t="shared" ca="1" si="8526"/>
        <v>2014</v>
      </c>
      <c r="G4217" s="66">
        <f t="shared" ref="G4217" ca="1" si="8641">VLOOKUP(INDIRECT(CHAR(39)&amp;$A4217&amp;CHAR(39)&amp;"!r2c"&amp;$C4217,0),variables,2,0)</f>
        <v>9873</v>
      </c>
      <c r="H4217" s="71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67" t="s">
        <v>1429</v>
      </c>
      <c r="B4218" s="66">
        <f t="shared" si="8560"/>
        <v>16</v>
      </c>
      <c r="C4218" s="66">
        <f t="shared" si="8563"/>
        <v>75</v>
      </c>
      <c r="E4218" s="66">
        <f t="shared" ref="E4218" si="8642">plan_id</f>
        <v>1952</v>
      </c>
      <c r="F4218" s="66">
        <f t="shared" ca="1" si="8526"/>
        <v>2014</v>
      </c>
      <c r="G4218" s="66">
        <f t="shared" ref="G4218" ca="1" si="8643">VLOOKUP(INDIRECT(CHAR(39)&amp;$A4218&amp;CHAR(39)&amp;"!r2c"&amp;$C4218,0),variables,2,0)</f>
        <v>9881</v>
      </c>
      <c r="H4218" s="71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67" t="s">
        <v>1429</v>
      </c>
      <c r="B4219" s="66">
        <f t="shared" si="8560"/>
        <v>16</v>
      </c>
      <c r="C4219" s="66">
        <f t="shared" si="8563"/>
        <v>76</v>
      </c>
      <c r="E4219" s="66">
        <f t="shared" ref="E4219" si="8644">plan_id</f>
        <v>1952</v>
      </c>
      <c r="F4219" s="66">
        <f t="shared" ca="1" si="8526"/>
        <v>2014</v>
      </c>
      <c r="G4219" s="66">
        <f t="shared" ref="G4219" ca="1" si="8645">VLOOKUP(INDIRECT(CHAR(39)&amp;$A4219&amp;CHAR(39)&amp;"!r2c"&amp;$C4219,0),variables,2,0)</f>
        <v>9908</v>
      </c>
      <c r="H4219" s="71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67" t="s">
        <v>1429</v>
      </c>
      <c r="B4220" s="66">
        <f t="shared" si="8560"/>
        <v>16</v>
      </c>
      <c r="C4220" s="66">
        <f t="shared" si="8563"/>
        <v>77</v>
      </c>
      <c r="E4220" s="66">
        <f t="shared" ref="E4220" si="8646">plan_id</f>
        <v>1952</v>
      </c>
      <c r="F4220" s="66">
        <f t="shared" ca="1" si="8526"/>
        <v>2014</v>
      </c>
      <c r="G4220" s="66">
        <f t="shared" ref="G4220" ca="1" si="8647">VLOOKUP(INDIRECT(CHAR(39)&amp;$A4220&amp;CHAR(39)&amp;"!r2c"&amp;$C4220,0),variables,2,0)</f>
        <v>9911</v>
      </c>
      <c r="H4220" s="71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67" t="s">
        <v>1429</v>
      </c>
      <c r="B4221" s="66">
        <f t="shared" si="8560"/>
        <v>16</v>
      </c>
      <c r="C4221" s="66">
        <f t="shared" si="8563"/>
        <v>78</v>
      </c>
      <c r="E4221" s="66">
        <f t="shared" ref="E4221" si="8648">plan_id</f>
        <v>1952</v>
      </c>
      <c r="F4221" s="66">
        <f t="shared" ca="1" si="8526"/>
        <v>2014</v>
      </c>
      <c r="G4221" s="66">
        <f t="shared" ref="G4221" ca="1" si="8649">VLOOKUP(INDIRECT(CHAR(39)&amp;$A4221&amp;CHAR(39)&amp;"!r2c"&amp;$C4221,0),variables,2,0)</f>
        <v>9663</v>
      </c>
      <c r="H4221" s="71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67" t="s">
        <v>1429</v>
      </c>
      <c r="B4222" s="66">
        <f t="shared" si="8560"/>
        <v>16</v>
      </c>
      <c r="C4222" s="66">
        <f t="shared" si="8563"/>
        <v>79</v>
      </c>
      <c r="E4222" s="66">
        <f t="shared" ref="E4222" si="8650">plan_id</f>
        <v>1952</v>
      </c>
      <c r="F4222" s="66">
        <f t="shared" ca="1" si="8526"/>
        <v>2014</v>
      </c>
      <c r="G4222" s="66">
        <f t="shared" ref="G4222" ca="1" si="8651">VLOOKUP(INDIRECT(CHAR(39)&amp;$A4222&amp;CHAR(39)&amp;"!r2c"&amp;$C4222,0),variables,2,0)</f>
        <v>9710</v>
      </c>
      <c r="H4222" s="71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67" t="s">
        <v>1429</v>
      </c>
      <c r="B4223" s="66">
        <f t="shared" si="8560"/>
        <v>16</v>
      </c>
      <c r="C4223" s="66">
        <f t="shared" si="8563"/>
        <v>80</v>
      </c>
      <c r="E4223" s="66">
        <f t="shared" ref="E4223" si="8652">plan_id</f>
        <v>1952</v>
      </c>
      <c r="F4223" s="66">
        <f t="shared" ca="1" si="8526"/>
        <v>2014</v>
      </c>
      <c r="G4223" s="66">
        <f t="shared" ref="G4223" ca="1" si="8653">VLOOKUP(INDIRECT(CHAR(39)&amp;$A4223&amp;CHAR(39)&amp;"!r2c"&amp;$C4223,0),variables,2,0)</f>
        <v>9758</v>
      </c>
      <c r="H4223" s="71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67" t="s">
        <v>1429</v>
      </c>
      <c r="B4224" s="66">
        <f t="shared" si="8560"/>
        <v>16</v>
      </c>
      <c r="C4224" s="66">
        <f t="shared" si="8563"/>
        <v>81</v>
      </c>
      <c r="E4224" s="66">
        <f t="shared" ref="E4224" si="8654">plan_id</f>
        <v>1952</v>
      </c>
      <c r="F4224" s="66">
        <f t="shared" ca="1" si="8526"/>
        <v>2014</v>
      </c>
      <c r="G4224" s="66">
        <f t="shared" ref="G4224" ca="1" si="8655">VLOOKUP(INDIRECT(CHAR(39)&amp;$A4224&amp;CHAR(39)&amp;"!r2c"&amp;$C4224,0),variables,2,0)</f>
        <v>9803</v>
      </c>
      <c r="H4224" s="71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67" t="s">
        <v>1429</v>
      </c>
      <c r="B4225" s="66">
        <f t="shared" si="8560"/>
        <v>16</v>
      </c>
      <c r="C4225" s="66">
        <f t="shared" si="8563"/>
        <v>82</v>
      </c>
      <c r="E4225" s="66">
        <f t="shared" ref="E4225" si="8656">plan_id</f>
        <v>1952</v>
      </c>
      <c r="F4225" s="66">
        <f t="shared" ref="F4225:F4288" ca="1" si="8657">INDIRECT(CHAR(39)&amp;$A4225&amp;CHAR(39)&amp;"!r"&amp;$B4225&amp;"c2",0)</f>
        <v>2014</v>
      </c>
      <c r="G4225" s="66">
        <f t="shared" ref="G4225" ca="1" si="8658">VLOOKUP(INDIRECT(CHAR(39)&amp;$A4225&amp;CHAR(39)&amp;"!r2c"&amp;$C4225,0),variables,2,0)</f>
        <v>9857</v>
      </c>
      <c r="H4225" s="71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67" t="s">
        <v>1429</v>
      </c>
      <c r="B4226" s="66">
        <f t="shared" si="8560"/>
        <v>16</v>
      </c>
      <c r="C4226" s="66">
        <f t="shared" si="8563"/>
        <v>83</v>
      </c>
      <c r="E4226" s="66">
        <f t="shared" ref="E4226" si="8659">plan_id</f>
        <v>1952</v>
      </c>
      <c r="F4226" s="66">
        <f t="shared" ca="1" si="8657"/>
        <v>2014</v>
      </c>
      <c r="G4226" s="66">
        <f t="shared" ref="G4226" ca="1" si="8660">VLOOKUP(INDIRECT(CHAR(39)&amp;$A4226&amp;CHAR(39)&amp;"!r2c"&amp;$C4226,0),variables,2,0)</f>
        <v>9902</v>
      </c>
      <c r="H4226" s="71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67" t="s">
        <v>1429</v>
      </c>
      <c r="B4227" s="66">
        <f t="shared" si="8560"/>
        <v>16</v>
      </c>
      <c r="C4227" s="66">
        <f t="shared" si="8563"/>
        <v>84</v>
      </c>
      <c r="E4227" s="66">
        <f t="shared" ref="E4227" si="8661">plan_id</f>
        <v>1952</v>
      </c>
      <c r="F4227" s="66">
        <f t="shared" ca="1" si="8657"/>
        <v>2014</v>
      </c>
      <c r="G4227" s="66">
        <f t="shared" ref="G4227" ca="1" si="8662">VLOOKUP(INDIRECT(CHAR(39)&amp;$A4227&amp;CHAR(39)&amp;"!r2c"&amp;$C4227,0),variables,2,0)</f>
        <v>9926</v>
      </c>
      <c r="H4227" s="71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67" t="s">
        <v>1429</v>
      </c>
      <c r="B4228" s="66">
        <f t="shared" si="8560"/>
        <v>16</v>
      </c>
      <c r="C4228" s="66">
        <f t="shared" si="8563"/>
        <v>85</v>
      </c>
      <c r="E4228" s="66">
        <f t="shared" ref="E4228" si="8663">plan_id</f>
        <v>1952</v>
      </c>
      <c r="F4228" s="66">
        <f t="shared" ca="1" si="8657"/>
        <v>2014</v>
      </c>
      <c r="G4228" s="66">
        <f t="shared" ref="G4228" ca="1" si="8664">VLOOKUP(INDIRECT(CHAR(39)&amp;$A4228&amp;CHAR(39)&amp;"!r2c"&amp;$C4228,0),variables,2,0)</f>
        <v>9666</v>
      </c>
      <c r="H4228" s="71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67" t="s">
        <v>1429</v>
      </c>
      <c r="B4229" s="66">
        <f t="shared" si="8560"/>
        <v>16</v>
      </c>
      <c r="C4229" s="66">
        <f t="shared" si="8563"/>
        <v>86</v>
      </c>
      <c r="E4229" s="66">
        <f t="shared" ref="E4229" si="8665">plan_id</f>
        <v>1952</v>
      </c>
      <c r="F4229" s="66">
        <f t="shared" ca="1" si="8657"/>
        <v>2014</v>
      </c>
      <c r="G4229" s="66">
        <f t="shared" ref="G4229" ca="1" si="8666">VLOOKUP(INDIRECT(CHAR(39)&amp;$A4229&amp;CHAR(39)&amp;"!r2c"&amp;$C4229,0),variables,2,0)</f>
        <v>9827</v>
      </c>
      <c r="H4229" s="71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67" t="s">
        <v>1429</v>
      </c>
      <c r="B4230" s="66">
        <f t="shared" si="8560"/>
        <v>16</v>
      </c>
      <c r="C4230" s="66">
        <f t="shared" si="8563"/>
        <v>87</v>
      </c>
      <c r="E4230" s="66">
        <f t="shared" ref="E4230" si="8667">plan_id</f>
        <v>1952</v>
      </c>
      <c r="F4230" s="66">
        <f t="shared" ca="1" si="8657"/>
        <v>2014</v>
      </c>
      <c r="G4230" s="66">
        <f t="shared" ref="G4230" ca="1" si="8668">VLOOKUP(INDIRECT(CHAR(39)&amp;$A4230&amp;CHAR(39)&amp;"!r2c"&amp;$C4230,0),variables,2,0)</f>
        <v>9657</v>
      </c>
      <c r="H4230" s="71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67" t="s">
        <v>1429</v>
      </c>
      <c r="B4231" s="66">
        <f t="shared" si="8560"/>
        <v>16</v>
      </c>
      <c r="C4231" s="66">
        <f t="shared" si="8563"/>
        <v>88</v>
      </c>
      <c r="E4231" s="66">
        <f t="shared" ref="E4231" si="8669">plan_id</f>
        <v>1952</v>
      </c>
      <c r="F4231" s="66">
        <f t="shared" ca="1" si="8657"/>
        <v>2014</v>
      </c>
      <c r="G4231" s="66">
        <f t="shared" ref="G4231" ca="1" si="8670">VLOOKUP(INDIRECT(CHAR(39)&amp;$A4231&amp;CHAR(39)&amp;"!r2c"&amp;$C4231,0),variables,2,0)</f>
        <v>9834</v>
      </c>
      <c r="H4231" s="71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67" t="s">
        <v>1429</v>
      </c>
      <c r="B4232" s="66">
        <f t="shared" si="8560"/>
        <v>16</v>
      </c>
      <c r="C4232" s="66">
        <f t="shared" si="8563"/>
        <v>89</v>
      </c>
      <c r="E4232" s="66">
        <f t="shared" ref="E4232" si="8671">plan_id</f>
        <v>1952</v>
      </c>
      <c r="F4232" s="66">
        <f t="shared" ca="1" si="8657"/>
        <v>2014</v>
      </c>
      <c r="G4232" s="66">
        <f t="shared" ref="G4232" ca="1" si="8672">VLOOKUP(INDIRECT(CHAR(39)&amp;$A4232&amp;CHAR(39)&amp;"!r2c"&amp;$C4232,0),variables,2,0)</f>
        <v>9884</v>
      </c>
      <c r="H4232" s="71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67" t="s">
        <v>1429</v>
      </c>
      <c r="B4233" s="66">
        <f t="shared" si="8560"/>
        <v>16</v>
      </c>
      <c r="C4233" s="66">
        <f t="shared" si="8563"/>
        <v>90</v>
      </c>
      <c r="E4233" s="66">
        <f t="shared" ref="E4233" si="8673">plan_id</f>
        <v>1952</v>
      </c>
      <c r="F4233" s="66">
        <f t="shared" ca="1" si="8657"/>
        <v>2014</v>
      </c>
      <c r="G4233" s="66">
        <f t="shared" ref="G4233" ca="1" si="8674">VLOOKUP(INDIRECT(CHAR(39)&amp;$A4233&amp;CHAR(39)&amp;"!r2c"&amp;$C4233,0),variables,2,0)</f>
        <v>9672</v>
      </c>
      <c r="H4233" s="71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67" t="s">
        <v>1429</v>
      </c>
      <c r="B4234" s="66">
        <f t="shared" si="8560"/>
        <v>17</v>
      </c>
      <c r="C4234" s="66">
        <f t="shared" si="8563"/>
        <v>3</v>
      </c>
      <c r="E4234" s="66">
        <f t="shared" ref="E4234" si="8675">plan_id</f>
        <v>1952</v>
      </c>
      <c r="F4234" s="66">
        <f t="shared" ca="1" si="8657"/>
        <v>2015</v>
      </c>
      <c r="G4234" s="66">
        <f t="shared" ref="G4234" ca="1" si="8676">VLOOKUP(INDIRECT(CHAR(39)&amp;$A4234&amp;CHAR(39)&amp;"!r2c"&amp;$C4234,0),variables,2,0)</f>
        <v>9704</v>
      </c>
      <c r="H4234" s="71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67" t="s">
        <v>1429</v>
      </c>
      <c r="B4235" s="66">
        <f t="shared" si="8560"/>
        <v>17</v>
      </c>
      <c r="C4235" s="66">
        <f t="shared" si="8563"/>
        <v>4</v>
      </c>
      <c r="E4235" s="66">
        <f t="shared" ref="E4235" si="8677">plan_id</f>
        <v>1952</v>
      </c>
      <c r="F4235" s="66">
        <f t="shared" ca="1" si="8657"/>
        <v>2015</v>
      </c>
      <c r="G4235" s="66">
        <f t="shared" ref="G4235" ca="1" si="8678">VLOOKUP(INDIRECT(CHAR(39)&amp;$A4235&amp;CHAR(39)&amp;"!r2c"&amp;$C4235,0),variables,2,0)</f>
        <v>9716</v>
      </c>
      <c r="H4235" s="71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67" t="s">
        <v>1429</v>
      </c>
      <c r="B4236" s="66">
        <f t="shared" si="8560"/>
        <v>17</v>
      </c>
      <c r="C4236" s="66">
        <f t="shared" si="8563"/>
        <v>5</v>
      </c>
      <c r="E4236" s="66">
        <f t="shared" ref="E4236" si="8679">plan_id</f>
        <v>1952</v>
      </c>
      <c r="F4236" s="66">
        <f t="shared" ca="1" si="8657"/>
        <v>2015</v>
      </c>
      <c r="G4236" s="66">
        <f t="shared" ref="G4236" ca="1" si="8680">VLOOKUP(INDIRECT(CHAR(39)&amp;$A4236&amp;CHAR(39)&amp;"!r2c"&amp;$C4236,0),variables,2,0)</f>
        <v>9734</v>
      </c>
      <c r="H4236" s="71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67" t="s">
        <v>1429</v>
      </c>
      <c r="B4237" s="66">
        <f t="shared" si="8560"/>
        <v>17</v>
      </c>
      <c r="C4237" s="66">
        <f t="shared" si="8563"/>
        <v>6</v>
      </c>
      <c r="E4237" s="66">
        <f t="shared" ref="E4237" si="8681">plan_id</f>
        <v>1952</v>
      </c>
      <c r="F4237" s="66">
        <f t="shared" ca="1" si="8657"/>
        <v>2015</v>
      </c>
      <c r="G4237" s="66">
        <f t="shared" ref="G4237" ca="1" si="8682">VLOOKUP(INDIRECT(CHAR(39)&amp;$A4237&amp;CHAR(39)&amp;"!r2c"&amp;$C4237,0),variables,2,0)</f>
        <v>9749</v>
      </c>
      <c r="H4237" s="71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67" t="s">
        <v>1429</v>
      </c>
      <c r="B4238" s="66">
        <f t="shared" si="8560"/>
        <v>17</v>
      </c>
      <c r="C4238" s="66">
        <f t="shared" si="8563"/>
        <v>7</v>
      </c>
      <c r="E4238" s="66">
        <f t="shared" ref="E4238" si="8683">plan_id</f>
        <v>1952</v>
      </c>
      <c r="F4238" s="66">
        <f t="shared" ca="1" si="8657"/>
        <v>2015</v>
      </c>
      <c r="G4238" s="66">
        <f t="shared" ref="G4238" ca="1" si="8684">VLOOKUP(INDIRECT(CHAR(39)&amp;$A4238&amp;CHAR(39)&amp;"!r2c"&amp;$C4238,0),variables,2,0)</f>
        <v>9755</v>
      </c>
      <c r="H4238" s="71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67" t="s">
        <v>1429</v>
      </c>
      <c r="B4239" s="66">
        <f t="shared" si="8560"/>
        <v>17</v>
      </c>
      <c r="C4239" s="66">
        <f t="shared" si="8563"/>
        <v>8</v>
      </c>
      <c r="E4239" s="66">
        <f t="shared" ref="E4239" si="8685">plan_id</f>
        <v>1952</v>
      </c>
      <c r="F4239" s="66">
        <f t="shared" ca="1" si="8657"/>
        <v>2015</v>
      </c>
      <c r="G4239" s="66">
        <f t="shared" ref="G4239" ca="1" si="8686">VLOOKUP(INDIRECT(CHAR(39)&amp;$A4239&amp;CHAR(39)&amp;"!r2c"&amp;$C4239,0),variables,2,0)</f>
        <v>9782</v>
      </c>
      <c r="H4239" s="71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67" t="s">
        <v>1429</v>
      </c>
      <c r="B4240" s="66">
        <f t="shared" si="8560"/>
        <v>17</v>
      </c>
      <c r="C4240" s="66">
        <f t="shared" si="8563"/>
        <v>9</v>
      </c>
      <c r="E4240" s="66">
        <f t="shared" ref="E4240" si="8687">plan_id</f>
        <v>1952</v>
      </c>
      <c r="F4240" s="66">
        <f t="shared" ca="1" si="8657"/>
        <v>2015</v>
      </c>
      <c r="G4240" s="66">
        <f t="shared" ref="G4240" ca="1" si="8688">VLOOKUP(INDIRECT(CHAR(39)&amp;$A4240&amp;CHAR(39)&amp;"!r2c"&amp;$C4240,0),variables,2,0)</f>
        <v>9788</v>
      </c>
      <c r="H4240" s="71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67" t="s">
        <v>1429</v>
      </c>
      <c r="B4241" s="66">
        <f t="shared" si="8560"/>
        <v>17</v>
      </c>
      <c r="C4241" s="66">
        <f t="shared" si="8563"/>
        <v>10</v>
      </c>
      <c r="E4241" s="66">
        <f t="shared" ref="E4241" si="8689">plan_id</f>
        <v>1952</v>
      </c>
      <c r="F4241" s="66">
        <f t="shared" ca="1" si="8657"/>
        <v>2015</v>
      </c>
      <c r="G4241" s="66">
        <f t="shared" ref="G4241" ca="1" si="8690">VLOOKUP(INDIRECT(CHAR(39)&amp;$A4241&amp;CHAR(39)&amp;"!r2c"&amp;$C4241,0),variables,2,0)</f>
        <v>9812</v>
      </c>
      <c r="H4241" s="71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67" t="s">
        <v>1429</v>
      </c>
      <c r="B4242" s="66">
        <f t="shared" ref="B4242:B4305" si="8691">B4154+1</f>
        <v>17</v>
      </c>
      <c r="C4242" s="66">
        <f t="shared" si="8563"/>
        <v>11</v>
      </c>
      <c r="E4242" s="66">
        <f t="shared" ref="E4242" si="8692">plan_id</f>
        <v>1952</v>
      </c>
      <c r="F4242" s="66">
        <f t="shared" ca="1" si="8657"/>
        <v>2015</v>
      </c>
      <c r="G4242" s="66">
        <f t="shared" ref="G4242" ca="1" si="8693">VLOOKUP(INDIRECT(CHAR(39)&amp;$A4242&amp;CHAR(39)&amp;"!r2c"&amp;$C4242,0),variables,2,0)</f>
        <v>9815</v>
      </c>
      <c r="H4242" s="71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67" t="s">
        <v>1429</v>
      </c>
      <c r="B4243" s="66">
        <f t="shared" si="8691"/>
        <v>17</v>
      </c>
      <c r="C4243" s="66">
        <f t="shared" ref="C4243:C4306" si="8694">C4155</f>
        <v>12</v>
      </c>
      <c r="E4243" s="66">
        <f t="shared" ref="E4243" si="8695">plan_id</f>
        <v>1952</v>
      </c>
      <c r="F4243" s="66">
        <f t="shared" ca="1" si="8657"/>
        <v>2015</v>
      </c>
      <c r="G4243" s="66">
        <f t="shared" ref="G4243" ca="1" si="8696">VLOOKUP(INDIRECT(CHAR(39)&amp;$A4243&amp;CHAR(39)&amp;"!r2c"&amp;$C4243,0),variables,2,0)</f>
        <v>9821</v>
      </c>
      <c r="H4243" s="71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67" t="s">
        <v>1429</v>
      </c>
      <c r="B4244" s="66">
        <f t="shared" si="8691"/>
        <v>17</v>
      </c>
      <c r="C4244" s="66">
        <f t="shared" si="8694"/>
        <v>13</v>
      </c>
      <c r="E4244" s="66">
        <f t="shared" ref="E4244" si="8697">plan_id</f>
        <v>1952</v>
      </c>
      <c r="F4244" s="66">
        <f t="shared" ca="1" si="8657"/>
        <v>2015</v>
      </c>
      <c r="G4244" s="66">
        <f t="shared" ref="G4244" ca="1" si="8698">VLOOKUP(INDIRECT(CHAR(39)&amp;$A4244&amp;CHAR(39)&amp;"!r2c"&amp;$C4244,0),variables,2,0)</f>
        <v>9824</v>
      </c>
      <c r="H4244" s="71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67" t="s">
        <v>1429</v>
      </c>
      <c r="B4245" s="66">
        <f t="shared" si="8691"/>
        <v>17</v>
      </c>
      <c r="C4245" s="66">
        <f t="shared" si="8694"/>
        <v>14</v>
      </c>
      <c r="E4245" s="66">
        <f t="shared" ref="E4245" si="8699">plan_id</f>
        <v>1952</v>
      </c>
      <c r="F4245" s="66">
        <f t="shared" ca="1" si="8657"/>
        <v>2015</v>
      </c>
      <c r="G4245" s="66">
        <f t="shared" ref="G4245" ca="1" si="8700">VLOOKUP(INDIRECT(CHAR(39)&amp;$A4245&amp;CHAR(39)&amp;"!r2c"&amp;$C4245,0),variables,2,0)</f>
        <v>9830</v>
      </c>
      <c r="H4245" s="71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67" t="s">
        <v>1429</v>
      </c>
      <c r="B4246" s="66">
        <f t="shared" si="8691"/>
        <v>17</v>
      </c>
      <c r="C4246" s="66">
        <f t="shared" si="8694"/>
        <v>15</v>
      </c>
      <c r="E4246" s="66">
        <f t="shared" ref="E4246" si="8701">plan_id</f>
        <v>1952</v>
      </c>
      <c r="F4246" s="66">
        <f t="shared" ca="1" si="8657"/>
        <v>2015</v>
      </c>
      <c r="G4246" s="66">
        <f t="shared" ref="G4246" ca="1" si="8702">VLOOKUP(INDIRECT(CHAR(39)&amp;$A4246&amp;CHAR(39)&amp;"!r2c"&amp;$C4246,0),variables,2,0)</f>
        <v>9833</v>
      </c>
      <c r="H4246" s="71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67" t="s">
        <v>1429</v>
      </c>
      <c r="B4247" s="66">
        <f t="shared" si="8691"/>
        <v>17</v>
      </c>
      <c r="C4247" s="66">
        <f t="shared" si="8694"/>
        <v>16</v>
      </c>
      <c r="E4247" s="66">
        <f t="shared" ref="E4247" si="8703">plan_id</f>
        <v>1952</v>
      </c>
      <c r="F4247" s="66">
        <f t="shared" ca="1" si="8657"/>
        <v>2015</v>
      </c>
      <c r="G4247" s="66">
        <f t="shared" ref="G4247" ca="1" si="8704">VLOOKUP(INDIRECT(CHAR(39)&amp;$A4247&amp;CHAR(39)&amp;"!r2c"&amp;$C4247,0),variables,2,0)</f>
        <v>9845</v>
      </c>
      <c r="H4247" s="71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67" t="s">
        <v>1429</v>
      </c>
      <c r="B4248" s="66">
        <f t="shared" si="8691"/>
        <v>17</v>
      </c>
      <c r="C4248" s="66">
        <f t="shared" si="8694"/>
        <v>17</v>
      </c>
      <c r="E4248" s="66">
        <f t="shared" ref="E4248" si="8705">plan_id</f>
        <v>1952</v>
      </c>
      <c r="F4248" s="66">
        <f t="shared" ca="1" si="8657"/>
        <v>2015</v>
      </c>
      <c r="G4248" s="66">
        <f t="shared" ref="G4248" ca="1" si="8706">VLOOKUP(INDIRECT(CHAR(39)&amp;$A4248&amp;CHAR(39)&amp;"!r2c"&amp;$C4248,0),variables,2,0)</f>
        <v>9872</v>
      </c>
      <c r="H4248" s="71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67" t="s">
        <v>1429</v>
      </c>
      <c r="B4249" s="66">
        <f t="shared" si="8691"/>
        <v>17</v>
      </c>
      <c r="C4249" s="66">
        <f t="shared" si="8694"/>
        <v>18</v>
      </c>
      <c r="E4249" s="66">
        <f t="shared" ref="E4249" si="8707">plan_id</f>
        <v>1952</v>
      </c>
      <c r="F4249" s="66">
        <f t="shared" ca="1" si="8657"/>
        <v>2015</v>
      </c>
      <c r="G4249" s="66">
        <f t="shared" ref="G4249" ca="1" si="8708">VLOOKUP(INDIRECT(CHAR(39)&amp;$A4249&amp;CHAR(39)&amp;"!r2c"&amp;$C4249,0),variables,2,0)</f>
        <v>9887</v>
      </c>
      <c r="H4249" s="71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67" t="s">
        <v>1429</v>
      </c>
      <c r="B4250" s="66">
        <f t="shared" si="8691"/>
        <v>17</v>
      </c>
      <c r="C4250" s="66">
        <f t="shared" si="8694"/>
        <v>19</v>
      </c>
      <c r="E4250" s="66">
        <f t="shared" ref="E4250" si="8709">plan_id</f>
        <v>1952</v>
      </c>
      <c r="F4250" s="66">
        <f t="shared" ca="1" si="8657"/>
        <v>2015</v>
      </c>
      <c r="G4250" s="66">
        <f t="shared" ref="G4250" ca="1" si="8710">VLOOKUP(INDIRECT(CHAR(39)&amp;$A4250&amp;CHAR(39)&amp;"!r2c"&amp;$C4250,0),variables,2,0)</f>
        <v>9914</v>
      </c>
      <c r="H4250" s="71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67" t="s">
        <v>1429</v>
      </c>
      <c r="B4251" s="66">
        <f t="shared" si="8691"/>
        <v>17</v>
      </c>
      <c r="C4251" s="66">
        <f t="shared" si="8694"/>
        <v>20</v>
      </c>
      <c r="E4251" s="66">
        <f t="shared" ref="E4251" si="8711">plan_id</f>
        <v>1952</v>
      </c>
      <c r="F4251" s="66">
        <f t="shared" ca="1" si="8657"/>
        <v>2015</v>
      </c>
      <c r="G4251" s="66">
        <f t="shared" ref="G4251" ca="1" si="8712">VLOOKUP(INDIRECT(CHAR(39)&amp;$A4251&amp;CHAR(39)&amp;"!r2c"&amp;$C4251,0),variables,2,0)</f>
        <v>9917</v>
      </c>
      <c r="H4251" s="71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67" t="s">
        <v>1429</v>
      </c>
      <c r="B4252" s="66">
        <f t="shared" si="8691"/>
        <v>17</v>
      </c>
      <c r="C4252" s="66">
        <f t="shared" si="8694"/>
        <v>21</v>
      </c>
      <c r="E4252" s="66">
        <f t="shared" ref="E4252" si="8713">plan_id</f>
        <v>1952</v>
      </c>
      <c r="F4252" s="66">
        <f t="shared" ca="1" si="8657"/>
        <v>2015</v>
      </c>
      <c r="G4252" s="66">
        <f t="shared" ref="G4252" ca="1" si="8714">VLOOKUP(INDIRECT(CHAR(39)&amp;$A4252&amp;CHAR(39)&amp;"!r2c"&amp;$C4252,0),variables,2,0)</f>
        <v>9920</v>
      </c>
      <c r="H4252" s="71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67" t="s">
        <v>1429</v>
      </c>
      <c r="B4253" s="66">
        <f t="shared" si="8691"/>
        <v>17</v>
      </c>
      <c r="C4253" s="66">
        <f t="shared" si="8694"/>
        <v>22</v>
      </c>
      <c r="E4253" s="66">
        <f t="shared" ref="E4253" si="8715">plan_id</f>
        <v>1952</v>
      </c>
      <c r="F4253" s="66">
        <f t="shared" ca="1" si="8657"/>
        <v>2015</v>
      </c>
      <c r="G4253" s="66">
        <f t="shared" ref="G4253" ca="1" si="8716">VLOOKUP(INDIRECT(CHAR(39)&amp;$A4253&amp;CHAR(39)&amp;"!r2c"&amp;$C4253,0),variables,2,0)</f>
        <v>9648</v>
      </c>
      <c r="H4253" s="71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67" t="s">
        <v>1429</v>
      </c>
      <c r="B4254" s="66">
        <f t="shared" si="8691"/>
        <v>17</v>
      </c>
      <c r="C4254" s="66">
        <f t="shared" si="8694"/>
        <v>23</v>
      </c>
      <c r="E4254" s="66">
        <f t="shared" ref="E4254" si="8717">plan_id</f>
        <v>1952</v>
      </c>
      <c r="F4254" s="66">
        <f t="shared" ca="1" si="8657"/>
        <v>2015</v>
      </c>
      <c r="G4254" s="66">
        <f t="shared" ref="G4254" ca="1" si="8718">VLOOKUP(INDIRECT(CHAR(39)&amp;$A4254&amp;CHAR(39)&amp;"!r2c"&amp;$C4254,0),variables,2,0)</f>
        <v>9713</v>
      </c>
      <c r="H4254" s="71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67" t="s">
        <v>1429</v>
      </c>
      <c r="B4255" s="66">
        <f t="shared" si="8691"/>
        <v>17</v>
      </c>
      <c r="C4255" s="66">
        <f t="shared" si="8694"/>
        <v>24</v>
      </c>
      <c r="E4255" s="66">
        <f t="shared" ref="E4255" si="8719">plan_id</f>
        <v>1952</v>
      </c>
      <c r="F4255" s="66">
        <f t="shared" ca="1" si="8657"/>
        <v>2015</v>
      </c>
      <c r="G4255" s="66">
        <f t="shared" ref="G4255" ca="1" si="8720">VLOOKUP(INDIRECT(CHAR(39)&amp;$A4255&amp;CHAR(39)&amp;"!r2c"&amp;$C4255,0),variables,2,0)</f>
        <v>9719</v>
      </c>
      <c r="H4255" s="71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67" t="s">
        <v>1429</v>
      </c>
      <c r="B4256" s="66">
        <f t="shared" si="8691"/>
        <v>17</v>
      </c>
      <c r="C4256" s="66">
        <f t="shared" si="8694"/>
        <v>25</v>
      </c>
      <c r="E4256" s="66">
        <f t="shared" ref="E4256" si="8721">plan_id</f>
        <v>1952</v>
      </c>
      <c r="F4256" s="66">
        <f t="shared" ca="1" si="8657"/>
        <v>2015</v>
      </c>
      <c r="G4256" s="66">
        <f t="shared" ref="G4256" ca="1" si="8722">VLOOKUP(INDIRECT(CHAR(39)&amp;$A4256&amp;CHAR(39)&amp;"!r2c"&amp;$C4256,0),variables,2,0)</f>
        <v>9725</v>
      </c>
      <c r="H4256" s="71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67" t="s">
        <v>1429</v>
      </c>
      <c r="B4257" s="66">
        <f t="shared" si="8691"/>
        <v>17</v>
      </c>
      <c r="C4257" s="66">
        <f t="shared" si="8694"/>
        <v>26</v>
      </c>
      <c r="E4257" s="66">
        <f t="shared" ref="E4257" si="8723">plan_id</f>
        <v>1952</v>
      </c>
      <c r="F4257" s="66">
        <f t="shared" ca="1" si="8657"/>
        <v>2015</v>
      </c>
      <c r="G4257" s="66">
        <f t="shared" ref="G4257" ca="1" si="8724">VLOOKUP(INDIRECT(CHAR(39)&amp;$A4257&amp;CHAR(39)&amp;"!r2c"&amp;$C4257,0),variables,2,0)</f>
        <v>9743</v>
      </c>
      <c r="H4257" s="71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67" t="s">
        <v>1429</v>
      </c>
      <c r="B4258" s="66">
        <f t="shared" si="8691"/>
        <v>17</v>
      </c>
      <c r="C4258" s="66">
        <f t="shared" si="8694"/>
        <v>27</v>
      </c>
      <c r="E4258" s="66">
        <f t="shared" ref="E4258" si="8725">plan_id</f>
        <v>1952</v>
      </c>
      <c r="F4258" s="66">
        <f t="shared" ca="1" si="8657"/>
        <v>2015</v>
      </c>
      <c r="G4258" s="66">
        <f t="shared" ref="G4258" ca="1" si="8726">VLOOKUP(INDIRECT(CHAR(39)&amp;$A4258&amp;CHAR(39)&amp;"!r2c"&amp;$C4258,0),variables,2,0)</f>
        <v>9746</v>
      </c>
      <c r="H4258" s="71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67" t="s">
        <v>1429</v>
      </c>
      <c r="B4259" s="66">
        <f t="shared" si="8691"/>
        <v>17</v>
      </c>
      <c r="C4259" s="66">
        <f t="shared" si="8694"/>
        <v>28</v>
      </c>
      <c r="E4259" s="66">
        <f t="shared" ref="E4259" si="8727">plan_id</f>
        <v>1952</v>
      </c>
      <c r="F4259" s="66">
        <f t="shared" ca="1" si="8657"/>
        <v>2015</v>
      </c>
      <c r="G4259" s="66">
        <f t="shared" ref="G4259" ca="1" si="8728">VLOOKUP(INDIRECT(CHAR(39)&amp;$A4259&amp;CHAR(39)&amp;"!r2c"&amp;$C4259,0),variables,2,0)</f>
        <v>9761</v>
      </c>
      <c r="H4259" s="71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67" t="s">
        <v>1429</v>
      </c>
      <c r="B4260" s="66">
        <f t="shared" si="8691"/>
        <v>17</v>
      </c>
      <c r="C4260" s="66">
        <f t="shared" si="8694"/>
        <v>29</v>
      </c>
      <c r="E4260" s="66">
        <f t="shared" ref="E4260" si="8729">plan_id</f>
        <v>1952</v>
      </c>
      <c r="F4260" s="66">
        <f t="shared" ca="1" si="8657"/>
        <v>2015</v>
      </c>
      <c r="G4260" s="66">
        <f t="shared" ref="G4260" ca="1" si="8730">VLOOKUP(INDIRECT(CHAR(39)&amp;$A4260&amp;CHAR(39)&amp;"!r2c"&amp;$C4260,0),variables,2,0)</f>
        <v>9764</v>
      </c>
      <c r="H4260" s="71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67" t="s">
        <v>1429</v>
      </c>
      <c r="B4261" s="66">
        <f t="shared" si="8691"/>
        <v>17</v>
      </c>
      <c r="C4261" s="66">
        <f t="shared" si="8694"/>
        <v>30</v>
      </c>
      <c r="E4261" s="66">
        <f t="shared" ref="E4261" si="8731">plan_id</f>
        <v>1952</v>
      </c>
      <c r="F4261" s="66">
        <f t="shared" ca="1" si="8657"/>
        <v>2015</v>
      </c>
      <c r="G4261" s="66">
        <f t="shared" ref="G4261" ca="1" si="8732">VLOOKUP(INDIRECT(CHAR(39)&amp;$A4261&amp;CHAR(39)&amp;"!r2c"&amp;$C4261,0),variables,2,0)</f>
        <v>9767</v>
      </c>
      <c r="H4261" s="71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67" t="s">
        <v>1429</v>
      </c>
      <c r="B4262" s="66">
        <f t="shared" si="8691"/>
        <v>17</v>
      </c>
      <c r="C4262" s="66">
        <f t="shared" si="8694"/>
        <v>31</v>
      </c>
      <c r="E4262" s="66">
        <f t="shared" ref="E4262" si="8733">plan_id</f>
        <v>1952</v>
      </c>
      <c r="F4262" s="66">
        <f t="shared" ca="1" si="8657"/>
        <v>2015</v>
      </c>
      <c r="G4262" s="66">
        <f t="shared" ref="G4262" ca="1" si="8734">VLOOKUP(INDIRECT(CHAR(39)&amp;$A4262&amp;CHAR(39)&amp;"!r2c"&amp;$C4262,0),variables,2,0)</f>
        <v>9770</v>
      </c>
      <c r="H4262" s="71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67" t="s">
        <v>1429</v>
      </c>
      <c r="B4263" s="66">
        <f t="shared" si="8691"/>
        <v>17</v>
      </c>
      <c r="C4263" s="66">
        <f t="shared" si="8694"/>
        <v>32</v>
      </c>
      <c r="E4263" s="66">
        <f t="shared" ref="E4263" si="8735">plan_id</f>
        <v>1952</v>
      </c>
      <c r="F4263" s="66">
        <f t="shared" ca="1" si="8657"/>
        <v>2015</v>
      </c>
      <c r="G4263" s="66">
        <f t="shared" ref="G4263" ca="1" si="8736">VLOOKUP(INDIRECT(CHAR(39)&amp;$A4263&amp;CHAR(39)&amp;"!r2c"&amp;$C4263,0),variables,2,0)</f>
        <v>9773</v>
      </c>
      <c r="H4263" s="71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67" t="s">
        <v>1429</v>
      </c>
      <c r="B4264" s="66">
        <f t="shared" si="8691"/>
        <v>17</v>
      </c>
      <c r="C4264" s="66">
        <f t="shared" si="8694"/>
        <v>33</v>
      </c>
      <c r="E4264" s="66">
        <f t="shared" ref="E4264" si="8737">plan_id</f>
        <v>1952</v>
      </c>
      <c r="F4264" s="66">
        <f t="shared" ca="1" si="8657"/>
        <v>2015</v>
      </c>
      <c r="G4264" s="66">
        <f t="shared" ref="G4264" ca="1" si="8738">VLOOKUP(INDIRECT(CHAR(39)&amp;$A4264&amp;CHAR(39)&amp;"!r2c"&amp;$C4264,0),variables,2,0)</f>
        <v>9776</v>
      </c>
      <c r="H4264" s="71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67" t="s">
        <v>1429</v>
      </c>
      <c r="B4265" s="66">
        <f t="shared" si="8691"/>
        <v>17</v>
      </c>
      <c r="C4265" s="66">
        <f t="shared" si="8694"/>
        <v>34</v>
      </c>
      <c r="E4265" s="66">
        <f t="shared" ref="E4265" si="8739">plan_id</f>
        <v>1952</v>
      </c>
      <c r="F4265" s="66">
        <f t="shared" ca="1" si="8657"/>
        <v>2015</v>
      </c>
      <c r="G4265" s="66">
        <f t="shared" ref="G4265" ca="1" si="8740">VLOOKUP(INDIRECT(CHAR(39)&amp;$A4265&amp;CHAR(39)&amp;"!r2c"&amp;$C4265,0),variables,2,0)</f>
        <v>9779</v>
      </c>
      <c r="H4265" s="71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67" t="s">
        <v>1429</v>
      </c>
      <c r="B4266" s="66">
        <f t="shared" si="8691"/>
        <v>17</v>
      </c>
      <c r="C4266" s="66">
        <f t="shared" si="8694"/>
        <v>35</v>
      </c>
      <c r="E4266" s="66">
        <f t="shared" ref="E4266" si="8741">plan_id</f>
        <v>1952</v>
      </c>
      <c r="F4266" s="66">
        <f t="shared" ca="1" si="8657"/>
        <v>2015</v>
      </c>
      <c r="G4266" s="66">
        <f t="shared" ref="G4266" ca="1" si="8742">VLOOKUP(INDIRECT(CHAR(39)&amp;$A4266&amp;CHAR(39)&amp;"!r2c"&amp;$C4266,0),variables,2,0)</f>
        <v>9785</v>
      </c>
      <c r="H4266" s="71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67" t="s">
        <v>1429</v>
      </c>
      <c r="B4267" s="66">
        <f t="shared" si="8691"/>
        <v>17</v>
      </c>
      <c r="C4267" s="66">
        <f t="shared" si="8694"/>
        <v>36</v>
      </c>
      <c r="E4267" s="66">
        <f t="shared" ref="E4267" si="8743">plan_id</f>
        <v>1952</v>
      </c>
      <c r="F4267" s="66">
        <f t="shared" ca="1" si="8657"/>
        <v>2015</v>
      </c>
      <c r="G4267" s="66">
        <f t="shared" ref="G4267" ca="1" si="8744">VLOOKUP(INDIRECT(CHAR(39)&amp;$A4267&amp;CHAR(39)&amp;"!r2c"&amp;$C4267,0),variables,2,0)</f>
        <v>9794</v>
      </c>
      <c r="H4267" s="71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67" t="s">
        <v>1429</v>
      </c>
      <c r="B4268" s="66">
        <f t="shared" si="8691"/>
        <v>17</v>
      </c>
      <c r="C4268" s="66">
        <f t="shared" si="8694"/>
        <v>37</v>
      </c>
      <c r="E4268" s="66">
        <f t="shared" ref="E4268" si="8745">plan_id</f>
        <v>1952</v>
      </c>
      <c r="F4268" s="66">
        <f t="shared" ca="1" si="8657"/>
        <v>2015</v>
      </c>
      <c r="G4268" s="66">
        <f t="shared" ref="G4268" ca="1" si="8746">VLOOKUP(INDIRECT(CHAR(39)&amp;$A4268&amp;CHAR(39)&amp;"!r2c"&amp;$C4268,0),variables,2,0)</f>
        <v>9797</v>
      </c>
      <c r="H4268" s="71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67" t="s">
        <v>1429</v>
      </c>
      <c r="B4269" s="66">
        <f t="shared" si="8691"/>
        <v>17</v>
      </c>
      <c r="C4269" s="66">
        <f t="shared" si="8694"/>
        <v>38</v>
      </c>
      <c r="E4269" s="66">
        <f t="shared" ref="E4269" si="8747">plan_id</f>
        <v>1952</v>
      </c>
      <c r="F4269" s="66">
        <f t="shared" ca="1" si="8657"/>
        <v>2015</v>
      </c>
      <c r="G4269" s="66">
        <f t="shared" ref="G4269" ca="1" si="8748">VLOOKUP(INDIRECT(CHAR(39)&amp;$A4269&amp;CHAR(39)&amp;"!r2c"&amp;$C4269,0),variables,2,0)</f>
        <v>9806</v>
      </c>
      <c r="H4269" s="71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67" t="s">
        <v>1429</v>
      </c>
      <c r="B4270" s="66">
        <f t="shared" si="8691"/>
        <v>17</v>
      </c>
      <c r="C4270" s="66">
        <f t="shared" si="8694"/>
        <v>39</v>
      </c>
      <c r="E4270" s="66">
        <f t="shared" ref="E4270" si="8749">plan_id</f>
        <v>1952</v>
      </c>
      <c r="F4270" s="66">
        <f t="shared" ca="1" si="8657"/>
        <v>2015</v>
      </c>
      <c r="G4270" s="66">
        <f t="shared" ref="G4270" ca="1" si="8750">VLOOKUP(INDIRECT(CHAR(39)&amp;$A4270&amp;CHAR(39)&amp;"!r2c"&amp;$C4270,0),variables,2,0)</f>
        <v>9809</v>
      </c>
      <c r="H4270" s="71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67" t="s">
        <v>1429</v>
      </c>
      <c r="B4271" s="66">
        <f t="shared" si="8691"/>
        <v>17</v>
      </c>
      <c r="C4271" s="66">
        <f t="shared" si="8694"/>
        <v>40</v>
      </c>
      <c r="E4271" s="66">
        <f t="shared" ref="E4271" si="8751">plan_id</f>
        <v>1952</v>
      </c>
      <c r="F4271" s="66">
        <f t="shared" ca="1" si="8657"/>
        <v>2015</v>
      </c>
      <c r="G4271" s="66">
        <f t="shared" ref="G4271" ca="1" si="8752">VLOOKUP(INDIRECT(CHAR(39)&amp;$A4271&amp;CHAR(39)&amp;"!r2c"&amp;$C4271,0),variables,2,0)</f>
        <v>9818</v>
      </c>
      <c r="H4271" s="71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67" t="s">
        <v>1429</v>
      </c>
      <c r="B4272" s="66">
        <f t="shared" si="8691"/>
        <v>17</v>
      </c>
      <c r="C4272" s="66">
        <f t="shared" si="8694"/>
        <v>41</v>
      </c>
      <c r="E4272" s="66">
        <f t="shared" ref="E4272" si="8753">plan_id</f>
        <v>1952</v>
      </c>
      <c r="F4272" s="66">
        <f t="shared" ca="1" si="8657"/>
        <v>2015</v>
      </c>
      <c r="G4272" s="66">
        <f t="shared" ref="G4272" ca="1" si="8754">VLOOKUP(INDIRECT(CHAR(39)&amp;$A4272&amp;CHAR(39)&amp;"!r2c"&amp;$C4272,0),variables,2,0)</f>
        <v>9839</v>
      </c>
      <c r="H4272" s="71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67" t="s">
        <v>1429</v>
      </c>
      <c r="B4273" s="66">
        <f t="shared" si="8691"/>
        <v>17</v>
      </c>
      <c r="C4273" s="66">
        <f t="shared" si="8694"/>
        <v>42</v>
      </c>
      <c r="E4273" s="66">
        <f t="shared" ref="E4273" si="8755">plan_id</f>
        <v>1952</v>
      </c>
      <c r="F4273" s="66">
        <f t="shared" ca="1" si="8657"/>
        <v>2015</v>
      </c>
      <c r="G4273" s="66">
        <f t="shared" ref="G4273" ca="1" si="8756">VLOOKUP(INDIRECT(CHAR(39)&amp;$A4273&amp;CHAR(39)&amp;"!r2c"&amp;$C4273,0),variables,2,0)</f>
        <v>9860</v>
      </c>
      <c r="H4273" s="71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67" t="s">
        <v>1429</v>
      </c>
      <c r="B4274" s="66">
        <f t="shared" si="8691"/>
        <v>17</v>
      </c>
      <c r="C4274" s="66">
        <f t="shared" si="8694"/>
        <v>43</v>
      </c>
      <c r="E4274" s="66">
        <f t="shared" ref="E4274" si="8757">plan_id</f>
        <v>1952</v>
      </c>
      <c r="F4274" s="66">
        <f t="shared" ca="1" si="8657"/>
        <v>2015</v>
      </c>
      <c r="G4274" s="66">
        <f t="shared" ref="G4274" ca="1" si="8758">VLOOKUP(INDIRECT(CHAR(39)&amp;$A4274&amp;CHAR(39)&amp;"!r2c"&amp;$C4274,0),variables,2,0)</f>
        <v>9863</v>
      </c>
      <c r="H4274" s="71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67" t="s">
        <v>1429</v>
      </c>
      <c r="B4275" s="66">
        <f t="shared" si="8691"/>
        <v>17</v>
      </c>
      <c r="C4275" s="66">
        <f t="shared" si="8694"/>
        <v>44</v>
      </c>
      <c r="E4275" s="66">
        <f t="shared" ref="E4275" si="8759">plan_id</f>
        <v>1952</v>
      </c>
      <c r="F4275" s="66">
        <f t="shared" ca="1" si="8657"/>
        <v>2015</v>
      </c>
      <c r="G4275" s="66">
        <f t="shared" ref="G4275" ca="1" si="8760">VLOOKUP(INDIRECT(CHAR(39)&amp;$A4275&amp;CHAR(39)&amp;"!r2c"&amp;$C4275,0),variables,2,0)</f>
        <v>9878</v>
      </c>
      <c r="H4275" s="71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67" t="s">
        <v>1429</v>
      </c>
      <c r="B4276" s="66">
        <f t="shared" si="8691"/>
        <v>17</v>
      </c>
      <c r="C4276" s="66">
        <f t="shared" si="8694"/>
        <v>45</v>
      </c>
      <c r="E4276" s="66">
        <f t="shared" ref="E4276" si="8761">plan_id</f>
        <v>1952</v>
      </c>
      <c r="F4276" s="66">
        <f t="shared" ca="1" si="8657"/>
        <v>2015</v>
      </c>
      <c r="G4276" s="66">
        <f t="shared" ref="G4276" ca="1" si="8762">VLOOKUP(INDIRECT(CHAR(39)&amp;$A4276&amp;CHAR(39)&amp;"!r2c"&amp;$C4276,0),variables,2,0)</f>
        <v>9923</v>
      </c>
      <c r="H4276" s="71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67" t="s">
        <v>1429</v>
      </c>
      <c r="B4277" s="66">
        <f t="shared" si="8691"/>
        <v>17</v>
      </c>
      <c r="C4277" s="66">
        <f t="shared" si="8694"/>
        <v>46</v>
      </c>
      <c r="E4277" s="66">
        <f t="shared" ref="E4277" si="8763">plan_id</f>
        <v>1952</v>
      </c>
      <c r="F4277" s="66">
        <f t="shared" ca="1" si="8657"/>
        <v>2015</v>
      </c>
      <c r="G4277" s="66">
        <f t="shared" ref="G4277" ca="1" si="8764">VLOOKUP(INDIRECT(CHAR(39)&amp;$A4277&amp;CHAR(39)&amp;"!r2c"&amp;$C4277,0),variables,2,0)</f>
        <v>9932</v>
      </c>
      <c r="H4277" s="71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67" t="s">
        <v>1429</v>
      </c>
      <c r="B4278" s="66">
        <f t="shared" si="8691"/>
        <v>17</v>
      </c>
      <c r="C4278" s="66">
        <f t="shared" si="8694"/>
        <v>47</v>
      </c>
      <c r="E4278" s="66">
        <f t="shared" ref="E4278" si="8765">plan_id</f>
        <v>1952</v>
      </c>
      <c r="F4278" s="66">
        <f t="shared" ca="1" si="8657"/>
        <v>2015</v>
      </c>
      <c r="G4278" s="66">
        <f t="shared" ref="G4278" ca="1" si="8766">VLOOKUP(INDIRECT(CHAR(39)&amp;$A4278&amp;CHAR(39)&amp;"!r2c"&amp;$C4278,0),variables,2,0)</f>
        <v>9935</v>
      </c>
      <c r="H4278" s="71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67" t="s">
        <v>1429</v>
      </c>
      <c r="B4279" s="66">
        <f t="shared" si="8691"/>
        <v>17</v>
      </c>
      <c r="C4279" s="66">
        <f t="shared" si="8694"/>
        <v>48</v>
      </c>
      <c r="E4279" s="66">
        <f t="shared" ref="E4279" si="8767">plan_id</f>
        <v>1952</v>
      </c>
      <c r="F4279" s="66">
        <f t="shared" ca="1" si="8657"/>
        <v>2015</v>
      </c>
      <c r="G4279" s="66">
        <f t="shared" ref="G4279" ca="1" si="8768">VLOOKUP(INDIRECT(CHAR(39)&amp;$A4279&amp;CHAR(39)&amp;"!r2c"&amp;$C4279,0),variables,2,0)</f>
        <v>9651</v>
      </c>
      <c r="H4279" s="71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67" t="s">
        <v>1429</v>
      </c>
      <c r="B4280" s="66">
        <f t="shared" si="8691"/>
        <v>17</v>
      </c>
      <c r="C4280" s="66">
        <f t="shared" si="8694"/>
        <v>49</v>
      </c>
      <c r="E4280" s="66">
        <f t="shared" ref="E4280" si="8769">plan_id</f>
        <v>1952</v>
      </c>
      <c r="F4280" s="66">
        <f t="shared" ca="1" si="8657"/>
        <v>2015</v>
      </c>
      <c r="G4280" s="66">
        <f t="shared" ref="G4280" ca="1" si="8770">VLOOKUP(INDIRECT(CHAR(39)&amp;$A4280&amp;CHAR(39)&amp;"!r2c"&amp;$C4280,0),variables,2,0)</f>
        <v>9722</v>
      </c>
      <c r="H4280" s="71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67" t="s">
        <v>1429</v>
      </c>
      <c r="B4281" s="66">
        <f t="shared" si="8691"/>
        <v>17</v>
      </c>
      <c r="C4281" s="66">
        <f t="shared" si="8694"/>
        <v>50</v>
      </c>
      <c r="E4281" s="66">
        <f t="shared" ref="E4281" si="8771">plan_id</f>
        <v>1952</v>
      </c>
      <c r="F4281" s="66">
        <f t="shared" ca="1" si="8657"/>
        <v>2015</v>
      </c>
      <c r="G4281" s="66">
        <f t="shared" ref="G4281" ca="1" si="8772">VLOOKUP(INDIRECT(CHAR(39)&amp;$A4281&amp;CHAR(39)&amp;"!r2c"&amp;$C4281,0),variables,2,0)</f>
        <v>9848</v>
      </c>
      <c r="H4281" s="71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67" t="s">
        <v>1429</v>
      </c>
      <c r="B4282" s="66">
        <f t="shared" si="8691"/>
        <v>17</v>
      </c>
      <c r="C4282" s="66">
        <f t="shared" si="8694"/>
        <v>51</v>
      </c>
      <c r="E4282" s="66">
        <f t="shared" ref="E4282" si="8773">plan_id</f>
        <v>1952</v>
      </c>
      <c r="F4282" s="66">
        <f t="shared" ca="1" si="8657"/>
        <v>2015</v>
      </c>
      <c r="G4282" s="66">
        <f t="shared" ref="G4282" ca="1" si="8774">VLOOKUP(INDIRECT(CHAR(39)&amp;$A4282&amp;CHAR(39)&amp;"!r2c"&amp;$C4282,0),variables,2,0)</f>
        <v>9866</v>
      </c>
      <c r="H4282" s="71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67" t="s">
        <v>1429</v>
      </c>
      <c r="B4283" s="66">
        <f t="shared" si="8691"/>
        <v>17</v>
      </c>
      <c r="C4283" s="66">
        <f t="shared" si="8694"/>
        <v>52</v>
      </c>
      <c r="E4283" s="66">
        <f t="shared" ref="E4283" si="8775">plan_id</f>
        <v>1952</v>
      </c>
      <c r="F4283" s="66">
        <f t="shared" ca="1" si="8657"/>
        <v>2015</v>
      </c>
      <c r="G4283" s="66">
        <f t="shared" ref="G4283" ca="1" si="8776">VLOOKUP(INDIRECT(CHAR(39)&amp;$A4283&amp;CHAR(39)&amp;"!r2c"&amp;$C4283,0),variables,2,0)</f>
        <v>9899</v>
      </c>
      <c r="H4283" s="71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67" t="s">
        <v>1429</v>
      </c>
      <c r="B4284" s="66">
        <f t="shared" si="8691"/>
        <v>17</v>
      </c>
      <c r="C4284" s="66">
        <f t="shared" si="8694"/>
        <v>53</v>
      </c>
      <c r="E4284" s="66">
        <f t="shared" ref="E4284" si="8777">plan_id</f>
        <v>1952</v>
      </c>
      <c r="F4284" s="66">
        <f t="shared" ca="1" si="8657"/>
        <v>2015</v>
      </c>
      <c r="G4284" s="66">
        <f t="shared" ref="G4284" ca="1" si="8778">VLOOKUP(INDIRECT(CHAR(39)&amp;$A4284&amp;CHAR(39)&amp;"!r2c"&amp;$C4284,0),variables,2,0)</f>
        <v>9905</v>
      </c>
      <c r="H4284" s="71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67" t="s">
        <v>1429</v>
      </c>
      <c r="B4285" s="66">
        <f t="shared" si="8691"/>
        <v>17</v>
      </c>
      <c r="C4285" s="66">
        <f t="shared" si="8694"/>
        <v>54</v>
      </c>
      <c r="E4285" s="66">
        <f t="shared" ref="E4285" si="8779">plan_id</f>
        <v>1952</v>
      </c>
      <c r="F4285" s="66">
        <f t="shared" ca="1" si="8657"/>
        <v>2015</v>
      </c>
      <c r="G4285" s="66">
        <f t="shared" ref="G4285" ca="1" si="8780">VLOOKUP(INDIRECT(CHAR(39)&amp;$A4285&amp;CHAR(39)&amp;"!r2c"&amp;$C4285,0),variables,2,0)</f>
        <v>9929</v>
      </c>
      <c r="H4285" s="71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67" t="s">
        <v>1429</v>
      </c>
      <c r="B4286" s="66">
        <f t="shared" si="8691"/>
        <v>17</v>
      </c>
      <c r="C4286" s="66">
        <f t="shared" si="8694"/>
        <v>55</v>
      </c>
      <c r="E4286" s="66">
        <f t="shared" ref="E4286" si="8781">plan_id</f>
        <v>1952</v>
      </c>
      <c r="F4286" s="66">
        <f t="shared" ca="1" si="8657"/>
        <v>2015</v>
      </c>
      <c r="G4286" s="66">
        <f t="shared" ref="G4286" ca="1" si="8782">VLOOKUP(INDIRECT(CHAR(39)&amp;$A4286&amp;CHAR(39)&amp;"!r2c"&amp;$C4286,0),variables,2,0)</f>
        <v>9654</v>
      </c>
      <c r="H4286" s="71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67" t="s">
        <v>1429</v>
      </c>
      <c r="B4287" s="66">
        <f t="shared" si="8691"/>
        <v>17</v>
      </c>
      <c r="C4287" s="66">
        <f t="shared" si="8694"/>
        <v>56</v>
      </c>
      <c r="E4287" s="66">
        <f t="shared" ref="E4287" si="8783">plan_id</f>
        <v>1952</v>
      </c>
      <c r="F4287" s="66">
        <f t="shared" ca="1" si="8657"/>
        <v>2015</v>
      </c>
      <c r="G4287" s="66">
        <f t="shared" ref="G4287" ca="1" si="8784">VLOOKUP(INDIRECT(CHAR(39)&amp;$A4287&amp;CHAR(39)&amp;"!r2c"&amp;$C4287,0),variables,2,0)</f>
        <v>9707</v>
      </c>
      <c r="H4287" s="71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67" t="s">
        <v>1429</v>
      </c>
      <c r="B4288" s="66">
        <f t="shared" si="8691"/>
        <v>17</v>
      </c>
      <c r="C4288" s="66">
        <f t="shared" si="8694"/>
        <v>57</v>
      </c>
      <c r="E4288" s="66">
        <f t="shared" ref="E4288" si="8785">plan_id</f>
        <v>1952</v>
      </c>
      <c r="F4288" s="66">
        <f t="shared" ca="1" si="8657"/>
        <v>2015</v>
      </c>
      <c r="G4288" s="66">
        <f t="shared" ref="G4288" ca="1" si="8786">VLOOKUP(INDIRECT(CHAR(39)&amp;$A4288&amp;CHAR(39)&amp;"!r2c"&amp;$C4288,0),variables,2,0)</f>
        <v>9669</v>
      </c>
      <c r="H4288" s="71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67" t="s">
        <v>1429</v>
      </c>
      <c r="B4289" s="66">
        <f t="shared" si="8691"/>
        <v>17</v>
      </c>
      <c r="C4289" s="66">
        <f t="shared" si="8694"/>
        <v>58</v>
      </c>
      <c r="E4289" s="66">
        <f t="shared" ref="E4289" si="8787">plan_id</f>
        <v>1952</v>
      </c>
      <c r="F4289" s="66">
        <f t="shared" ref="F4289:F4352" ca="1" si="8788">INDIRECT(CHAR(39)&amp;$A4289&amp;CHAR(39)&amp;"!r"&amp;$B4289&amp;"c2",0)</f>
        <v>2015</v>
      </c>
      <c r="G4289" s="66">
        <f t="shared" ref="G4289" ca="1" si="8789">VLOOKUP(INDIRECT(CHAR(39)&amp;$A4289&amp;CHAR(39)&amp;"!r2c"&amp;$C4289,0),variables,2,0)</f>
        <v>9851</v>
      </c>
      <c r="H4289" s="71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67" t="s">
        <v>1429</v>
      </c>
      <c r="B4290" s="66">
        <f t="shared" si="8691"/>
        <v>17</v>
      </c>
      <c r="C4290" s="66">
        <f t="shared" si="8694"/>
        <v>59</v>
      </c>
      <c r="E4290" s="66">
        <f t="shared" ref="E4290" si="8790">plan_id</f>
        <v>1952</v>
      </c>
      <c r="F4290" s="66">
        <f t="shared" ca="1" si="8788"/>
        <v>2015</v>
      </c>
      <c r="G4290" s="66">
        <f t="shared" ref="G4290" ca="1" si="8791">VLOOKUP(INDIRECT(CHAR(39)&amp;$A4290&amp;CHAR(39)&amp;"!r2c"&amp;$C4290,0),variables,2,0)</f>
        <v>9890</v>
      </c>
      <c r="H4290" s="71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67" t="s">
        <v>1429</v>
      </c>
      <c r="B4291" s="66">
        <f t="shared" si="8691"/>
        <v>17</v>
      </c>
      <c r="C4291" s="66">
        <f t="shared" si="8694"/>
        <v>60</v>
      </c>
      <c r="E4291" s="66">
        <f t="shared" ref="E4291" si="8792">plan_id</f>
        <v>1952</v>
      </c>
      <c r="F4291" s="66">
        <f t="shared" ca="1" si="8788"/>
        <v>2015</v>
      </c>
      <c r="G4291" s="66">
        <f t="shared" ref="G4291" ca="1" si="8793">VLOOKUP(INDIRECT(CHAR(39)&amp;$A4291&amp;CHAR(39)&amp;"!r2c"&amp;$C4291,0),variables,2,0)</f>
        <v>9893</v>
      </c>
      <c r="H4291" s="71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67" t="s">
        <v>1429</v>
      </c>
      <c r="B4292" s="66">
        <f t="shared" si="8691"/>
        <v>17</v>
      </c>
      <c r="C4292" s="66">
        <f t="shared" si="8694"/>
        <v>61</v>
      </c>
      <c r="E4292" s="66">
        <f t="shared" ref="E4292" si="8794">plan_id</f>
        <v>1952</v>
      </c>
      <c r="F4292" s="66">
        <f t="shared" ca="1" si="8788"/>
        <v>2015</v>
      </c>
      <c r="G4292" s="66">
        <f t="shared" ref="G4292" ca="1" si="8795">VLOOKUP(INDIRECT(CHAR(39)&amp;$A4292&amp;CHAR(39)&amp;"!r2c"&amp;$C4292,0),variables,2,0)</f>
        <v>9896</v>
      </c>
      <c r="H4292" s="71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67" t="s">
        <v>1429</v>
      </c>
      <c r="B4293" s="66">
        <f t="shared" si="8691"/>
        <v>17</v>
      </c>
      <c r="C4293" s="66">
        <f t="shared" si="8694"/>
        <v>62</v>
      </c>
      <c r="E4293" s="66">
        <f t="shared" ref="E4293" si="8796">plan_id</f>
        <v>1952</v>
      </c>
      <c r="F4293" s="66">
        <f t="shared" ca="1" si="8788"/>
        <v>2015</v>
      </c>
      <c r="G4293" s="66">
        <f t="shared" ref="G4293" ca="1" si="8797">VLOOKUP(INDIRECT(CHAR(39)&amp;$A4293&amp;CHAR(39)&amp;"!r2c"&amp;$C4293,0),variables,2,0)</f>
        <v>9660</v>
      </c>
      <c r="H4293" s="71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67" t="s">
        <v>1429</v>
      </c>
      <c r="B4294" s="66">
        <f t="shared" si="8691"/>
        <v>17</v>
      </c>
      <c r="C4294" s="66">
        <f t="shared" si="8694"/>
        <v>63</v>
      </c>
      <c r="E4294" s="66">
        <f t="shared" ref="E4294" si="8798">plan_id</f>
        <v>1952</v>
      </c>
      <c r="F4294" s="66">
        <f t="shared" ca="1" si="8788"/>
        <v>2015</v>
      </c>
      <c r="G4294" s="66">
        <f t="shared" ref="G4294" ca="1" si="8799">VLOOKUP(INDIRECT(CHAR(39)&amp;$A4294&amp;CHAR(39)&amp;"!r2c"&amp;$C4294,0),variables,2,0)</f>
        <v>9701</v>
      </c>
      <c r="H4294" s="71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67" t="s">
        <v>1429</v>
      </c>
      <c r="B4295" s="66">
        <f t="shared" si="8691"/>
        <v>17</v>
      </c>
      <c r="C4295" s="66">
        <f t="shared" si="8694"/>
        <v>64</v>
      </c>
      <c r="E4295" s="66">
        <f t="shared" ref="E4295" si="8800">plan_id</f>
        <v>1952</v>
      </c>
      <c r="F4295" s="66">
        <f t="shared" ca="1" si="8788"/>
        <v>2015</v>
      </c>
      <c r="G4295" s="66">
        <f t="shared" ref="G4295" ca="1" si="8801">VLOOKUP(INDIRECT(CHAR(39)&amp;$A4295&amp;CHAR(39)&amp;"!r2c"&amp;$C4295,0),variables,2,0)</f>
        <v>9728</v>
      </c>
      <c r="H4295" s="71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67" t="s">
        <v>1429</v>
      </c>
      <c r="B4296" s="66">
        <f t="shared" si="8691"/>
        <v>17</v>
      </c>
      <c r="C4296" s="66">
        <f t="shared" si="8694"/>
        <v>65</v>
      </c>
      <c r="E4296" s="66">
        <f t="shared" ref="E4296" si="8802">plan_id</f>
        <v>1952</v>
      </c>
      <c r="F4296" s="66">
        <f t="shared" ca="1" si="8788"/>
        <v>2015</v>
      </c>
      <c r="G4296" s="66">
        <f t="shared" ref="G4296" ca="1" si="8803">VLOOKUP(INDIRECT(CHAR(39)&amp;$A4296&amp;CHAR(39)&amp;"!r2c"&amp;$C4296,0),variables,2,0)</f>
        <v>9731</v>
      </c>
      <c r="H4296" s="71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67" t="s">
        <v>1429</v>
      </c>
      <c r="B4297" s="66">
        <f t="shared" si="8691"/>
        <v>17</v>
      </c>
      <c r="C4297" s="66">
        <f t="shared" si="8694"/>
        <v>66</v>
      </c>
      <c r="E4297" s="66">
        <f t="shared" ref="E4297" si="8804">plan_id</f>
        <v>1952</v>
      </c>
      <c r="F4297" s="66">
        <f t="shared" ca="1" si="8788"/>
        <v>2015</v>
      </c>
      <c r="G4297" s="66">
        <f t="shared" ref="G4297" ca="1" si="8805">VLOOKUP(INDIRECT(CHAR(39)&amp;$A4297&amp;CHAR(39)&amp;"!r2c"&amp;$C4297,0),variables,2,0)</f>
        <v>9737</v>
      </c>
      <c r="H4297" s="71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67" t="s">
        <v>1429</v>
      </c>
      <c r="B4298" s="66">
        <f t="shared" si="8691"/>
        <v>17</v>
      </c>
      <c r="C4298" s="66">
        <f t="shared" si="8694"/>
        <v>67</v>
      </c>
      <c r="E4298" s="66">
        <f t="shared" ref="E4298" si="8806">plan_id</f>
        <v>1952</v>
      </c>
      <c r="F4298" s="66">
        <f t="shared" ca="1" si="8788"/>
        <v>2015</v>
      </c>
      <c r="G4298" s="66">
        <f t="shared" ref="G4298" ca="1" si="8807">VLOOKUP(INDIRECT(CHAR(39)&amp;$A4298&amp;CHAR(39)&amp;"!r2c"&amp;$C4298,0),variables,2,0)</f>
        <v>9740</v>
      </c>
      <c r="H4298" s="71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67" t="s">
        <v>1429</v>
      </c>
      <c r="B4299" s="66">
        <f t="shared" si="8691"/>
        <v>17</v>
      </c>
      <c r="C4299" s="66">
        <f t="shared" si="8694"/>
        <v>68</v>
      </c>
      <c r="E4299" s="66">
        <f t="shared" ref="E4299" si="8808">plan_id</f>
        <v>1952</v>
      </c>
      <c r="F4299" s="66">
        <f t="shared" ca="1" si="8788"/>
        <v>2015</v>
      </c>
      <c r="G4299" s="66">
        <f t="shared" ref="G4299" ca="1" si="8809">VLOOKUP(INDIRECT(CHAR(39)&amp;$A4299&amp;CHAR(39)&amp;"!r2c"&amp;$C4299,0),variables,2,0)</f>
        <v>9752</v>
      </c>
      <c r="H4299" s="71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67" t="s">
        <v>1429</v>
      </c>
      <c r="B4300" s="66">
        <f t="shared" si="8691"/>
        <v>17</v>
      </c>
      <c r="C4300" s="66">
        <f t="shared" si="8694"/>
        <v>69</v>
      </c>
      <c r="E4300" s="66">
        <f t="shared" ref="E4300" si="8810">plan_id</f>
        <v>1952</v>
      </c>
      <c r="F4300" s="66">
        <f t="shared" ca="1" si="8788"/>
        <v>2015</v>
      </c>
      <c r="G4300" s="66">
        <f t="shared" ref="G4300" ca="1" si="8811">VLOOKUP(INDIRECT(CHAR(39)&amp;$A4300&amp;CHAR(39)&amp;"!r2c"&amp;$C4300,0),variables,2,0)</f>
        <v>9791</v>
      </c>
      <c r="H4300" s="71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67" t="s">
        <v>1429</v>
      </c>
      <c r="B4301" s="66">
        <f t="shared" si="8691"/>
        <v>17</v>
      </c>
      <c r="C4301" s="66">
        <f t="shared" si="8694"/>
        <v>70</v>
      </c>
      <c r="E4301" s="66">
        <f t="shared" ref="E4301" si="8812">plan_id</f>
        <v>1952</v>
      </c>
      <c r="F4301" s="66">
        <f t="shared" ca="1" si="8788"/>
        <v>2015</v>
      </c>
      <c r="G4301" s="66">
        <f t="shared" ref="G4301" ca="1" si="8813">VLOOKUP(INDIRECT(CHAR(39)&amp;$A4301&amp;CHAR(39)&amp;"!r2c"&amp;$C4301,0),variables,2,0)</f>
        <v>9800</v>
      </c>
      <c r="H4301" s="71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67" t="s">
        <v>1429</v>
      </c>
      <c r="B4302" s="66">
        <f t="shared" si="8691"/>
        <v>17</v>
      </c>
      <c r="C4302" s="66">
        <f t="shared" si="8694"/>
        <v>71</v>
      </c>
      <c r="E4302" s="66">
        <f t="shared" ref="E4302" si="8814">plan_id</f>
        <v>1952</v>
      </c>
      <c r="F4302" s="66">
        <f t="shared" ca="1" si="8788"/>
        <v>2015</v>
      </c>
      <c r="G4302" s="66">
        <f t="shared" ref="G4302" ca="1" si="8815">VLOOKUP(INDIRECT(CHAR(39)&amp;$A4302&amp;CHAR(39)&amp;"!r2c"&amp;$C4302,0),variables,2,0)</f>
        <v>9842</v>
      </c>
      <c r="H4302" s="71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67" t="s">
        <v>1429</v>
      </c>
      <c r="B4303" s="66">
        <f t="shared" si="8691"/>
        <v>17</v>
      </c>
      <c r="C4303" s="66">
        <f t="shared" si="8694"/>
        <v>72</v>
      </c>
      <c r="E4303" s="66">
        <f t="shared" ref="E4303" si="8816">plan_id</f>
        <v>1952</v>
      </c>
      <c r="F4303" s="66">
        <f t="shared" ca="1" si="8788"/>
        <v>2015</v>
      </c>
      <c r="G4303" s="66">
        <f t="shared" ref="G4303" ca="1" si="8817">VLOOKUP(INDIRECT(CHAR(39)&amp;$A4303&amp;CHAR(39)&amp;"!r2c"&amp;$C4303,0),variables,2,0)</f>
        <v>9854</v>
      </c>
      <c r="H4303" s="71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67" t="s">
        <v>1429</v>
      </c>
      <c r="B4304" s="66">
        <f t="shared" si="8691"/>
        <v>17</v>
      </c>
      <c r="C4304" s="66">
        <f t="shared" si="8694"/>
        <v>73</v>
      </c>
      <c r="E4304" s="66">
        <f t="shared" ref="E4304" si="8818">plan_id</f>
        <v>1952</v>
      </c>
      <c r="F4304" s="66">
        <f t="shared" ca="1" si="8788"/>
        <v>2015</v>
      </c>
      <c r="G4304" s="66">
        <f t="shared" ref="G4304" ca="1" si="8819">VLOOKUP(INDIRECT(CHAR(39)&amp;$A4304&amp;CHAR(39)&amp;"!r2c"&amp;$C4304,0),variables,2,0)</f>
        <v>9869</v>
      </c>
      <c r="H4304" s="71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67" t="s">
        <v>1429</v>
      </c>
      <c r="B4305" s="66">
        <f t="shared" si="8691"/>
        <v>17</v>
      </c>
      <c r="C4305" s="66">
        <f t="shared" si="8694"/>
        <v>74</v>
      </c>
      <c r="E4305" s="66">
        <f t="shared" ref="E4305" si="8820">plan_id</f>
        <v>1952</v>
      </c>
      <c r="F4305" s="66">
        <f t="shared" ca="1" si="8788"/>
        <v>2015</v>
      </c>
      <c r="G4305" s="66">
        <f t="shared" ref="G4305" ca="1" si="8821">VLOOKUP(INDIRECT(CHAR(39)&amp;$A4305&amp;CHAR(39)&amp;"!r2c"&amp;$C4305,0),variables,2,0)</f>
        <v>9873</v>
      </c>
      <c r="H4305" s="71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67" t="s">
        <v>1429</v>
      </c>
      <c r="B4306" s="66">
        <f t="shared" ref="B4306:B4369" si="8822">B4218+1</f>
        <v>17</v>
      </c>
      <c r="C4306" s="66">
        <f t="shared" si="8694"/>
        <v>75</v>
      </c>
      <c r="E4306" s="66">
        <f t="shared" ref="E4306" si="8823">plan_id</f>
        <v>1952</v>
      </c>
      <c r="F4306" s="66">
        <f t="shared" ca="1" si="8788"/>
        <v>2015</v>
      </c>
      <c r="G4306" s="66">
        <f t="shared" ref="G4306" ca="1" si="8824">VLOOKUP(INDIRECT(CHAR(39)&amp;$A4306&amp;CHAR(39)&amp;"!r2c"&amp;$C4306,0),variables,2,0)</f>
        <v>9881</v>
      </c>
      <c r="H4306" s="71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67" t="s">
        <v>1429</v>
      </c>
      <c r="B4307" s="66">
        <f t="shared" si="8822"/>
        <v>17</v>
      </c>
      <c r="C4307" s="66">
        <f t="shared" ref="C4307:C4370" si="8825">C4219</f>
        <v>76</v>
      </c>
      <c r="E4307" s="66">
        <f t="shared" ref="E4307" si="8826">plan_id</f>
        <v>1952</v>
      </c>
      <c r="F4307" s="66">
        <f t="shared" ca="1" si="8788"/>
        <v>2015</v>
      </c>
      <c r="G4307" s="66">
        <f t="shared" ref="G4307" ca="1" si="8827">VLOOKUP(INDIRECT(CHAR(39)&amp;$A4307&amp;CHAR(39)&amp;"!r2c"&amp;$C4307,0),variables,2,0)</f>
        <v>9908</v>
      </c>
      <c r="H4307" s="71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67" t="s">
        <v>1429</v>
      </c>
      <c r="B4308" s="66">
        <f t="shared" si="8822"/>
        <v>17</v>
      </c>
      <c r="C4308" s="66">
        <f t="shared" si="8825"/>
        <v>77</v>
      </c>
      <c r="E4308" s="66">
        <f t="shared" ref="E4308" si="8828">plan_id</f>
        <v>1952</v>
      </c>
      <c r="F4308" s="66">
        <f t="shared" ca="1" si="8788"/>
        <v>2015</v>
      </c>
      <c r="G4308" s="66">
        <f t="shared" ref="G4308" ca="1" si="8829">VLOOKUP(INDIRECT(CHAR(39)&amp;$A4308&amp;CHAR(39)&amp;"!r2c"&amp;$C4308,0),variables,2,0)</f>
        <v>9911</v>
      </c>
      <c r="H4308" s="71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67" t="s">
        <v>1429</v>
      </c>
      <c r="B4309" s="66">
        <f t="shared" si="8822"/>
        <v>17</v>
      </c>
      <c r="C4309" s="66">
        <f t="shared" si="8825"/>
        <v>78</v>
      </c>
      <c r="E4309" s="66">
        <f t="shared" ref="E4309" si="8830">plan_id</f>
        <v>1952</v>
      </c>
      <c r="F4309" s="66">
        <f t="shared" ca="1" si="8788"/>
        <v>2015</v>
      </c>
      <c r="G4309" s="66">
        <f t="shared" ref="G4309" ca="1" si="8831">VLOOKUP(INDIRECT(CHAR(39)&amp;$A4309&amp;CHAR(39)&amp;"!r2c"&amp;$C4309,0),variables,2,0)</f>
        <v>9663</v>
      </c>
      <c r="H4309" s="71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67" t="s">
        <v>1429</v>
      </c>
      <c r="B4310" s="66">
        <f t="shared" si="8822"/>
        <v>17</v>
      </c>
      <c r="C4310" s="66">
        <f t="shared" si="8825"/>
        <v>79</v>
      </c>
      <c r="E4310" s="66">
        <f t="shared" ref="E4310" si="8832">plan_id</f>
        <v>1952</v>
      </c>
      <c r="F4310" s="66">
        <f t="shared" ca="1" si="8788"/>
        <v>2015</v>
      </c>
      <c r="G4310" s="66">
        <f t="shared" ref="G4310" ca="1" si="8833">VLOOKUP(INDIRECT(CHAR(39)&amp;$A4310&amp;CHAR(39)&amp;"!r2c"&amp;$C4310,0),variables,2,0)</f>
        <v>9710</v>
      </c>
      <c r="H4310" s="71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67" t="s">
        <v>1429</v>
      </c>
      <c r="B4311" s="66">
        <f t="shared" si="8822"/>
        <v>17</v>
      </c>
      <c r="C4311" s="66">
        <f t="shared" si="8825"/>
        <v>80</v>
      </c>
      <c r="E4311" s="66">
        <f t="shared" ref="E4311" si="8834">plan_id</f>
        <v>1952</v>
      </c>
      <c r="F4311" s="66">
        <f t="shared" ca="1" si="8788"/>
        <v>2015</v>
      </c>
      <c r="G4311" s="66">
        <f t="shared" ref="G4311" ca="1" si="8835">VLOOKUP(INDIRECT(CHAR(39)&amp;$A4311&amp;CHAR(39)&amp;"!r2c"&amp;$C4311,0),variables,2,0)</f>
        <v>9758</v>
      </c>
      <c r="H4311" s="71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67" t="s">
        <v>1429</v>
      </c>
      <c r="B4312" s="66">
        <f t="shared" si="8822"/>
        <v>17</v>
      </c>
      <c r="C4312" s="66">
        <f t="shared" si="8825"/>
        <v>81</v>
      </c>
      <c r="E4312" s="66">
        <f t="shared" ref="E4312" si="8836">plan_id</f>
        <v>1952</v>
      </c>
      <c r="F4312" s="66">
        <f t="shared" ca="1" si="8788"/>
        <v>2015</v>
      </c>
      <c r="G4312" s="66">
        <f t="shared" ref="G4312" ca="1" si="8837">VLOOKUP(INDIRECT(CHAR(39)&amp;$A4312&amp;CHAR(39)&amp;"!r2c"&amp;$C4312,0),variables,2,0)</f>
        <v>9803</v>
      </c>
      <c r="H4312" s="71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67" t="s">
        <v>1429</v>
      </c>
      <c r="B4313" s="66">
        <f t="shared" si="8822"/>
        <v>17</v>
      </c>
      <c r="C4313" s="66">
        <f t="shared" si="8825"/>
        <v>82</v>
      </c>
      <c r="E4313" s="66">
        <f t="shared" ref="E4313" si="8838">plan_id</f>
        <v>1952</v>
      </c>
      <c r="F4313" s="66">
        <f t="shared" ca="1" si="8788"/>
        <v>2015</v>
      </c>
      <c r="G4313" s="66">
        <f t="shared" ref="G4313" ca="1" si="8839">VLOOKUP(INDIRECT(CHAR(39)&amp;$A4313&amp;CHAR(39)&amp;"!r2c"&amp;$C4313,0),variables,2,0)</f>
        <v>9857</v>
      </c>
      <c r="H4313" s="71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67" t="s">
        <v>1429</v>
      </c>
      <c r="B4314" s="66">
        <f t="shared" si="8822"/>
        <v>17</v>
      </c>
      <c r="C4314" s="66">
        <f t="shared" si="8825"/>
        <v>83</v>
      </c>
      <c r="E4314" s="66">
        <f t="shared" ref="E4314" si="8840">plan_id</f>
        <v>1952</v>
      </c>
      <c r="F4314" s="66">
        <f t="shared" ca="1" si="8788"/>
        <v>2015</v>
      </c>
      <c r="G4314" s="66">
        <f t="shared" ref="G4314" ca="1" si="8841">VLOOKUP(INDIRECT(CHAR(39)&amp;$A4314&amp;CHAR(39)&amp;"!r2c"&amp;$C4314,0),variables,2,0)</f>
        <v>9902</v>
      </c>
      <c r="H4314" s="71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67" t="s">
        <v>1429</v>
      </c>
      <c r="B4315" s="66">
        <f t="shared" si="8822"/>
        <v>17</v>
      </c>
      <c r="C4315" s="66">
        <f t="shared" si="8825"/>
        <v>84</v>
      </c>
      <c r="E4315" s="66">
        <f t="shared" ref="E4315" si="8842">plan_id</f>
        <v>1952</v>
      </c>
      <c r="F4315" s="66">
        <f t="shared" ca="1" si="8788"/>
        <v>2015</v>
      </c>
      <c r="G4315" s="66">
        <f t="shared" ref="G4315" ca="1" si="8843">VLOOKUP(INDIRECT(CHAR(39)&amp;$A4315&amp;CHAR(39)&amp;"!r2c"&amp;$C4315,0),variables,2,0)</f>
        <v>9926</v>
      </c>
      <c r="H4315" s="71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67" t="s">
        <v>1429</v>
      </c>
      <c r="B4316" s="66">
        <f t="shared" si="8822"/>
        <v>17</v>
      </c>
      <c r="C4316" s="66">
        <f t="shared" si="8825"/>
        <v>85</v>
      </c>
      <c r="E4316" s="66">
        <f t="shared" ref="E4316" si="8844">plan_id</f>
        <v>1952</v>
      </c>
      <c r="F4316" s="66">
        <f t="shared" ca="1" si="8788"/>
        <v>2015</v>
      </c>
      <c r="G4316" s="66">
        <f t="shared" ref="G4316" ca="1" si="8845">VLOOKUP(INDIRECT(CHAR(39)&amp;$A4316&amp;CHAR(39)&amp;"!r2c"&amp;$C4316,0),variables,2,0)</f>
        <v>9666</v>
      </c>
      <c r="H4316" s="71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67" t="s">
        <v>1429</v>
      </c>
      <c r="B4317" s="66">
        <f t="shared" si="8822"/>
        <v>17</v>
      </c>
      <c r="C4317" s="66">
        <f t="shared" si="8825"/>
        <v>86</v>
      </c>
      <c r="E4317" s="66">
        <f t="shared" ref="E4317" si="8846">plan_id</f>
        <v>1952</v>
      </c>
      <c r="F4317" s="66">
        <f t="shared" ca="1" si="8788"/>
        <v>2015</v>
      </c>
      <c r="G4317" s="66">
        <f t="shared" ref="G4317" ca="1" si="8847">VLOOKUP(INDIRECT(CHAR(39)&amp;$A4317&amp;CHAR(39)&amp;"!r2c"&amp;$C4317,0),variables,2,0)</f>
        <v>9827</v>
      </c>
      <c r="H4317" s="71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67" t="s">
        <v>1429</v>
      </c>
      <c r="B4318" s="66">
        <f t="shared" si="8822"/>
        <v>17</v>
      </c>
      <c r="C4318" s="66">
        <f t="shared" si="8825"/>
        <v>87</v>
      </c>
      <c r="E4318" s="66">
        <f t="shared" ref="E4318" si="8848">plan_id</f>
        <v>1952</v>
      </c>
      <c r="F4318" s="66">
        <f t="shared" ca="1" si="8788"/>
        <v>2015</v>
      </c>
      <c r="G4318" s="66">
        <f t="shared" ref="G4318" ca="1" si="8849">VLOOKUP(INDIRECT(CHAR(39)&amp;$A4318&amp;CHAR(39)&amp;"!r2c"&amp;$C4318,0),variables,2,0)</f>
        <v>9657</v>
      </c>
      <c r="H4318" s="71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67" t="s">
        <v>1429</v>
      </c>
      <c r="B4319" s="66">
        <f t="shared" si="8822"/>
        <v>17</v>
      </c>
      <c r="C4319" s="66">
        <f t="shared" si="8825"/>
        <v>88</v>
      </c>
      <c r="E4319" s="66">
        <f t="shared" ref="E4319" si="8850">plan_id</f>
        <v>1952</v>
      </c>
      <c r="F4319" s="66">
        <f t="shared" ca="1" si="8788"/>
        <v>2015</v>
      </c>
      <c r="G4319" s="66">
        <f t="shared" ref="G4319" ca="1" si="8851">VLOOKUP(INDIRECT(CHAR(39)&amp;$A4319&amp;CHAR(39)&amp;"!r2c"&amp;$C4319,0),variables,2,0)</f>
        <v>9834</v>
      </c>
      <c r="H4319" s="71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67" t="s">
        <v>1429</v>
      </c>
      <c r="B4320" s="66">
        <f t="shared" si="8822"/>
        <v>17</v>
      </c>
      <c r="C4320" s="66">
        <f t="shared" si="8825"/>
        <v>89</v>
      </c>
      <c r="E4320" s="66">
        <f t="shared" ref="E4320" si="8852">plan_id</f>
        <v>1952</v>
      </c>
      <c r="F4320" s="66">
        <f t="shared" ca="1" si="8788"/>
        <v>2015</v>
      </c>
      <c r="G4320" s="66">
        <f t="shared" ref="G4320" ca="1" si="8853">VLOOKUP(INDIRECT(CHAR(39)&amp;$A4320&amp;CHAR(39)&amp;"!r2c"&amp;$C4320,0),variables,2,0)</f>
        <v>9884</v>
      </c>
      <c r="H4320" s="71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67" t="s">
        <v>1429</v>
      </c>
      <c r="B4321" s="66">
        <f t="shared" si="8822"/>
        <v>17</v>
      </c>
      <c r="C4321" s="66">
        <f t="shared" si="8825"/>
        <v>90</v>
      </c>
      <c r="E4321" s="66">
        <f t="shared" ref="E4321" si="8854">plan_id</f>
        <v>1952</v>
      </c>
      <c r="F4321" s="66">
        <f t="shared" ca="1" si="8788"/>
        <v>2015</v>
      </c>
      <c r="G4321" s="66">
        <f t="shared" ref="G4321" ca="1" si="8855">VLOOKUP(INDIRECT(CHAR(39)&amp;$A4321&amp;CHAR(39)&amp;"!r2c"&amp;$C4321,0),variables,2,0)</f>
        <v>9672</v>
      </c>
      <c r="H4321" s="71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67" t="s">
        <v>1429</v>
      </c>
      <c r="B4322" s="66">
        <f t="shared" si="8822"/>
        <v>18</v>
      </c>
      <c r="C4322" s="66">
        <f t="shared" si="8825"/>
        <v>3</v>
      </c>
      <c r="E4322" s="66">
        <f t="shared" ref="E4322" si="8856">plan_id</f>
        <v>1952</v>
      </c>
      <c r="F4322" s="66">
        <f t="shared" ca="1" si="8788"/>
        <v>2016</v>
      </c>
      <c r="G4322" s="66">
        <f t="shared" ref="G4322" ca="1" si="8857">VLOOKUP(INDIRECT(CHAR(39)&amp;$A4322&amp;CHAR(39)&amp;"!r2c"&amp;$C4322,0),variables,2,0)</f>
        <v>9704</v>
      </c>
      <c r="H4322" s="71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67" t="s">
        <v>1429</v>
      </c>
      <c r="B4323" s="66">
        <f t="shared" si="8822"/>
        <v>18</v>
      </c>
      <c r="C4323" s="66">
        <f t="shared" si="8825"/>
        <v>4</v>
      </c>
      <c r="E4323" s="66">
        <f t="shared" ref="E4323" si="8858">plan_id</f>
        <v>1952</v>
      </c>
      <c r="F4323" s="66">
        <f t="shared" ca="1" si="8788"/>
        <v>2016</v>
      </c>
      <c r="G4323" s="66">
        <f t="shared" ref="G4323" ca="1" si="8859">VLOOKUP(INDIRECT(CHAR(39)&amp;$A4323&amp;CHAR(39)&amp;"!r2c"&amp;$C4323,0),variables,2,0)</f>
        <v>9716</v>
      </c>
      <c r="H4323" s="71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67" t="s">
        <v>1429</v>
      </c>
      <c r="B4324" s="66">
        <f t="shared" si="8822"/>
        <v>18</v>
      </c>
      <c r="C4324" s="66">
        <f t="shared" si="8825"/>
        <v>5</v>
      </c>
      <c r="E4324" s="66">
        <f t="shared" ref="E4324" si="8860">plan_id</f>
        <v>1952</v>
      </c>
      <c r="F4324" s="66">
        <f t="shared" ca="1" si="8788"/>
        <v>2016</v>
      </c>
      <c r="G4324" s="66">
        <f t="shared" ref="G4324" ca="1" si="8861">VLOOKUP(INDIRECT(CHAR(39)&amp;$A4324&amp;CHAR(39)&amp;"!r2c"&amp;$C4324,0),variables,2,0)</f>
        <v>9734</v>
      </c>
      <c r="H4324" s="71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67" t="s">
        <v>1429</v>
      </c>
      <c r="B4325" s="66">
        <f t="shared" si="8822"/>
        <v>18</v>
      </c>
      <c r="C4325" s="66">
        <f t="shared" si="8825"/>
        <v>6</v>
      </c>
      <c r="E4325" s="66">
        <f t="shared" ref="E4325" si="8862">plan_id</f>
        <v>1952</v>
      </c>
      <c r="F4325" s="66">
        <f t="shared" ca="1" si="8788"/>
        <v>2016</v>
      </c>
      <c r="G4325" s="66">
        <f t="shared" ref="G4325" ca="1" si="8863">VLOOKUP(INDIRECT(CHAR(39)&amp;$A4325&amp;CHAR(39)&amp;"!r2c"&amp;$C4325,0),variables,2,0)</f>
        <v>9749</v>
      </c>
      <c r="H4325" s="71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67" t="s">
        <v>1429</v>
      </c>
      <c r="B4326" s="66">
        <f t="shared" si="8822"/>
        <v>18</v>
      </c>
      <c r="C4326" s="66">
        <f t="shared" si="8825"/>
        <v>7</v>
      </c>
      <c r="E4326" s="66">
        <f t="shared" ref="E4326" si="8864">plan_id</f>
        <v>1952</v>
      </c>
      <c r="F4326" s="66">
        <f t="shared" ca="1" si="8788"/>
        <v>2016</v>
      </c>
      <c r="G4326" s="66">
        <f t="shared" ref="G4326" ca="1" si="8865">VLOOKUP(INDIRECT(CHAR(39)&amp;$A4326&amp;CHAR(39)&amp;"!r2c"&amp;$C4326,0),variables,2,0)</f>
        <v>9755</v>
      </c>
      <c r="H4326" s="71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67" t="s">
        <v>1429</v>
      </c>
      <c r="B4327" s="66">
        <f t="shared" si="8822"/>
        <v>18</v>
      </c>
      <c r="C4327" s="66">
        <f t="shared" si="8825"/>
        <v>8</v>
      </c>
      <c r="E4327" s="66">
        <f t="shared" ref="E4327" si="8866">plan_id</f>
        <v>1952</v>
      </c>
      <c r="F4327" s="66">
        <f t="shared" ca="1" si="8788"/>
        <v>2016</v>
      </c>
      <c r="G4327" s="66">
        <f t="shared" ref="G4327" ca="1" si="8867">VLOOKUP(INDIRECT(CHAR(39)&amp;$A4327&amp;CHAR(39)&amp;"!r2c"&amp;$C4327,0),variables,2,0)</f>
        <v>9782</v>
      </c>
      <c r="H4327" s="71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67" t="s">
        <v>1429</v>
      </c>
      <c r="B4328" s="66">
        <f t="shared" si="8822"/>
        <v>18</v>
      </c>
      <c r="C4328" s="66">
        <f t="shared" si="8825"/>
        <v>9</v>
      </c>
      <c r="E4328" s="66">
        <f t="shared" ref="E4328" si="8868">plan_id</f>
        <v>1952</v>
      </c>
      <c r="F4328" s="66">
        <f t="shared" ca="1" si="8788"/>
        <v>2016</v>
      </c>
      <c r="G4328" s="66">
        <f t="shared" ref="G4328" ca="1" si="8869">VLOOKUP(INDIRECT(CHAR(39)&amp;$A4328&amp;CHAR(39)&amp;"!r2c"&amp;$C4328,0),variables,2,0)</f>
        <v>9788</v>
      </c>
      <c r="H4328" s="71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67" t="s">
        <v>1429</v>
      </c>
      <c r="B4329" s="66">
        <f t="shared" si="8822"/>
        <v>18</v>
      </c>
      <c r="C4329" s="66">
        <f t="shared" si="8825"/>
        <v>10</v>
      </c>
      <c r="E4329" s="66">
        <f t="shared" ref="E4329" si="8870">plan_id</f>
        <v>1952</v>
      </c>
      <c r="F4329" s="66">
        <f t="shared" ca="1" si="8788"/>
        <v>2016</v>
      </c>
      <c r="G4329" s="66">
        <f t="shared" ref="G4329" ca="1" si="8871">VLOOKUP(INDIRECT(CHAR(39)&amp;$A4329&amp;CHAR(39)&amp;"!r2c"&amp;$C4329,0),variables,2,0)</f>
        <v>9812</v>
      </c>
      <c r="H4329" s="71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67" t="s">
        <v>1429</v>
      </c>
      <c r="B4330" s="66">
        <f t="shared" si="8822"/>
        <v>18</v>
      </c>
      <c r="C4330" s="66">
        <f t="shared" si="8825"/>
        <v>11</v>
      </c>
      <c r="E4330" s="66">
        <f t="shared" ref="E4330" si="8872">plan_id</f>
        <v>1952</v>
      </c>
      <c r="F4330" s="66">
        <f t="shared" ca="1" si="8788"/>
        <v>2016</v>
      </c>
      <c r="G4330" s="66">
        <f t="shared" ref="G4330" ca="1" si="8873">VLOOKUP(INDIRECT(CHAR(39)&amp;$A4330&amp;CHAR(39)&amp;"!r2c"&amp;$C4330,0),variables,2,0)</f>
        <v>9815</v>
      </c>
      <c r="H4330" s="71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67" t="s">
        <v>1429</v>
      </c>
      <c r="B4331" s="66">
        <f t="shared" si="8822"/>
        <v>18</v>
      </c>
      <c r="C4331" s="66">
        <f t="shared" si="8825"/>
        <v>12</v>
      </c>
      <c r="E4331" s="66">
        <f t="shared" ref="E4331" si="8874">plan_id</f>
        <v>1952</v>
      </c>
      <c r="F4331" s="66">
        <f t="shared" ca="1" si="8788"/>
        <v>2016</v>
      </c>
      <c r="G4331" s="66">
        <f t="shared" ref="G4331" ca="1" si="8875">VLOOKUP(INDIRECT(CHAR(39)&amp;$A4331&amp;CHAR(39)&amp;"!r2c"&amp;$C4331,0),variables,2,0)</f>
        <v>9821</v>
      </c>
      <c r="H4331" s="71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67" t="s">
        <v>1429</v>
      </c>
      <c r="B4332" s="66">
        <f t="shared" si="8822"/>
        <v>18</v>
      </c>
      <c r="C4332" s="66">
        <f t="shared" si="8825"/>
        <v>13</v>
      </c>
      <c r="E4332" s="66">
        <f t="shared" ref="E4332" si="8876">plan_id</f>
        <v>1952</v>
      </c>
      <c r="F4332" s="66">
        <f t="shared" ca="1" si="8788"/>
        <v>2016</v>
      </c>
      <c r="G4332" s="66">
        <f t="shared" ref="G4332" ca="1" si="8877">VLOOKUP(INDIRECT(CHAR(39)&amp;$A4332&amp;CHAR(39)&amp;"!r2c"&amp;$C4332,0),variables,2,0)</f>
        <v>9824</v>
      </c>
      <c r="H4332" s="71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67" t="s">
        <v>1429</v>
      </c>
      <c r="B4333" s="66">
        <f t="shared" si="8822"/>
        <v>18</v>
      </c>
      <c r="C4333" s="66">
        <f t="shared" si="8825"/>
        <v>14</v>
      </c>
      <c r="E4333" s="66">
        <f t="shared" ref="E4333" si="8878">plan_id</f>
        <v>1952</v>
      </c>
      <c r="F4333" s="66">
        <f t="shared" ca="1" si="8788"/>
        <v>2016</v>
      </c>
      <c r="G4333" s="66">
        <f t="shared" ref="G4333" ca="1" si="8879">VLOOKUP(INDIRECT(CHAR(39)&amp;$A4333&amp;CHAR(39)&amp;"!r2c"&amp;$C4333,0),variables,2,0)</f>
        <v>9830</v>
      </c>
      <c r="H4333" s="71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67" t="s">
        <v>1429</v>
      </c>
      <c r="B4334" s="66">
        <f t="shared" si="8822"/>
        <v>18</v>
      </c>
      <c r="C4334" s="66">
        <f t="shared" si="8825"/>
        <v>15</v>
      </c>
      <c r="E4334" s="66">
        <f t="shared" ref="E4334" si="8880">plan_id</f>
        <v>1952</v>
      </c>
      <c r="F4334" s="66">
        <f t="shared" ca="1" si="8788"/>
        <v>2016</v>
      </c>
      <c r="G4334" s="66">
        <f t="shared" ref="G4334" ca="1" si="8881">VLOOKUP(INDIRECT(CHAR(39)&amp;$A4334&amp;CHAR(39)&amp;"!r2c"&amp;$C4334,0),variables,2,0)</f>
        <v>9833</v>
      </c>
      <c r="H4334" s="71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67" t="s">
        <v>1429</v>
      </c>
      <c r="B4335" s="66">
        <f t="shared" si="8822"/>
        <v>18</v>
      </c>
      <c r="C4335" s="66">
        <f t="shared" si="8825"/>
        <v>16</v>
      </c>
      <c r="E4335" s="66">
        <f t="shared" ref="E4335" si="8882">plan_id</f>
        <v>1952</v>
      </c>
      <c r="F4335" s="66">
        <f t="shared" ca="1" si="8788"/>
        <v>2016</v>
      </c>
      <c r="G4335" s="66">
        <f t="shared" ref="G4335" ca="1" si="8883">VLOOKUP(INDIRECT(CHAR(39)&amp;$A4335&amp;CHAR(39)&amp;"!r2c"&amp;$C4335,0),variables,2,0)</f>
        <v>9845</v>
      </c>
      <c r="H4335" s="71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67" t="s">
        <v>1429</v>
      </c>
      <c r="B4336" s="66">
        <f t="shared" si="8822"/>
        <v>18</v>
      </c>
      <c r="C4336" s="66">
        <f t="shared" si="8825"/>
        <v>17</v>
      </c>
      <c r="E4336" s="66">
        <f t="shared" ref="E4336" si="8884">plan_id</f>
        <v>1952</v>
      </c>
      <c r="F4336" s="66">
        <f t="shared" ca="1" si="8788"/>
        <v>2016</v>
      </c>
      <c r="G4336" s="66">
        <f t="shared" ref="G4336" ca="1" si="8885">VLOOKUP(INDIRECT(CHAR(39)&amp;$A4336&amp;CHAR(39)&amp;"!r2c"&amp;$C4336,0),variables,2,0)</f>
        <v>9872</v>
      </c>
      <c r="H4336" s="71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67" t="s">
        <v>1429</v>
      </c>
      <c r="B4337" s="66">
        <f t="shared" si="8822"/>
        <v>18</v>
      </c>
      <c r="C4337" s="66">
        <f t="shared" si="8825"/>
        <v>18</v>
      </c>
      <c r="E4337" s="66">
        <f t="shared" ref="E4337" si="8886">plan_id</f>
        <v>1952</v>
      </c>
      <c r="F4337" s="66">
        <f t="shared" ca="1" si="8788"/>
        <v>2016</v>
      </c>
      <c r="G4337" s="66">
        <f t="shared" ref="G4337" ca="1" si="8887">VLOOKUP(INDIRECT(CHAR(39)&amp;$A4337&amp;CHAR(39)&amp;"!r2c"&amp;$C4337,0),variables,2,0)</f>
        <v>9887</v>
      </c>
      <c r="H4337" s="71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67" t="s">
        <v>1429</v>
      </c>
      <c r="B4338" s="66">
        <f t="shared" si="8822"/>
        <v>18</v>
      </c>
      <c r="C4338" s="66">
        <f t="shared" si="8825"/>
        <v>19</v>
      </c>
      <c r="E4338" s="66">
        <f t="shared" ref="E4338" si="8888">plan_id</f>
        <v>1952</v>
      </c>
      <c r="F4338" s="66">
        <f t="shared" ca="1" si="8788"/>
        <v>2016</v>
      </c>
      <c r="G4338" s="66">
        <f t="shared" ref="G4338" ca="1" si="8889">VLOOKUP(INDIRECT(CHAR(39)&amp;$A4338&amp;CHAR(39)&amp;"!r2c"&amp;$C4338,0),variables,2,0)</f>
        <v>9914</v>
      </c>
      <c r="H4338" s="71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67" t="s">
        <v>1429</v>
      </c>
      <c r="B4339" s="66">
        <f t="shared" si="8822"/>
        <v>18</v>
      </c>
      <c r="C4339" s="66">
        <f t="shared" si="8825"/>
        <v>20</v>
      </c>
      <c r="E4339" s="66">
        <f t="shared" ref="E4339" si="8890">plan_id</f>
        <v>1952</v>
      </c>
      <c r="F4339" s="66">
        <f t="shared" ca="1" si="8788"/>
        <v>2016</v>
      </c>
      <c r="G4339" s="66">
        <f t="shared" ref="G4339" ca="1" si="8891">VLOOKUP(INDIRECT(CHAR(39)&amp;$A4339&amp;CHAR(39)&amp;"!r2c"&amp;$C4339,0),variables,2,0)</f>
        <v>9917</v>
      </c>
      <c r="H4339" s="71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67" t="s">
        <v>1429</v>
      </c>
      <c r="B4340" s="66">
        <f t="shared" si="8822"/>
        <v>18</v>
      </c>
      <c r="C4340" s="66">
        <f t="shared" si="8825"/>
        <v>21</v>
      </c>
      <c r="E4340" s="66">
        <f t="shared" ref="E4340" si="8892">plan_id</f>
        <v>1952</v>
      </c>
      <c r="F4340" s="66">
        <f t="shared" ca="1" si="8788"/>
        <v>2016</v>
      </c>
      <c r="G4340" s="66">
        <f t="shared" ref="G4340" ca="1" si="8893">VLOOKUP(INDIRECT(CHAR(39)&amp;$A4340&amp;CHAR(39)&amp;"!r2c"&amp;$C4340,0),variables,2,0)</f>
        <v>9920</v>
      </c>
      <c r="H4340" s="71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67" t="s">
        <v>1429</v>
      </c>
      <c r="B4341" s="66">
        <f t="shared" si="8822"/>
        <v>18</v>
      </c>
      <c r="C4341" s="66">
        <f t="shared" si="8825"/>
        <v>22</v>
      </c>
      <c r="E4341" s="66">
        <f t="shared" ref="E4341" si="8894">plan_id</f>
        <v>1952</v>
      </c>
      <c r="F4341" s="66">
        <f t="shared" ca="1" si="8788"/>
        <v>2016</v>
      </c>
      <c r="G4341" s="66">
        <f t="shared" ref="G4341" ca="1" si="8895">VLOOKUP(INDIRECT(CHAR(39)&amp;$A4341&amp;CHAR(39)&amp;"!r2c"&amp;$C4341,0),variables,2,0)</f>
        <v>9648</v>
      </c>
      <c r="H4341" s="71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67" t="s">
        <v>1429</v>
      </c>
      <c r="B4342" s="66">
        <f t="shared" si="8822"/>
        <v>18</v>
      </c>
      <c r="C4342" s="66">
        <f t="shared" si="8825"/>
        <v>23</v>
      </c>
      <c r="E4342" s="66">
        <f t="shared" ref="E4342" si="8896">plan_id</f>
        <v>1952</v>
      </c>
      <c r="F4342" s="66">
        <f t="shared" ca="1" si="8788"/>
        <v>2016</v>
      </c>
      <c r="G4342" s="66">
        <f t="shared" ref="G4342" ca="1" si="8897">VLOOKUP(INDIRECT(CHAR(39)&amp;$A4342&amp;CHAR(39)&amp;"!r2c"&amp;$C4342,0),variables,2,0)</f>
        <v>9713</v>
      </c>
      <c r="H4342" s="71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67" t="s">
        <v>1429</v>
      </c>
      <c r="B4343" s="66">
        <f t="shared" si="8822"/>
        <v>18</v>
      </c>
      <c r="C4343" s="66">
        <f t="shared" si="8825"/>
        <v>24</v>
      </c>
      <c r="E4343" s="66">
        <f t="shared" ref="E4343" si="8898">plan_id</f>
        <v>1952</v>
      </c>
      <c r="F4343" s="66">
        <f t="shared" ca="1" si="8788"/>
        <v>2016</v>
      </c>
      <c r="G4343" s="66">
        <f t="shared" ref="G4343" ca="1" si="8899">VLOOKUP(INDIRECT(CHAR(39)&amp;$A4343&amp;CHAR(39)&amp;"!r2c"&amp;$C4343,0),variables,2,0)</f>
        <v>9719</v>
      </c>
      <c r="H4343" s="71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67" t="s">
        <v>1429</v>
      </c>
      <c r="B4344" s="66">
        <f t="shared" si="8822"/>
        <v>18</v>
      </c>
      <c r="C4344" s="66">
        <f t="shared" si="8825"/>
        <v>25</v>
      </c>
      <c r="E4344" s="66">
        <f t="shared" ref="E4344" si="8900">plan_id</f>
        <v>1952</v>
      </c>
      <c r="F4344" s="66">
        <f t="shared" ca="1" si="8788"/>
        <v>2016</v>
      </c>
      <c r="G4344" s="66">
        <f t="shared" ref="G4344" ca="1" si="8901">VLOOKUP(INDIRECT(CHAR(39)&amp;$A4344&amp;CHAR(39)&amp;"!r2c"&amp;$C4344,0),variables,2,0)</f>
        <v>9725</v>
      </c>
      <c r="H4344" s="71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67" t="s">
        <v>1429</v>
      </c>
      <c r="B4345" s="66">
        <f t="shared" si="8822"/>
        <v>18</v>
      </c>
      <c r="C4345" s="66">
        <f t="shared" si="8825"/>
        <v>26</v>
      </c>
      <c r="E4345" s="66">
        <f t="shared" ref="E4345" si="8902">plan_id</f>
        <v>1952</v>
      </c>
      <c r="F4345" s="66">
        <f t="shared" ca="1" si="8788"/>
        <v>2016</v>
      </c>
      <c r="G4345" s="66">
        <f t="shared" ref="G4345" ca="1" si="8903">VLOOKUP(INDIRECT(CHAR(39)&amp;$A4345&amp;CHAR(39)&amp;"!r2c"&amp;$C4345,0),variables,2,0)</f>
        <v>9743</v>
      </c>
      <c r="H4345" s="71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67" t="s">
        <v>1429</v>
      </c>
      <c r="B4346" s="66">
        <f t="shared" si="8822"/>
        <v>18</v>
      </c>
      <c r="C4346" s="66">
        <f t="shared" si="8825"/>
        <v>27</v>
      </c>
      <c r="E4346" s="66">
        <f t="shared" ref="E4346" si="8904">plan_id</f>
        <v>1952</v>
      </c>
      <c r="F4346" s="66">
        <f t="shared" ca="1" si="8788"/>
        <v>2016</v>
      </c>
      <c r="G4346" s="66">
        <f t="shared" ref="G4346" ca="1" si="8905">VLOOKUP(INDIRECT(CHAR(39)&amp;$A4346&amp;CHAR(39)&amp;"!r2c"&amp;$C4346,0),variables,2,0)</f>
        <v>9746</v>
      </c>
      <c r="H4346" s="71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67" t="s">
        <v>1429</v>
      </c>
      <c r="B4347" s="66">
        <f t="shared" si="8822"/>
        <v>18</v>
      </c>
      <c r="C4347" s="66">
        <f t="shared" si="8825"/>
        <v>28</v>
      </c>
      <c r="E4347" s="66">
        <f t="shared" ref="E4347" si="8906">plan_id</f>
        <v>1952</v>
      </c>
      <c r="F4347" s="66">
        <f t="shared" ca="1" si="8788"/>
        <v>2016</v>
      </c>
      <c r="G4347" s="66">
        <f t="shared" ref="G4347" ca="1" si="8907">VLOOKUP(INDIRECT(CHAR(39)&amp;$A4347&amp;CHAR(39)&amp;"!r2c"&amp;$C4347,0),variables,2,0)</f>
        <v>9761</v>
      </c>
      <c r="H4347" s="71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67" t="s">
        <v>1429</v>
      </c>
      <c r="B4348" s="66">
        <f t="shared" si="8822"/>
        <v>18</v>
      </c>
      <c r="C4348" s="66">
        <f t="shared" si="8825"/>
        <v>29</v>
      </c>
      <c r="E4348" s="66">
        <f t="shared" ref="E4348" si="8908">plan_id</f>
        <v>1952</v>
      </c>
      <c r="F4348" s="66">
        <f t="shared" ca="1" si="8788"/>
        <v>2016</v>
      </c>
      <c r="G4348" s="66">
        <f t="shared" ref="G4348" ca="1" si="8909">VLOOKUP(INDIRECT(CHAR(39)&amp;$A4348&amp;CHAR(39)&amp;"!r2c"&amp;$C4348,0),variables,2,0)</f>
        <v>9764</v>
      </c>
      <c r="H4348" s="71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67" t="s">
        <v>1429</v>
      </c>
      <c r="B4349" s="66">
        <f t="shared" si="8822"/>
        <v>18</v>
      </c>
      <c r="C4349" s="66">
        <f t="shared" si="8825"/>
        <v>30</v>
      </c>
      <c r="E4349" s="66">
        <f t="shared" ref="E4349" si="8910">plan_id</f>
        <v>1952</v>
      </c>
      <c r="F4349" s="66">
        <f t="shared" ca="1" si="8788"/>
        <v>2016</v>
      </c>
      <c r="G4349" s="66">
        <f t="shared" ref="G4349" ca="1" si="8911">VLOOKUP(INDIRECT(CHAR(39)&amp;$A4349&amp;CHAR(39)&amp;"!r2c"&amp;$C4349,0),variables,2,0)</f>
        <v>9767</v>
      </c>
      <c r="H4349" s="71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67" t="s">
        <v>1429</v>
      </c>
      <c r="B4350" s="66">
        <f t="shared" si="8822"/>
        <v>18</v>
      </c>
      <c r="C4350" s="66">
        <f t="shared" si="8825"/>
        <v>31</v>
      </c>
      <c r="E4350" s="66">
        <f t="shared" ref="E4350" si="8912">plan_id</f>
        <v>1952</v>
      </c>
      <c r="F4350" s="66">
        <f t="shared" ca="1" si="8788"/>
        <v>2016</v>
      </c>
      <c r="G4350" s="66">
        <f t="shared" ref="G4350" ca="1" si="8913">VLOOKUP(INDIRECT(CHAR(39)&amp;$A4350&amp;CHAR(39)&amp;"!r2c"&amp;$C4350,0),variables,2,0)</f>
        <v>9770</v>
      </c>
      <c r="H4350" s="71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67" t="s">
        <v>1429</v>
      </c>
      <c r="B4351" s="66">
        <f t="shared" si="8822"/>
        <v>18</v>
      </c>
      <c r="C4351" s="66">
        <f t="shared" si="8825"/>
        <v>32</v>
      </c>
      <c r="E4351" s="66">
        <f t="shared" ref="E4351" si="8914">plan_id</f>
        <v>1952</v>
      </c>
      <c r="F4351" s="66">
        <f t="shared" ca="1" si="8788"/>
        <v>2016</v>
      </c>
      <c r="G4351" s="66">
        <f t="shared" ref="G4351" ca="1" si="8915">VLOOKUP(INDIRECT(CHAR(39)&amp;$A4351&amp;CHAR(39)&amp;"!r2c"&amp;$C4351,0),variables,2,0)</f>
        <v>9773</v>
      </c>
      <c r="H4351" s="71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67" t="s">
        <v>1429</v>
      </c>
      <c r="B4352" s="66">
        <f t="shared" si="8822"/>
        <v>18</v>
      </c>
      <c r="C4352" s="66">
        <f t="shared" si="8825"/>
        <v>33</v>
      </c>
      <c r="E4352" s="66">
        <f t="shared" ref="E4352" si="8916">plan_id</f>
        <v>1952</v>
      </c>
      <c r="F4352" s="66">
        <f t="shared" ca="1" si="8788"/>
        <v>2016</v>
      </c>
      <c r="G4352" s="66">
        <f t="shared" ref="G4352" ca="1" si="8917">VLOOKUP(INDIRECT(CHAR(39)&amp;$A4352&amp;CHAR(39)&amp;"!r2c"&amp;$C4352,0),variables,2,0)</f>
        <v>9776</v>
      </c>
      <c r="H4352" s="71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67" t="s">
        <v>1429</v>
      </c>
      <c r="B4353" s="66">
        <f t="shared" si="8822"/>
        <v>18</v>
      </c>
      <c r="C4353" s="66">
        <f t="shared" si="8825"/>
        <v>34</v>
      </c>
      <c r="E4353" s="66">
        <f t="shared" ref="E4353" si="8918">plan_id</f>
        <v>1952</v>
      </c>
      <c r="F4353" s="66">
        <f t="shared" ref="F4353:F4416" ca="1" si="8919">INDIRECT(CHAR(39)&amp;$A4353&amp;CHAR(39)&amp;"!r"&amp;$B4353&amp;"c2",0)</f>
        <v>2016</v>
      </c>
      <c r="G4353" s="66">
        <f t="shared" ref="G4353" ca="1" si="8920">VLOOKUP(INDIRECT(CHAR(39)&amp;$A4353&amp;CHAR(39)&amp;"!r2c"&amp;$C4353,0),variables,2,0)</f>
        <v>9779</v>
      </c>
      <c r="H4353" s="71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67" t="s">
        <v>1429</v>
      </c>
      <c r="B4354" s="66">
        <f t="shared" si="8822"/>
        <v>18</v>
      </c>
      <c r="C4354" s="66">
        <f t="shared" si="8825"/>
        <v>35</v>
      </c>
      <c r="E4354" s="66">
        <f t="shared" ref="E4354" si="8921">plan_id</f>
        <v>1952</v>
      </c>
      <c r="F4354" s="66">
        <f t="shared" ca="1" si="8919"/>
        <v>2016</v>
      </c>
      <c r="G4354" s="66">
        <f t="shared" ref="G4354" ca="1" si="8922">VLOOKUP(INDIRECT(CHAR(39)&amp;$A4354&amp;CHAR(39)&amp;"!r2c"&amp;$C4354,0),variables,2,0)</f>
        <v>9785</v>
      </c>
      <c r="H4354" s="71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67" t="s">
        <v>1429</v>
      </c>
      <c r="B4355" s="66">
        <f t="shared" si="8822"/>
        <v>18</v>
      </c>
      <c r="C4355" s="66">
        <f t="shared" si="8825"/>
        <v>36</v>
      </c>
      <c r="E4355" s="66">
        <f t="shared" ref="E4355" si="8923">plan_id</f>
        <v>1952</v>
      </c>
      <c r="F4355" s="66">
        <f t="shared" ca="1" si="8919"/>
        <v>2016</v>
      </c>
      <c r="G4355" s="66">
        <f t="shared" ref="G4355" ca="1" si="8924">VLOOKUP(INDIRECT(CHAR(39)&amp;$A4355&amp;CHAR(39)&amp;"!r2c"&amp;$C4355,0),variables,2,0)</f>
        <v>9794</v>
      </c>
      <c r="H4355" s="71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67" t="s">
        <v>1429</v>
      </c>
      <c r="B4356" s="66">
        <f t="shared" si="8822"/>
        <v>18</v>
      </c>
      <c r="C4356" s="66">
        <f t="shared" si="8825"/>
        <v>37</v>
      </c>
      <c r="E4356" s="66">
        <f t="shared" ref="E4356" si="8925">plan_id</f>
        <v>1952</v>
      </c>
      <c r="F4356" s="66">
        <f t="shared" ca="1" si="8919"/>
        <v>2016</v>
      </c>
      <c r="G4356" s="66">
        <f t="shared" ref="G4356" ca="1" si="8926">VLOOKUP(INDIRECT(CHAR(39)&amp;$A4356&amp;CHAR(39)&amp;"!r2c"&amp;$C4356,0),variables,2,0)</f>
        <v>9797</v>
      </c>
      <c r="H4356" s="71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67" t="s">
        <v>1429</v>
      </c>
      <c r="B4357" s="66">
        <f t="shared" si="8822"/>
        <v>18</v>
      </c>
      <c r="C4357" s="66">
        <f t="shared" si="8825"/>
        <v>38</v>
      </c>
      <c r="E4357" s="66">
        <f t="shared" ref="E4357" si="8927">plan_id</f>
        <v>1952</v>
      </c>
      <c r="F4357" s="66">
        <f t="shared" ca="1" si="8919"/>
        <v>2016</v>
      </c>
      <c r="G4357" s="66">
        <f t="shared" ref="G4357" ca="1" si="8928">VLOOKUP(INDIRECT(CHAR(39)&amp;$A4357&amp;CHAR(39)&amp;"!r2c"&amp;$C4357,0),variables,2,0)</f>
        <v>9806</v>
      </c>
      <c r="H4357" s="71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67" t="s">
        <v>1429</v>
      </c>
      <c r="B4358" s="66">
        <f t="shared" si="8822"/>
        <v>18</v>
      </c>
      <c r="C4358" s="66">
        <f t="shared" si="8825"/>
        <v>39</v>
      </c>
      <c r="E4358" s="66">
        <f t="shared" ref="E4358" si="8929">plan_id</f>
        <v>1952</v>
      </c>
      <c r="F4358" s="66">
        <f t="shared" ca="1" si="8919"/>
        <v>2016</v>
      </c>
      <c r="G4358" s="66">
        <f t="shared" ref="G4358" ca="1" si="8930">VLOOKUP(INDIRECT(CHAR(39)&amp;$A4358&amp;CHAR(39)&amp;"!r2c"&amp;$C4358,0),variables,2,0)</f>
        <v>9809</v>
      </c>
      <c r="H4358" s="71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67" t="s">
        <v>1429</v>
      </c>
      <c r="B4359" s="66">
        <f t="shared" si="8822"/>
        <v>18</v>
      </c>
      <c r="C4359" s="66">
        <f t="shared" si="8825"/>
        <v>40</v>
      </c>
      <c r="E4359" s="66">
        <f t="shared" ref="E4359" si="8931">plan_id</f>
        <v>1952</v>
      </c>
      <c r="F4359" s="66">
        <f t="shared" ca="1" si="8919"/>
        <v>2016</v>
      </c>
      <c r="G4359" s="66">
        <f t="shared" ref="G4359" ca="1" si="8932">VLOOKUP(INDIRECT(CHAR(39)&amp;$A4359&amp;CHAR(39)&amp;"!r2c"&amp;$C4359,0),variables,2,0)</f>
        <v>9818</v>
      </c>
      <c r="H4359" s="71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67" t="s">
        <v>1429</v>
      </c>
      <c r="B4360" s="66">
        <f t="shared" si="8822"/>
        <v>18</v>
      </c>
      <c r="C4360" s="66">
        <f t="shared" si="8825"/>
        <v>41</v>
      </c>
      <c r="E4360" s="66">
        <f t="shared" ref="E4360" si="8933">plan_id</f>
        <v>1952</v>
      </c>
      <c r="F4360" s="66">
        <f t="shared" ca="1" si="8919"/>
        <v>2016</v>
      </c>
      <c r="G4360" s="66">
        <f t="shared" ref="G4360" ca="1" si="8934">VLOOKUP(INDIRECT(CHAR(39)&amp;$A4360&amp;CHAR(39)&amp;"!r2c"&amp;$C4360,0),variables,2,0)</f>
        <v>9839</v>
      </c>
      <c r="H4360" s="71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67" t="s">
        <v>1429</v>
      </c>
      <c r="B4361" s="66">
        <f t="shared" si="8822"/>
        <v>18</v>
      </c>
      <c r="C4361" s="66">
        <f t="shared" si="8825"/>
        <v>42</v>
      </c>
      <c r="E4361" s="66">
        <f t="shared" ref="E4361" si="8935">plan_id</f>
        <v>1952</v>
      </c>
      <c r="F4361" s="66">
        <f t="shared" ca="1" si="8919"/>
        <v>2016</v>
      </c>
      <c r="G4361" s="66">
        <f t="shared" ref="G4361" ca="1" si="8936">VLOOKUP(INDIRECT(CHAR(39)&amp;$A4361&amp;CHAR(39)&amp;"!r2c"&amp;$C4361,0),variables,2,0)</f>
        <v>9860</v>
      </c>
      <c r="H4361" s="71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67" t="s">
        <v>1429</v>
      </c>
      <c r="B4362" s="66">
        <f t="shared" si="8822"/>
        <v>18</v>
      </c>
      <c r="C4362" s="66">
        <f t="shared" si="8825"/>
        <v>43</v>
      </c>
      <c r="E4362" s="66">
        <f t="shared" ref="E4362" si="8937">plan_id</f>
        <v>1952</v>
      </c>
      <c r="F4362" s="66">
        <f t="shared" ca="1" si="8919"/>
        <v>2016</v>
      </c>
      <c r="G4362" s="66">
        <f t="shared" ref="G4362" ca="1" si="8938">VLOOKUP(INDIRECT(CHAR(39)&amp;$A4362&amp;CHAR(39)&amp;"!r2c"&amp;$C4362,0),variables,2,0)</f>
        <v>9863</v>
      </c>
      <c r="H4362" s="71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67" t="s">
        <v>1429</v>
      </c>
      <c r="B4363" s="66">
        <f t="shared" si="8822"/>
        <v>18</v>
      </c>
      <c r="C4363" s="66">
        <f t="shared" si="8825"/>
        <v>44</v>
      </c>
      <c r="E4363" s="66">
        <f t="shared" ref="E4363" si="8939">plan_id</f>
        <v>1952</v>
      </c>
      <c r="F4363" s="66">
        <f t="shared" ca="1" si="8919"/>
        <v>2016</v>
      </c>
      <c r="G4363" s="66">
        <f t="shared" ref="G4363" ca="1" si="8940">VLOOKUP(INDIRECT(CHAR(39)&amp;$A4363&amp;CHAR(39)&amp;"!r2c"&amp;$C4363,0),variables,2,0)</f>
        <v>9878</v>
      </c>
      <c r="H4363" s="71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67" t="s">
        <v>1429</v>
      </c>
      <c r="B4364" s="66">
        <f t="shared" si="8822"/>
        <v>18</v>
      </c>
      <c r="C4364" s="66">
        <f t="shared" si="8825"/>
        <v>45</v>
      </c>
      <c r="E4364" s="66">
        <f t="shared" ref="E4364" si="8941">plan_id</f>
        <v>1952</v>
      </c>
      <c r="F4364" s="66">
        <f t="shared" ca="1" si="8919"/>
        <v>2016</v>
      </c>
      <c r="G4364" s="66">
        <f t="shared" ref="G4364" ca="1" si="8942">VLOOKUP(INDIRECT(CHAR(39)&amp;$A4364&amp;CHAR(39)&amp;"!r2c"&amp;$C4364,0),variables,2,0)</f>
        <v>9923</v>
      </c>
      <c r="H4364" s="71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67" t="s">
        <v>1429</v>
      </c>
      <c r="B4365" s="66">
        <f t="shared" si="8822"/>
        <v>18</v>
      </c>
      <c r="C4365" s="66">
        <f t="shared" si="8825"/>
        <v>46</v>
      </c>
      <c r="E4365" s="66">
        <f t="shared" ref="E4365" si="8943">plan_id</f>
        <v>1952</v>
      </c>
      <c r="F4365" s="66">
        <f t="shared" ca="1" si="8919"/>
        <v>2016</v>
      </c>
      <c r="G4365" s="66">
        <f t="shared" ref="G4365" ca="1" si="8944">VLOOKUP(INDIRECT(CHAR(39)&amp;$A4365&amp;CHAR(39)&amp;"!r2c"&amp;$C4365,0),variables,2,0)</f>
        <v>9932</v>
      </c>
      <c r="H4365" s="71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67" t="s">
        <v>1429</v>
      </c>
      <c r="B4366" s="66">
        <f t="shared" si="8822"/>
        <v>18</v>
      </c>
      <c r="C4366" s="66">
        <f t="shared" si="8825"/>
        <v>47</v>
      </c>
      <c r="E4366" s="66">
        <f t="shared" ref="E4366" si="8945">plan_id</f>
        <v>1952</v>
      </c>
      <c r="F4366" s="66">
        <f t="shared" ca="1" si="8919"/>
        <v>2016</v>
      </c>
      <c r="G4366" s="66">
        <f t="shared" ref="G4366" ca="1" si="8946">VLOOKUP(INDIRECT(CHAR(39)&amp;$A4366&amp;CHAR(39)&amp;"!r2c"&amp;$C4366,0),variables,2,0)</f>
        <v>9935</v>
      </c>
      <c r="H4366" s="71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67" t="s">
        <v>1429</v>
      </c>
      <c r="B4367" s="66">
        <f t="shared" si="8822"/>
        <v>18</v>
      </c>
      <c r="C4367" s="66">
        <f t="shared" si="8825"/>
        <v>48</v>
      </c>
      <c r="E4367" s="66">
        <f t="shared" ref="E4367" si="8947">plan_id</f>
        <v>1952</v>
      </c>
      <c r="F4367" s="66">
        <f t="shared" ca="1" si="8919"/>
        <v>2016</v>
      </c>
      <c r="G4367" s="66">
        <f t="shared" ref="G4367" ca="1" si="8948">VLOOKUP(INDIRECT(CHAR(39)&amp;$A4367&amp;CHAR(39)&amp;"!r2c"&amp;$C4367,0),variables,2,0)</f>
        <v>9651</v>
      </c>
      <c r="H4367" s="71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67" t="s">
        <v>1429</v>
      </c>
      <c r="B4368" s="66">
        <f t="shared" si="8822"/>
        <v>18</v>
      </c>
      <c r="C4368" s="66">
        <f t="shared" si="8825"/>
        <v>49</v>
      </c>
      <c r="E4368" s="66">
        <f t="shared" ref="E4368" si="8949">plan_id</f>
        <v>1952</v>
      </c>
      <c r="F4368" s="66">
        <f t="shared" ca="1" si="8919"/>
        <v>2016</v>
      </c>
      <c r="G4368" s="66">
        <f t="shared" ref="G4368" ca="1" si="8950">VLOOKUP(INDIRECT(CHAR(39)&amp;$A4368&amp;CHAR(39)&amp;"!r2c"&amp;$C4368,0),variables,2,0)</f>
        <v>9722</v>
      </c>
      <c r="H4368" s="71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67" t="s">
        <v>1429</v>
      </c>
      <c r="B4369" s="66">
        <f t="shared" si="8822"/>
        <v>18</v>
      </c>
      <c r="C4369" s="66">
        <f t="shared" si="8825"/>
        <v>50</v>
      </c>
      <c r="E4369" s="66">
        <f t="shared" ref="E4369" si="8951">plan_id</f>
        <v>1952</v>
      </c>
      <c r="F4369" s="66">
        <f t="shared" ca="1" si="8919"/>
        <v>2016</v>
      </c>
      <c r="G4369" s="66">
        <f t="shared" ref="G4369" ca="1" si="8952">VLOOKUP(INDIRECT(CHAR(39)&amp;$A4369&amp;CHAR(39)&amp;"!r2c"&amp;$C4369,0),variables,2,0)</f>
        <v>9848</v>
      </c>
      <c r="H4369" s="71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67" t="s">
        <v>1429</v>
      </c>
      <c r="B4370" s="66">
        <f t="shared" ref="B4370:B4433" si="8953">B4282+1</f>
        <v>18</v>
      </c>
      <c r="C4370" s="66">
        <f t="shared" si="8825"/>
        <v>51</v>
      </c>
      <c r="E4370" s="66">
        <f t="shared" ref="E4370" si="8954">plan_id</f>
        <v>1952</v>
      </c>
      <c r="F4370" s="66">
        <f t="shared" ca="1" si="8919"/>
        <v>2016</v>
      </c>
      <c r="G4370" s="66">
        <f t="shared" ref="G4370" ca="1" si="8955">VLOOKUP(INDIRECT(CHAR(39)&amp;$A4370&amp;CHAR(39)&amp;"!r2c"&amp;$C4370,0),variables,2,0)</f>
        <v>9866</v>
      </c>
      <c r="H4370" s="71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67" t="s">
        <v>1429</v>
      </c>
      <c r="B4371" s="66">
        <f t="shared" si="8953"/>
        <v>18</v>
      </c>
      <c r="C4371" s="66">
        <f t="shared" ref="C4371:C4434" si="8956">C4283</f>
        <v>52</v>
      </c>
      <c r="E4371" s="66">
        <f t="shared" ref="E4371" si="8957">plan_id</f>
        <v>1952</v>
      </c>
      <c r="F4371" s="66">
        <f t="shared" ca="1" si="8919"/>
        <v>2016</v>
      </c>
      <c r="G4371" s="66">
        <f t="shared" ref="G4371" ca="1" si="8958">VLOOKUP(INDIRECT(CHAR(39)&amp;$A4371&amp;CHAR(39)&amp;"!r2c"&amp;$C4371,0),variables,2,0)</f>
        <v>9899</v>
      </c>
      <c r="H4371" s="71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67" t="s">
        <v>1429</v>
      </c>
      <c r="B4372" s="66">
        <f t="shared" si="8953"/>
        <v>18</v>
      </c>
      <c r="C4372" s="66">
        <f t="shared" si="8956"/>
        <v>53</v>
      </c>
      <c r="E4372" s="66">
        <f t="shared" ref="E4372" si="8959">plan_id</f>
        <v>1952</v>
      </c>
      <c r="F4372" s="66">
        <f t="shared" ca="1" si="8919"/>
        <v>2016</v>
      </c>
      <c r="G4372" s="66">
        <f t="shared" ref="G4372" ca="1" si="8960">VLOOKUP(INDIRECT(CHAR(39)&amp;$A4372&amp;CHAR(39)&amp;"!r2c"&amp;$C4372,0),variables,2,0)</f>
        <v>9905</v>
      </c>
      <c r="H4372" s="71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67" t="s">
        <v>1429</v>
      </c>
      <c r="B4373" s="66">
        <f t="shared" si="8953"/>
        <v>18</v>
      </c>
      <c r="C4373" s="66">
        <f t="shared" si="8956"/>
        <v>54</v>
      </c>
      <c r="E4373" s="66">
        <f t="shared" ref="E4373" si="8961">plan_id</f>
        <v>1952</v>
      </c>
      <c r="F4373" s="66">
        <f t="shared" ca="1" si="8919"/>
        <v>2016</v>
      </c>
      <c r="G4373" s="66">
        <f t="shared" ref="G4373" ca="1" si="8962">VLOOKUP(INDIRECT(CHAR(39)&amp;$A4373&amp;CHAR(39)&amp;"!r2c"&amp;$C4373,0),variables,2,0)</f>
        <v>9929</v>
      </c>
      <c r="H4373" s="71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67" t="s">
        <v>1429</v>
      </c>
      <c r="B4374" s="66">
        <f t="shared" si="8953"/>
        <v>18</v>
      </c>
      <c r="C4374" s="66">
        <f t="shared" si="8956"/>
        <v>55</v>
      </c>
      <c r="E4374" s="66">
        <f t="shared" ref="E4374" si="8963">plan_id</f>
        <v>1952</v>
      </c>
      <c r="F4374" s="66">
        <f t="shared" ca="1" si="8919"/>
        <v>2016</v>
      </c>
      <c r="G4374" s="66">
        <f t="shared" ref="G4374" ca="1" si="8964">VLOOKUP(INDIRECT(CHAR(39)&amp;$A4374&amp;CHAR(39)&amp;"!r2c"&amp;$C4374,0),variables,2,0)</f>
        <v>9654</v>
      </c>
      <c r="H4374" s="71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67" t="s">
        <v>1429</v>
      </c>
      <c r="B4375" s="66">
        <f t="shared" si="8953"/>
        <v>18</v>
      </c>
      <c r="C4375" s="66">
        <f t="shared" si="8956"/>
        <v>56</v>
      </c>
      <c r="E4375" s="66">
        <f t="shared" ref="E4375" si="8965">plan_id</f>
        <v>1952</v>
      </c>
      <c r="F4375" s="66">
        <f t="shared" ca="1" si="8919"/>
        <v>2016</v>
      </c>
      <c r="G4375" s="66">
        <f t="shared" ref="G4375" ca="1" si="8966">VLOOKUP(INDIRECT(CHAR(39)&amp;$A4375&amp;CHAR(39)&amp;"!r2c"&amp;$C4375,0),variables,2,0)</f>
        <v>9707</v>
      </c>
      <c r="H4375" s="71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67" t="s">
        <v>1429</v>
      </c>
      <c r="B4376" s="66">
        <f t="shared" si="8953"/>
        <v>18</v>
      </c>
      <c r="C4376" s="66">
        <f t="shared" si="8956"/>
        <v>57</v>
      </c>
      <c r="E4376" s="66">
        <f t="shared" ref="E4376" si="8967">plan_id</f>
        <v>1952</v>
      </c>
      <c r="F4376" s="66">
        <f t="shared" ca="1" si="8919"/>
        <v>2016</v>
      </c>
      <c r="G4376" s="66">
        <f t="shared" ref="G4376" ca="1" si="8968">VLOOKUP(INDIRECT(CHAR(39)&amp;$A4376&amp;CHAR(39)&amp;"!r2c"&amp;$C4376,0),variables,2,0)</f>
        <v>9669</v>
      </c>
      <c r="H4376" s="71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67" t="s">
        <v>1429</v>
      </c>
      <c r="B4377" s="66">
        <f t="shared" si="8953"/>
        <v>18</v>
      </c>
      <c r="C4377" s="66">
        <f t="shared" si="8956"/>
        <v>58</v>
      </c>
      <c r="E4377" s="66">
        <f t="shared" ref="E4377" si="8969">plan_id</f>
        <v>1952</v>
      </c>
      <c r="F4377" s="66">
        <f t="shared" ca="1" si="8919"/>
        <v>2016</v>
      </c>
      <c r="G4377" s="66">
        <f t="shared" ref="G4377" ca="1" si="8970">VLOOKUP(INDIRECT(CHAR(39)&amp;$A4377&amp;CHAR(39)&amp;"!r2c"&amp;$C4377,0),variables,2,0)</f>
        <v>9851</v>
      </c>
      <c r="H4377" s="71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67" t="s">
        <v>1429</v>
      </c>
      <c r="B4378" s="66">
        <f t="shared" si="8953"/>
        <v>18</v>
      </c>
      <c r="C4378" s="66">
        <f t="shared" si="8956"/>
        <v>59</v>
      </c>
      <c r="E4378" s="66">
        <f t="shared" ref="E4378" si="8971">plan_id</f>
        <v>1952</v>
      </c>
      <c r="F4378" s="66">
        <f t="shared" ca="1" si="8919"/>
        <v>2016</v>
      </c>
      <c r="G4378" s="66">
        <f t="shared" ref="G4378" ca="1" si="8972">VLOOKUP(INDIRECT(CHAR(39)&amp;$A4378&amp;CHAR(39)&amp;"!r2c"&amp;$C4378,0),variables,2,0)</f>
        <v>9890</v>
      </c>
      <c r="H4378" s="71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67" t="s">
        <v>1429</v>
      </c>
      <c r="B4379" s="66">
        <f t="shared" si="8953"/>
        <v>18</v>
      </c>
      <c r="C4379" s="66">
        <f t="shared" si="8956"/>
        <v>60</v>
      </c>
      <c r="E4379" s="66">
        <f t="shared" ref="E4379" si="8973">plan_id</f>
        <v>1952</v>
      </c>
      <c r="F4379" s="66">
        <f t="shared" ca="1" si="8919"/>
        <v>2016</v>
      </c>
      <c r="G4379" s="66">
        <f t="shared" ref="G4379" ca="1" si="8974">VLOOKUP(INDIRECT(CHAR(39)&amp;$A4379&amp;CHAR(39)&amp;"!r2c"&amp;$C4379,0),variables,2,0)</f>
        <v>9893</v>
      </c>
      <c r="H4379" s="71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67" t="s">
        <v>1429</v>
      </c>
      <c r="B4380" s="66">
        <f t="shared" si="8953"/>
        <v>18</v>
      </c>
      <c r="C4380" s="66">
        <f t="shared" si="8956"/>
        <v>61</v>
      </c>
      <c r="E4380" s="66">
        <f t="shared" ref="E4380" si="8975">plan_id</f>
        <v>1952</v>
      </c>
      <c r="F4380" s="66">
        <f t="shared" ca="1" si="8919"/>
        <v>2016</v>
      </c>
      <c r="G4380" s="66">
        <f t="shared" ref="G4380" ca="1" si="8976">VLOOKUP(INDIRECT(CHAR(39)&amp;$A4380&amp;CHAR(39)&amp;"!r2c"&amp;$C4380,0),variables,2,0)</f>
        <v>9896</v>
      </c>
      <c r="H4380" s="71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67" t="s">
        <v>1429</v>
      </c>
      <c r="B4381" s="66">
        <f t="shared" si="8953"/>
        <v>18</v>
      </c>
      <c r="C4381" s="66">
        <f t="shared" si="8956"/>
        <v>62</v>
      </c>
      <c r="E4381" s="66">
        <f t="shared" ref="E4381" si="8977">plan_id</f>
        <v>1952</v>
      </c>
      <c r="F4381" s="66">
        <f t="shared" ca="1" si="8919"/>
        <v>2016</v>
      </c>
      <c r="G4381" s="66">
        <f t="shared" ref="G4381" ca="1" si="8978">VLOOKUP(INDIRECT(CHAR(39)&amp;$A4381&amp;CHAR(39)&amp;"!r2c"&amp;$C4381,0),variables,2,0)</f>
        <v>9660</v>
      </c>
      <c r="H4381" s="71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67" t="s">
        <v>1429</v>
      </c>
      <c r="B4382" s="66">
        <f t="shared" si="8953"/>
        <v>18</v>
      </c>
      <c r="C4382" s="66">
        <f t="shared" si="8956"/>
        <v>63</v>
      </c>
      <c r="E4382" s="66">
        <f t="shared" ref="E4382" si="8979">plan_id</f>
        <v>1952</v>
      </c>
      <c r="F4382" s="66">
        <f t="shared" ca="1" si="8919"/>
        <v>2016</v>
      </c>
      <c r="G4382" s="66">
        <f t="shared" ref="G4382" ca="1" si="8980">VLOOKUP(INDIRECT(CHAR(39)&amp;$A4382&amp;CHAR(39)&amp;"!r2c"&amp;$C4382,0),variables,2,0)</f>
        <v>9701</v>
      </c>
      <c r="H4382" s="71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67" t="s">
        <v>1429</v>
      </c>
      <c r="B4383" s="66">
        <f t="shared" si="8953"/>
        <v>18</v>
      </c>
      <c r="C4383" s="66">
        <f t="shared" si="8956"/>
        <v>64</v>
      </c>
      <c r="E4383" s="66">
        <f t="shared" ref="E4383" si="8981">plan_id</f>
        <v>1952</v>
      </c>
      <c r="F4383" s="66">
        <f t="shared" ca="1" si="8919"/>
        <v>2016</v>
      </c>
      <c r="G4383" s="66">
        <f t="shared" ref="G4383" ca="1" si="8982">VLOOKUP(INDIRECT(CHAR(39)&amp;$A4383&amp;CHAR(39)&amp;"!r2c"&amp;$C4383,0),variables,2,0)</f>
        <v>9728</v>
      </c>
      <c r="H4383" s="71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67" t="s">
        <v>1429</v>
      </c>
      <c r="B4384" s="66">
        <f t="shared" si="8953"/>
        <v>18</v>
      </c>
      <c r="C4384" s="66">
        <f t="shared" si="8956"/>
        <v>65</v>
      </c>
      <c r="E4384" s="66">
        <f t="shared" ref="E4384" si="8983">plan_id</f>
        <v>1952</v>
      </c>
      <c r="F4384" s="66">
        <f t="shared" ca="1" si="8919"/>
        <v>2016</v>
      </c>
      <c r="G4384" s="66">
        <f t="shared" ref="G4384" ca="1" si="8984">VLOOKUP(INDIRECT(CHAR(39)&amp;$A4384&amp;CHAR(39)&amp;"!r2c"&amp;$C4384,0),variables,2,0)</f>
        <v>9731</v>
      </c>
      <c r="H4384" s="71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67" t="s">
        <v>1429</v>
      </c>
      <c r="B4385" s="66">
        <f t="shared" si="8953"/>
        <v>18</v>
      </c>
      <c r="C4385" s="66">
        <f t="shared" si="8956"/>
        <v>66</v>
      </c>
      <c r="E4385" s="66">
        <f t="shared" ref="E4385" si="8985">plan_id</f>
        <v>1952</v>
      </c>
      <c r="F4385" s="66">
        <f t="shared" ca="1" si="8919"/>
        <v>2016</v>
      </c>
      <c r="G4385" s="66">
        <f t="shared" ref="G4385" ca="1" si="8986">VLOOKUP(INDIRECT(CHAR(39)&amp;$A4385&amp;CHAR(39)&amp;"!r2c"&amp;$C4385,0),variables,2,0)</f>
        <v>9737</v>
      </c>
      <c r="H4385" s="71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67" t="s">
        <v>1429</v>
      </c>
      <c r="B4386" s="66">
        <f t="shared" si="8953"/>
        <v>18</v>
      </c>
      <c r="C4386" s="66">
        <f t="shared" si="8956"/>
        <v>67</v>
      </c>
      <c r="E4386" s="66">
        <f t="shared" ref="E4386" si="8987">plan_id</f>
        <v>1952</v>
      </c>
      <c r="F4386" s="66">
        <f t="shared" ca="1" si="8919"/>
        <v>2016</v>
      </c>
      <c r="G4386" s="66">
        <f t="shared" ref="G4386" ca="1" si="8988">VLOOKUP(INDIRECT(CHAR(39)&amp;$A4386&amp;CHAR(39)&amp;"!r2c"&amp;$C4386,0),variables,2,0)</f>
        <v>9740</v>
      </c>
      <c r="H4386" s="71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67" t="s">
        <v>1429</v>
      </c>
      <c r="B4387" s="66">
        <f t="shared" si="8953"/>
        <v>18</v>
      </c>
      <c r="C4387" s="66">
        <f t="shared" si="8956"/>
        <v>68</v>
      </c>
      <c r="E4387" s="66">
        <f t="shared" ref="E4387" si="8989">plan_id</f>
        <v>1952</v>
      </c>
      <c r="F4387" s="66">
        <f t="shared" ca="1" si="8919"/>
        <v>2016</v>
      </c>
      <c r="G4387" s="66">
        <f t="shared" ref="G4387" ca="1" si="8990">VLOOKUP(INDIRECT(CHAR(39)&amp;$A4387&amp;CHAR(39)&amp;"!r2c"&amp;$C4387,0),variables,2,0)</f>
        <v>9752</v>
      </c>
      <c r="H4387" s="71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67" t="s">
        <v>1429</v>
      </c>
      <c r="B4388" s="66">
        <f t="shared" si="8953"/>
        <v>18</v>
      </c>
      <c r="C4388" s="66">
        <f t="shared" si="8956"/>
        <v>69</v>
      </c>
      <c r="E4388" s="66">
        <f t="shared" ref="E4388" si="8991">plan_id</f>
        <v>1952</v>
      </c>
      <c r="F4388" s="66">
        <f t="shared" ca="1" si="8919"/>
        <v>2016</v>
      </c>
      <c r="G4388" s="66">
        <f t="shared" ref="G4388" ca="1" si="8992">VLOOKUP(INDIRECT(CHAR(39)&amp;$A4388&amp;CHAR(39)&amp;"!r2c"&amp;$C4388,0),variables,2,0)</f>
        <v>9791</v>
      </c>
      <c r="H4388" s="71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67" t="s">
        <v>1429</v>
      </c>
      <c r="B4389" s="66">
        <f t="shared" si="8953"/>
        <v>18</v>
      </c>
      <c r="C4389" s="66">
        <f t="shared" si="8956"/>
        <v>70</v>
      </c>
      <c r="E4389" s="66">
        <f t="shared" ref="E4389" si="8993">plan_id</f>
        <v>1952</v>
      </c>
      <c r="F4389" s="66">
        <f t="shared" ca="1" si="8919"/>
        <v>2016</v>
      </c>
      <c r="G4389" s="66">
        <f t="shared" ref="G4389" ca="1" si="8994">VLOOKUP(INDIRECT(CHAR(39)&amp;$A4389&amp;CHAR(39)&amp;"!r2c"&amp;$C4389,0),variables,2,0)</f>
        <v>9800</v>
      </c>
      <c r="H4389" s="71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67" t="s">
        <v>1429</v>
      </c>
      <c r="B4390" s="66">
        <f t="shared" si="8953"/>
        <v>18</v>
      </c>
      <c r="C4390" s="66">
        <f t="shared" si="8956"/>
        <v>71</v>
      </c>
      <c r="E4390" s="66">
        <f t="shared" ref="E4390" si="8995">plan_id</f>
        <v>1952</v>
      </c>
      <c r="F4390" s="66">
        <f t="shared" ca="1" si="8919"/>
        <v>2016</v>
      </c>
      <c r="G4390" s="66">
        <f t="shared" ref="G4390" ca="1" si="8996">VLOOKUP(INDIRECT(CHAR(39)&amp;$A4390&amp;CHAR(39)&amp;"!r2c"&amp;$C4390,0),variables,2,0)</f>
        <v>9842</v>
      </c>
      <c r="H4390" s="71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67" t="s">
        <v>1429</v>
      </c>
      <c r="B4391" s="66">
        <f t="shared" si="8953"/>
        <v>18</v>
      </c>
      <c r="C4391" s="66">
        <f t="shared" si="8956"/>
        <v>72</v>
      </c>
      <c r="E4391" s="66">
        <f t="shared" ref="E4391" si="8997">plan_id</f>
        <v>1952</v>
      </c>
      <c r="F4391" s="66">
        <f t="shared" ca="1" si="8919"/>
        <v>2016</v>
      </c>
      <c r="G4391" s="66">
        <f t="shared" ref="G4391" ca="1" si="8998">VLOOKUP(INDIRECT(CHAR(39)&amp;$A4391&amp;CHAR(39)&amp;"!r2c"&amp;$C4391,0),variables,2,0)</f>
        <v>9854</v>
      </c>
      <c r="H4391" s="71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67" t="s">
        <v>1429</v>
      </c>
      <c r="B4392" s="66">
        <f t="shared" si="8953"/>
        <v>18</v>
      </c>
      <c r="C4392" s="66">
        <f t="shared" si="8956"/>
        <v>73</v>
      </c>
      <c r="E4392" s="66">
        <f t="shared" ref="E4392" si="8999">plan_id</f>
        <v>1952</v>
      </c>
      <c r="F4392" s="66">
        <f t="shared" ca="1" si="8919"/>
        <v>2016</v>
      </c>
      <c r="G4392" s="66">
        <f t="shared" ref="G4392" ca="1" si="9000">VLOOKUP(INDIRECT(CHAR(39)&amp;$A4392&amp;CHAR(39)&amp;"!r2c"&amp;$C4392,0),variables,2,0)</f>
        <v>9869</v>
      </c>
      <c r="H4392" s="71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67" t="s">
        <v>1429</v>
      </c>
      <c r="B4393" s="66">
        <f t="shared" si="8953"/>
        <v>18</v>
      </c>
      <c r="C4393" s="66">
        <f t="shared" si="8956"/>
        <v>74</v>
      </c>
      <c r="E4393" s="66">
        <f t="shared" ref="E4393" si="9001">plan_id</f>
        <v>1952</v>
      </c>
      <c r="F4393" s="66">
        <f t="shared" ca="1" si="8919"/>
        <v>2016</v>
      </c>
      <c r="G4393" s="66">
        <f t="shared" ref="G4393" ca="1" si="9002">VLOOKUP(INDIRECT(CHAR(39)&amp;$A4393&amp;CHAR(39)&amp;"!r2c"&amp;$C4393,0),variables,2,0)</f>
        <v>9873</v>
      </c>
      <c r="H4393" s="71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67" t="s">
        <v>1429</v>
      </c>
      <c r="B4394" s="66">
        <f t="shared" si="8953"/>
        <v>18</v>
      </c>
      <c r="C4394" s="66">
        <f t="shared" si="8956"/>
        <v>75</v>
      </c>
      <c r="E4394" s="66">
        <f t="shared" ref="E4394" si="9003">plan_id</f>
        <v>1952</v>
      </c>
      <c r="F4394" s="66">
        <f t="shared" ca="1" si="8919"/>
        <v>2016</v>
      </c>
      <c r="G4394" s="66">
        <f t="shared" ref="G4394" ca="1" si="9004">VLOOKUP(INDIRECT(CHAR(39)&amp;$A4394&amp;CHAR(39)&amp;"!r2c"&amp;$C4394,0),variables,2,0)</f>
        <v>9881</v>
      </c>
      <c r="H4394" s="71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67" t="s">
        <v>1429</v>
      </c>
      <c r="B4395" s="66">
        <f t="shared" si="8953"/>
        <v>18</v>
      </c>
      <c r="C4395" s="66">
        <f t="shared" si="8956"/>
        <v>76</v>
      </c>
      <c r="E4395" s="66">
        <f t="shared" ref="E4395" si="9005">plan_id</f>
        <v>1952</v>
      </c>
      <c r="F4395" s="66">
        <f t="shared" ca="1" si="8919"/>
        <v>2016</v>
      </c>
      <c r="G4395" s="66">
        <f t="shared" ref="G4395" ca="1" si="9006">VLOOKUP(INDIRECT(CHAR(39)&amp;$A4395&amp;CHAR(39)&amp;"!r2c"&amp;$C4395,0),variables,2,0)</f>
        <v>9908</v>
      </c>
      <c r="H4395" s="71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67" t="s">
        <v>1429</v>
      </c>
      <c r="B4396" s="66">
        <f t="shared" si="8953"/>
        <v>18</v>
      </c>
      <c r="C4396" s="66">
        <f t="shared" si="8956"/>
        <v>77</v>
      </c>
      <c r="E4396" s="66">
        <f t="shared" ref="E4396" si="9007">plan_id</f>
        <v>1952</v>
      </c>
      <c r="F4396" s="66">
        <f t="shared" ca="1" si="8919"/>
        <v>2016</v>
      </c>
      <c r="G4396" s="66">
        <f t="shared" ref="G4396" ca="1" si="9008">VLOOKUP(INDIRECT(CHAR(39)&amp;$A4396&amp;CHAR(39)&amp;"!r2c"&amp;$C4396,0),variables,2,0)</f>
        <v>9911</v>
      </c>
      <c r="H4396" s="71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67" t="s">
        <v>1429</v>
      </c>
      <c r="B4397" s="66">
        <f t="shared" si="8953"/>
        <v>18</v>
      </c>
      <c r="C4397" s="66">
        <f t="shared" si="8956"/>
        <v>78</v>
      </c>
      <c r="E4397" s="66">
        <f t="shared" ref="E4397" si="9009">plan_id</f>
        <v>1952</v>
      </c>
      <c r="F4397" s="66">
        <f t="shared" ca="1" si="8919"/>
        <v>2016</v>
      </c>
      <c r="G4397" s="66">
        <f t="shared" ref="G4397" ca="1" si="9010">VLOOKUP(INDIRECT(CHAR(39)&amp;$A4397&amp;CHAR(39)&amp;"!r2c"&amp;$C4397,0),variables,2,0)</f>
        <v>9663</v>
      </c>
      <c r="H4397" s="71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67" t="s">
        <v>1429</v>
      </c>
      <c r="B4398" s="66">
        <f t="shared" si="8953"/>
        <v>18</v>
      </c>
      <c r="C4398" s="66">
        <f t="shared" si="8956"/>
        <v>79</v>
      </c>
      <c r="E4398" s="66">
        <f t="shared" ref="E4398" si="9011">plan_id</f>
        <v>1952</v>
      </c>
      <c r="F4398" s="66">
        <f t="shared" ca="1" si="8919"/>
        <v>2016</v>
      </c>
      <c r="G4398" s="66">
        <f t="shared" ref="G4398" ca="1" si="9012">VLOOKUP(INDIRECT(CHAR(39)&amp;$A4398&amp;CHAR(39)&amp;"!r2c"&amp;$C4398,0),variables,2,0)</f>
        <v>9710</v>
      </c>
      <c r="H4398" s="71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67" t="s">
        <v>1429</v>
      </c>
      <c r="B4399" s="66">
        <f t="shared" si="8953"/>
        <v>18</v>
      </c>
      <c r="C4399" s="66">
        <f t="shared" si="8956"/>
        <v>80</v>
      </c>
      <c r="E4399" s="66">
        <f t="shared" ref="E4399" si="9013">plan_id</f>
        <v>1952</v>
      </c>
      <c r="F4399" s="66">
        <f t="shared" ca="1" si="8919"/>
        <v>2016</v>
      </c>
      <c r="G4399" s="66">
        <f t="shared" ref="G4399" ca="1" si="9014">VLOOKUP(INDIRECT(CHAR(39)&amp;$A4399&amp;CHAR(39)&amp;"!r2c"&amp;$C4399,0),variables,2,0)</f>
        <v>9758</v>
      </c>
      <c r="H4399" s="71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67" t="s">
        <v>1429</v>
      </c>
      <c r="B4400" s="66">
        <f t="shared" si="8953"/>
        <v>18</v>
      </c>
      <c r="C4400" s="66">
        <f t="shared" si="8956"/>
        <v>81</v>
      </c>
      <c r="E4400" s="66">
        <f t="shared" ref="E4400" si="9015">plan_id</f>
        <v>1952</v>
      </c>
      <c r="F4400" s="66">
        <f t="shared" ca="1" si="8919"/>
        <v>2016</v>
      </c>
      <c r="G4400" s="66">
        <f t="shared" ref="G4400" ca="1" si="9016">VLOOKUP(INDIRECT(CHAR(39)&amp;$A4400&amp;CHAR(39)&amp;"!r2c"&amp;$C4400,0),variables,2,0)</f>
        <v>9803</v>
      </c>
      <c r="H4400" s="71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67" t="s">
        <v>1429</v>
      </c>
      <c r="B4401" s="66">
        <f t="shared" si="8953"/>
        <v>18</v>
      </c>
      <c r="C4401" s="66">
        <f t="shared" si="8956"/>
        <v>82</v>
      </c>
      <c r="E4401" s="66">
        <f t="shared" ref="E4401" si="9017">plan_id</f>
        <v>1952</v>
      </c>
      <c r="F4401" s="66">
        <f t="shared" ca="1" si="8919"/>
        <v>2016</v>
      </c>
      <c r="G4401" s="66">
        <f t="shared" ref="G4401" ca="1" si="9018">VLOOKUP(INDIRECT(CHAR(39)&amp;$A4401&amp;CHAR(39)&amp;"!r2c"&amp;$C4401,0),variables,2,0)</f>
        <v>9857</v>
      </c>
      <c r="H4401" s="71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67" t="s">
        <v>1429</v>
      </c>
      <c r="B4402" s="66">
        <f t="shared" si="8953"/>
        <v>18</v>
      </c>
      <c r="C4402" s="66">
        <f t="shared" si="8956"/>
        <v>83</v>
      </c>
      <c r="E4402" s="66">
        <f t="shared" ref="E4402" si="9019">plan_id</f>
        <v>1952</v>
      </c>
      <c r="F4402" s="66">
        <f t="shared" ca="1" si="8919"/>
        <v>2016</v>
      </c>
      <c r="G4402" s="66">
        <f t="shared" ref="G4402" ca="1" si="9020">VLOOKUP(INDIRECT(CHAR(39)&amp;$A4402&amp;CHAR(39)&amp;"!r2c"&amp;$C4402,0),variables,2,0)</f>
        <v>9902</v>
      </c>
      <c r="H4402" s="71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67" t="s">
        <v>1429</v>
      </c>
      <c r="B4403" s="66">
        <f t="shared" si="8953"/>
        <v>18</v>
      </c>
      <c r="C4403" s="66">
        <f t="shared" si="8956"/>
        <v>84</v>
      </c>
      <c r="E4403" s="66">
        <f t="shared" ref="E4403" si="9021">plan_id</f>
        <v>1952</v>
      </c>
      <c r="F4403" s="66">
        <f t="shared" ca="1" si="8919"/>
        <v>2016</v>
      </c>
      <c r="G4403" s="66">
        <f t="shared" ref="G4403" ca="1" si="9022">VLOOKUP(INDIRECT(CHAR(39)&amp;$A4403&amp;CHAR(39)&amp;"!r2c"&amp;$C4403,0),variables,2,0)</f>
        <v>9926</v>
      </c>
      <c r="H4403" s="71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67" t="s">
        <v>1429</v>
      </c>
      <c r="B4404" s="66">
        <f t="shared" si="8953"/>
        <v>18</v>
      </c>
      <c r="C4404" s="66">
        <f t="shared" si="8956"/>
        <v>85</v>
      </c>
      <c r="E4404" s="66">
        <f t="shared" ref="E4404" si="9023">plan_id</f>
        <v>1952</v>
      </c>
      <c r="F4404" s="66">
        <f t="shared" ca="1" si="8919"/>
        <v>2016</v>
      </c>
      <c r="G4404" s="66">
        <f t="shared" ref="G4404" ca="1" si="9024">VLOOKUP(INDIRECT(CHAR(39)&amp;$A4404&amp;CHAR(39)&amp;"!r2c"&amp;$C4404,0),variables,2,0)</f>
        <v>9666</v>
      </c>
      <c r="H4404" s="71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67" t="s">
        <v>1429</v>
      </c>
      <c r="B4405" s="66">
        <f t="shared" si="8953"/>
        <v>18</v>
      </c>
      <c r="C4405" s="66">
        <f t="shared" si="8956"/>
        <v>86</v>
      </c>
      <c r="E4405" s="66">
        <f t="shared" ref="E4405" si="9025">plan_id</f>
        <v>1952</v>
      </c>
      <c r="F4405" s="66">
        <f t="shared" ca="1" si="8919"/>
        <v>2016</v>
      </c>
      <c r="G4405" s="66">
        <f t="shared" ref="G4405" ca="1" si="9026">VLOOKUP(INDIRECT(CHAR(39)&amp;$A4405&amp;CHAR(39)&amp;"!r2c"&amp;$C4405,0),variables,2,0)</f>
        <v>9827</v>
      </c>
      <c r="H4405" s="71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67" t="s">
        <v>1429</v>
      </c>
      <c r="B4406" s="66">
        <f t="shared" si="8953"/>
        <v>18</v>
      </c>
      <c r="C4406" s="66">
        <f t="shared" si="8956"/>
        <v>87</v>
      </c>
      <c r="E4406" s="66">
        <f t="shared" ref="E4406" si="9027">plan_id</f>
        <v>1952</v>
      </c>
      <c r="F4406" s="66">
        <f t="shared" ca="1" si="8919"/>
        <v>2016</v>
      </c>
      <c r="G4406" s="66">
        <f t="shared" ref="G4406" ca="1" si="9028">VLOOKUP(INDIRECT(CHAR(39)&amp;$A4406&amp;CHAR(39)&amp;"!r2c"&amp;$C4406,0),variables,2,0)</f>
        <v>9657</v>
      </c>
      <c r="H4406" s="71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67" t="s">
        <v>1429</v>
      </c>
      <c r="B4407" s="66">
        <f t="shared" si="8953"/>
        <v>18</v>
      </c>
      <c r="C4407" s="66">
        <f t="shared" si="8956"/>
        <v>88</v>
      </c>
      <c r="E4407" s="66">
        <f t="shared" ref="E4407" si="9029">plan_id</f>
        <v>1952</v>
      </c>
      <c r="F4407" s="66">
        <f t="shared" ca="1" si="8919"/>
        <v>2016</v>
      </c>
      <c r="G4407" s="66">
        <f t="shared" ref="G4407" ca="1" si="9030">VLOOKUP(INDIRECT(CHAR(39)&amp;$A4407&amp;CHAR(39)&amp;"!r2c"&amp;$C4407,0),variables,2,0)</f>
        <v>9834</v>
      </c>
      <c r="H4407" s="71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67" t="s">
        <v>1429</v>
      </c>
      <c r="B4408" s="66">
        <f t="shared" si="8953"/>
        <v>18</v>
      </c>
      <c r="C4408" s="66">
        <f t="shared" si="8956"/>
        <v>89</v>
      </c>
      <c r="E4408" s="66">
        <f t="shared" ref="E4408" si="9031">plan_id</f>
        <v>1952</v>
      </c>
      <c r="F4408" s="66">
        <f t="shared" ca="1" si="8919"/>
        <v>2016</v>
      </c>
      <c r="G4408" s="66">
        <f t="shared" ref="G4408" ca="1" si="9032">VLOOKUP(INDIRECT(CHAR(39)&amp;$A4408&amp;CHAR(39)&amp;"!r2c"&amp;$C4408,0),variables,2,0)</f>
        <v>9884</v>
      </c>
      <c r="H4408" s="71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67" t="s">
        <v>1429</v>
      </c>
      <c r="B4409" s="66">
        <f t="shared" si="8953"/>
        <v>18</v>
      </c>
      <c r="C4409" s="66">
        <f t="shared" si="8956"/>
        <v>90</v>
      </c>
      <c r="E4409" s="66">
        <f t="shared" ref="E4409" si="9033">plan_id</f>
        <v>1952</v>
      </c>
      <c r="F4409" s="66">
        <f t="shared" ca="1" si="8919"/>
        <v>2016</v>
      </c>
      <c r="G4409" s="66">
        <f t="shared" ref="G4409" ca="1" si="9034">VLOOKUP(INDIRECT(CHAR(39)&amp;$A4409&amp;CHAR(39)&amp;"!r2c"&amp;$C4409,0),variables,2,0)</f>
        <v>9672</v>
      </c>
      <c r="H4409" s="71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67" t="s">
        <v>1429</v>
      </c>
      <c r="B4410" s="66">
        <f t="shared" si="8953"/>
        <v>19</v>
      </c>
      <c r="C4410" s="66">
        <f t="shared" si="8956"/>
        <v>3</v>
      </c>
      <c r="E4410" s="66">
        <f t="shared" ref="E4410" si="9035">plan_id</f>
        <v>1952</v>
      </c>
      <c r="F4410" s="66">
        <f t="shared" ca="1" si="8919"/>
        <v>2017</v>
      </c>
      <c r="G4410" s="66">
        <f t="shared" ref="G4410" ca="1" si="9036">VLOOKUP(INDIRECT(CHAR(39)&amp;$A4410&amp;CHAR(39)&amp;"!r2c"&amp;$C4410,0),variables,2,0)</f>
        <v>9704</v>
      </c>
      <c r="H4410" s="71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67" t="s">
        <v>1429</v>
      </c>
      <c r="B4411" s="66">
        <f t="shared" si="8953"/>
        <v>19</v>
      </c>
      <c r="C4411" s="66">
        <f t="shared" si="8956"/>
        <v>4</v>
      </c>
      <c r="E4411" s="66">
        <f t="shared" ref="E4411" si="9037">plan_id</f>
        <v>1952</v>
      </c>
      <c r="F4411" s="66">
        <f t="shared" ca="1" si="8919"/>
        <v>2017</v>
      </c>
      <c r="G4411" s="66">
        <f t="shared" ref="G4411" ca="1" si="9038">VLOOKUP(INDIRECT(CHAR(39)&amp;$A4411&amp;CHAR(39)&amp;"!r2c"&amp;$C4411,0),variables,2,0)</f>
        <v>9716</v>
      </c>
      <c r="H4411" s="71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67" t="s">
        <v>1429</v>
      </c>
      <c r="B4412" s="66">
        <f t="shared" si="8953"/>
        <v>19</v>
      </c>
      <c r="C4412" s="66">
        <f t="shared" si="8956"/>
        <v>5</v>
      </c>
      <c r="E4412" s="66">
        <f t="shared" ref="E4412" si="9039">plan_id</f>
        <v>1952</v>
      </c>
      <c r="F4412" s="66">
        <f t="shared" ca="1" si="8919"/>
        <v>2017</v>
      </c>
      <c r="G4412" s="66">
        <f t="shared" ref="G4412" ca="1" si="9040">VLOOKUP(INDIRECT(CHAR(39)&amp;$A4412&amp;CHAR(39)&amp;"!r2c"&amp;$C4412,0),variables,2,0)</f>
        <v>9734</v>
      </c>
      <c r="H4412" s="71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67" t="s">
        <v>1429</v>
      </c>
      <c r="B4413" s="66">
        <f t="shared" si="8953"/>
        <v>19</v>
      </c>
      <c r="C4413" s="66">
        <f t="shared" si="8956"/>
        <v>6</v>
      </c>
      <c r="E4413" s="66">
        <f t="shared" ref="E4413" si="9041">plan_id</f>
        <v>1952</v>
      </c>
      <c r="F4413" s="66">
        <f t="shared" ca="1" si="8919"/>
        <v>2017</v>
      </c>
      <c r="G4413" s="66">
        <f t="shared" ref="G4413" ca="1" si="9042">VLOOKUP(INDIRECT(CHAR(39)&amp;$A4413&amp;CHAR(39)&amp;"!r2c"&amp;$C4413,0),variables,2,0)</f>
        <v>9749</v>
      </c>
      <c r="H4413" s="71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67" t="s">
        <v>1429</v>
      </c>
      <c r="B4414" s="66">
        <f t="shared" si="8953"/>
        <v>19</v>
      </c>
      <c r="C4414" s="66">
        <f t="shared" si="8956"/>
        <v>7</v>
      </c>
      <c r="E4414" s="66">
        <f t="shared" ref="E4414" si="9043">plan_id</f>
        <v>1952</v>
      </c>
      <c r="F4414" s="66">
        <f t="shared" ca="1" si="8919"/>
        <v>2017</v>
      </c>
      <c r="G4414" s="66">
        <f t="shared" ref="G4414" ca="1" si="9044">VLOOKUP(INDIRECT(CHAR(39)&amp;$A4414&amp;CHAR(39)&amp;"!r2c"&amp;$C4414,0),variables,2,0)</f>
        <v>9755</v>
      </c>
      <c r="H4414" s="71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67" t="s">
        <v>1429</v>
      </c>
      <c r="B4415" s="66">
        <f t="shared" si="8953"/>
        <v>19</v>
      </c>
      <c r="C4415" s="66">
        <f t="shared" si="8956"/>
        <v>8</v>
      </c>
      <c r="E4415" s="66">
        <f t="shared" ref="E4415" si="9045">plan_id</f>
        <v>1952</v>
      </c>
      <c r="F4415" s="66">
        <f t="shared" ca="1" si="8919"/>
        <v>2017</v>
      </c>
      <c r="G4415" s="66">
        <f t="shared" ref="G4415" ca="1" si="9046">VLOOKUP(INDIRECT(CHAR(39)&amp;$A4415&amp;CHAR(39)&amp;"!r2c"&amp;$C4415,0),variables,2,0)</f>
        <v>9782</v>
      </c>
      <c r="H4415" s="71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67" t="s">
        <v>1429</v>
      </c>
      <c r="B4416" s="66">
        <f t="shared" si="8953"/>
        <v>19</v>
      </c>
      <c r="C4416" s="66">
        <f t="shared" si="8956"/>
        <v>9</v>
      </c>
      <c r="E4416" s="66">
        <f t="shared" ref="E4416" si="9047">plan_id</f>
        <v>1952</v>
      </c>
      <c r="F4416" s="66">
        <f t="shared" ca="1" si="8919"/>
        <v>2017</v>
      </c>
      <c r="G4416" s="66">
        <f t="shared" ref="G4416" ca="1" si="9048">VLOOKUP(INDIRECT(CHAR(39)&amp;$A4416&amp;CHAR(39)&amp;"!r2c"&amp;$C4416,0),variables,2,0)</f>
        <v>9788</v>
      </c>
      <c r="H4416" s="71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67" t="s">
        <v>1429</v>
      </c>
      <c r="B4417" s="66">
        <f t="shared" si="8953"/>
        <v>19</v>
      </c>
      <c r="C4417" s="66">
        <f t="shared" si="8956"/>
        <v>10</v>
      </c>
      <c r="E4417" s="66">
        <f t="shared" ref="E4417" si="9049">plan_id</f>
        <v>1952</v>
      </c>
      <c r="F4417" s="66">
        <f t="shared" ref="F4417:F4480" ca="1" si="9050">INDIRECT(CHAR(39)&amp;$A4417&amp;CHAR(39)&amp;"!r"&amp;$B4417&amp;"c2",0)</f>
        <v>2017</v>
      </c>
      <c r="G4417" s="66">
        <f t="shared" ref="G4417" ca="1" si="9051">VLOOKUP(INDIRECT(CHAR(39)&amp;$A4417&amp;CHAR(39)&amp;"!r2c"&amp;$C4417,0),variables,2,0)</f>
        <v>9812</v>
      </c>
      <c r="H4417" s="71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67" t="s">
        <v>1429</v>
      </c>
      <c r="B4418" s="66">
        <f t="shared" si="8953"/>
        <v>19</v>
      </c>
      <c r="C4418" s="66">
        <f t="shared" si="8956"/>
        <v>11</v>
      </c>
      <c r="E4418" s="66">
        <f t="shared" ref="E4418" si="9052">plan_id</f>
        <v>1952</v>
      </c>
      <c r="F4418" s="66">
        <f t="shared" ca="1" si="9050"/>
        <v>2017</v>
      </c>
      <c r="G4418" s="66">
        <f t="shared" ref="G4418" ca="1" si="9053">VLOOKUP(INDIRECT(CHAR(39)&amp;$A4418&amp;CHAR(39)&amp;"!r2c"&amp;$C4418,0),variables,2,0)</f>
        <v>9815</v>
      </c>
      <c r="H4418" s="71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67" t="s">
        <v>1429</v>
      </c>
      <c r="B4419" s="66">
        <f t="shared" si="8953"/>
        <v>19</v>
      </c>
      <c r="C4419" s="66">
        <f t="shared" si="8956"/>
        <v>12</v>
      </c>
      <c r="E4419" s="66">
        <f t="shared" ref="E4419" si="9054">plan_id</f>
        <v>1952</v>
      </c>
      <c r="F4419" s="66">
        <f t="shared" ca="1" si="9050"/>
        <v>2017</v>
      </c>
      <c r="G4419" s="66">
        <f t="shared" ref="G4419" ca="1" si="9055">VLOOKUP(INDIRECT(CHAR(39)&amp;$A4419&amp;CHAR(39)&amp;"!r2c"&amp;$C4419,0),variables,2,0)</f>
        <v>9821</v>
      </c>
      <c r="H4419" s="71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67" t="s">
        <v>1429</v>
      </c>
      <c r="B4420" s="66">
        <f t="shared" si="8953"/>
        <v>19</v>
      </c>
      <c r="C4420" s="66">
        <f t="shared" si="8956"/>
        <v>13</v>
      </c>
      <c r="E4420" s="66">
        <f t="shared" ref="E4420" si="9056">plan_id</f>
        <v>1952</v>
      </c>
      <c r="F4420" s="66">
        <f t="shared" ca="1" si="9050"/>
        <v>2017</v>
      </c>
      <c r="G4420" s="66">
        <f t="shared" ref="G4420" ca="1" si="9057">VLOOKUP(INDIRECT(CHAR(39)&amp;$A4420&amp;CHAR(39)&amp;"!r2c"&amp;$C4420,0),variables,2,0)</f>
        <v>9824</v>
      </c>
      <c r="H4420" s="71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67" t="s">
        <v>1429</v>
      </c>
      <c r="B4421" s="66">
        <f t="shared" si="8953"/>
        <v>19</v>
      </c>
      <c r="C4421" s="66">
        <f t="shared" si="8956"/>
        <v>14</v>
      </c>
      <c r="E4421" s="66">
        <f t="shared" ref="E4421" si="9058">plan_id</f>
        <v>1952</v>
      </c>
      <c r="F4421" s="66">
        <f t="shared" ca="1" si="9050"/>
        <v>2017</v>
      </c>
      <c r="G4421" s="66">
        <f t="shared" ref="G4421" ca="1" si="9059">VLOOKUP(INDIRECT(CHAR(39)&amp;$A4421&amp;CHAR(39)&amp;"!r2c"&amp;$C4421,0),variables,2,0)</f>
        <v>9830</v>
      </c>
      <c r="H4421" s="71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67" t="s">
        <v>1429</v>
      </c>
      <c r="B4422" s="66">
        <f t="shared" si="8953"/>
        <v>19</v>
      </c>
      <c r="C4422" s="66">
        <f t="shared" si="8956"/>
        <v>15</v>
      </c>
      <c r="E4422" s="66">
        <f t="shared" ref="E4422" si="9060">plan_id</f>
        <v>1952</v>
      </c>
      <c r="F4422" s="66">
        <f t="shared" ca="1" si="9050"/>
        <v>2017</v>
      </c>
      <c r="G4422" s="66">
        <f t="shared" ref="G4422" ca="1" si="9061">VLOOKUP(INDIRECT(CHAR(39)&amp;$A4422&amp;CHAR(39)&amp;"!r2c"&amp;$C4422,0),variables,2,0)</f>
        <v>9833</v>
      </c>
      <c r="H4422" s="71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67" t="s">
        <v>1429</v>
      </c>
      <c r="B4423" s="66">
        <f t="shared" si="8953"/>
        <v>19</v>
      </c>
      <c r="C4423" s="66">
        <f t="shared" si="8956"/>
        <v>16</v>
      </c>
      <c r="E4423" s="66">
        <f t="shared" ref="E4423" si="9062">plan_id</f>
        <v>1952</v>
      </c>
      <c r="F4423" s="66">
        <f t="shared" ca="1" si="9050"/>
        <v>2017</v>
      </c>
      <c r="G4423" s="66">
        <f t="shared" ref="G4423" ca="1" si="9063">VLOOKUP(INDIRECT(CHAR(39)&amp;$A4423&amp;CHAR(39)&amp;"!r2c"&amp;$C4423,0),variables,2,0)</f>
        <v>9845</v>
      </c>
      <c r="H4423" s="71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67" t="s">
        <v>1429</v>
      </c>
      <c r="B4424" s="66">
        <f t="shared" si="8953"/>
        <v>19</v>
      </c>
      <c r="C4424" s="66">
        <f t="shared" si="8956"/>
        <v>17</v>
      </c>
      <c r="E4424" s="66">
        <f t="shared" ref="E4424" si="9064">plan_id</f>
        <v>1952</v>
      </c>
      <c r="F4424" s="66">
        <f t="shared" ca="1" si="9050"/>
        <v>2017</v>
      </c>
      <c r="G4424" s="66">
        <f t="shared" ref="G4424" ca="1" si="9065">VLOOKUP(INDIRECT(CHAR(39)&amp;$A4424&amp;CHAR(39)&amp;"!r2c"&amp;$C4424,0),variables,2,0)</f>
        <v>9872</v>
      </c>
      <c r="H4424" s="71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67" t="s">
        <v>1429</v>
      </c>
      <c r="B4425" s="66">
        <f t="shared" si="8953"/>
        <v>19</v>
      </c>
      <c r="C4425" s="66">
        <f t="shared" si="8956"/>
        <v>18</v>
      </c>
      <c r="E4425" s="66">
        <f t="shared" ref="E4425" si="9066">plan_id</f>
        <v>1952</v>
      </c>
      <c r="F4425" s="66">
        <f t="shared" ca="1" si="9050"/>
        <v>2017</v>
      </c>
      <c r="G4425" s="66">
        <f t="shared" ref="G4425" ca="1" si="9067">VLOOKUP(INDIRECT(CHAR(39)&amp;$A4425&amp;CHAR(39)&amp;"!r2c"&amp;$C4425,0),variables,2,0)</f>
        <v>9887</v>
      </c>
      <c r="H4425" s="71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67" t="s">
        <v>1429</v>
      </c>
      <c r="B4426" s="66">
        <f t="shared" si="8953"/>
        <v>19</v>
      </c>
      <c r="C4426" s="66">
        <f t="shared" si="8956"/>
        <v>19</v>
      </c>
      <c r="E4426" s="66">
        <f t="shared" ref="E4426" si="9068">plan_id</f>
        <v>1952</v>
      </c>
      <c r="F4426" s="66">
        <f t="shared" ca="1" si="9050"/>
        <v>2017</v>
      </c>
      <c r="G4426" s="66">
        <f t="shared" ref="G4426" ca="1" si="9069">VLOOKUP(INDIRECT(CHAR(39)&amp;$A4426&amp;CHAR(39)&amp;"!r2c"&amp;$C4426,0),variables,2,0)</f>
        <v>9914</v>
      </c>
      <c r="H4426" s="71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67" t="s">
        <v>1429</v>
      </c>
      <c r="B4427" s="66">
        <f t="shared" si="8953"/>
        <v>19</v>
      </c>
      <c r="C4427" s="66">
        <f t="shared" si="8956"/>
        <v>20</v>
      </c>
      <c r="E4427" s="66">
        <f t="shared" ref="E4427" si="9070">plan_id</f>
        <v>1952</v>
      </c>
      <c r="F4427" s="66">
        <f t="shared" ca="1" si="9050"/>
        <v>2017</v>
      </c>
      <c r="G4427" s="66">
        <f t="shared" ref="G4427" ca="1" si="9071">VLOOKUP(INDIRECT(CHAR(39)&amp;$A4427&amp;CHAR(39)&amp;"!r2c"&amp;$C4427,0),variables,2,0)</f>
        <v>9917</v>
      </c>
      <c r="H4427" s="71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67" t="s">
        <v>1429</v>
      </c>
      <c r="B4428" s="66">
        <f t="shared" si="8953"/>
        <v>19</v>
      </c>
      <c r="C4428" s="66">
        <f t="shared" si="8956"/>
        <v>21</v>
      </c>
      <c r="E4428" s="66">
        <f t="shared" ref="E4428" si="9072">plan_id</f>
        <v>1952</v>
      </c>
      <c r="F4428" s="66">
        <f t="shared" ca="1" si="9050"/>
        <v>2017</v>
      </c>
      <c r="G4428" s="66">
        <f t="shared" ref="G4428" ca="1" si="9073">VLOOKUP(INDIRECT(CHAR(39)&amp;$A4428&amp;CHAR(39)&amp;"!r2c"&amp;$C4428,0),variables,2,0)</f>
        <v>9920</v>
      </c>
      <c r="H4428" s="71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67" t="s">
        <v>1429</v>
      </c>
      <c r="B4429" s="66">
        <f t="shared" si="8953"/>
        <v>19</v>
      </c>
      <c r="C4429" s="66">
        <f t="shared" si="8956"/>
        <v>22</v>
      </c>
      <c r="E4429" s="66">
        <f t="shared" ref="E4429" si="9074">plan_id</f>
        <v>1952</v>
      </c>
      <c r="F4429" s="66">
        <f t="shared" ca="1" si="9050"/>
        <v>2017</v>
      </c>
      <c r="G4429" s="66">
        <f t="shared" ref="G4429" ca="1" si="9075">VLOOKUP(INDIRECT(CHAR(39)&amp;$A4429&amp;CHAR(39)&amp;"!r2c"&amp;$C4429,0),variables,2,0)</f>
        <v>9648</v>
      </c>
      <c r="H4429" s="71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67" t="s">
        <v>1429</v>
      </c>
      <c r="B4430" s="66">
        <f t="shared" si="8953"/>
        <v>19</v>
      </c>
      <c r="C4430" s="66">
        <f t="shared" si="8956"/>
        <v>23</v>
      </c>
      <c r="E4430" s="66">
        <f t="shared" ref="E4430" si="9076">plan_id</f>
        <v>1952</v>
      </c>
      <c r="F4430" s="66">
        <f t="shared" ca="1" si="9050"/>
        <v>2017</v>
      </c>
      <c r="G4430" s="66">
        <f t="shared" ref="G4430" ca="1" si="9077">VLOOKUP(INDIRECT(CHAR(39)&amp;$A4430&amp;CHAR(39)&amp;"!r2c"&amp;$C4430,0),variables,2,0)</f>
        <v>9713</v>
      </c>
      <c r="H4430" s="71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67" t="s">
        <v>1429</v>
      </c>
      <c r="B4431" s="66">
        <f t="shared" si="8953"/>
        <v>19</v>
      </c>
      <c r="C4431" s="66">
        <f t="shared" si="8956"/>
        <v>24</v>
      </c>
      <c r="E4431" s="66">
        <f t="shared" ref="E4431" si="9078">plan_id</f>
        <v>1952</v>
      </c>
      <c r="F4431" s="66">
        <f t="shared" ca="1" si="9050"/>
        <v>2017</v>
      </c>
      <c r="G4431" s="66">
        <f t="shared" ref="G4431" ca="1" si="9079">VLOOKUP(INDIRECT(CHAR(39)&amp;$A4431&amp;CHAR(39)&amp;"!r2c"&amp;$C4431,0),variables,2,0)</f>
        <v>9719</v>
      </c>
      <c r="H4431" s="71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67" t="s">
        <v>1429</v>
      </c>
      <c r="B4432" s="66">
        <f t="shared" si="8953"/>
        <v>19</v>
      </c>
      <c r="C4432" s="66">
        <f t="shared" si="8956"/>
        <v>25</v>
      </c>
      <c r="E4432" s="66">
        <f t="shared" ref="E4432" si="9080">plan_id</f>
        <v>1952</v>
      </c>
      <c r="F4432" s="66">
        <f t="shared" ca="1" si="9050"/>
        <v>2017</v>
      </c>
      <c r="G4432" s="66">
        <f t="shared" ref="G4432" ca="1" si="9081">VLOOKUP(INDIRECT(CHAR(39)&amp;$A4432&amp;CHAR(39)&amp;"!r2c"&amp;$C4432,0),variables,2,0)</f>
        <v>9725</v>
      </c>
      <c r="H4432" s="71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67" t="s">
        <v>1429</v>
      </c>
      <c r="B4433" s="66">
        <f t="shared" si="8953"/>
        <v>19</v>
      </c>
      <c r="C4433" s="66">
        <f t="shared" si="8956"/>
        <v>26</v>
      </c>
      <c r="E4433" s="66">
        <f t="shared" ref="E4433" si="9082">plan_id</f>
        <v>1952</v>
      </c>
      <c r="F4433" s="66">
        <f t="shared" ca="1" si="9050"/>
        <v>2017</v>
      </c>
      <c r="G4433" s="66">
        <f t="shared" ref="G4433" ca="1" si="9083">VLOOKUP(INDIRECT(CHAR(39)&amp;$A4433&amp;CHAR(39)&amp;"!r2c"&amp;$C4433,0),variables,2,0)</f>
        <v>9743</v>
      </c>
      <c r="H4433" s="71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67" t="s">
        <v>1429</v>
      </c>
      <c r="B4434" s="66">
        <f t="shared" ref="B4434:B4497" si="9084">B4346+1</f>
        <v>19</v>
      </c>
      <c r="C4434" s="66">
        <f t="shared" si="8956"/>
        <v>27</v>
      </c>
      <c r="E4434" s="66">
        <f t="shared" ref="E4434" si="9085">plan_id</f>
        <v>1952</v>
      </c>
      <c r="F4434" s="66">
        <f t="shared" ca="1" si="9050"/>
        <v>2017</v>
      </c>
      <c r="G4434" s="66">
        <f t="shared" ref="G4434" ca="1" si="9086">VLOOKUP(INDIRECT(CHAR(39)&amp;$A4434&amp;CHAR(39)&amp;"!r2c"&amp;$C4434,0),variables,2,0)</f>
        <v>9746</v>
      </c>
      <c r="H4434" s="71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67" t="s">
        <v>1429</v>
      </c>
      <c r="B4435" s="66">
        <f t="shared" si="9084"/>
        <v>19</v>
      </c>
      <c r="C4435" s="66">
        <f t="shared" ref="C4435:C4498" si="9087">C4347</f>
        <v>28</v>
      </c>
      <c r="E4435" s="66">
        <f t="shared" ref="E4435" si="9088">plan_id</f>
        <v>1952</v>
      </c>
      <c r="F4435" s="66">
        <f t="shared" ca="1" si="9050"/>
        <v>2017</v>
      </c>
      <c r="G4435" s="66">
        <f t="shared" ref="G4435" ca="1" si="9089">VLOOKUP(INDIRECT(CHAR(39)&amp;$A4435&amp;CHAR(39)&amp;"!r2c"&amp;$C4435,0),variables,2,0)</f>
        <v>9761</v>
      </c>
      <c r="H4435" s="71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67" t="s">
        <v>1429</v>
      </c>
      <c r="B4436" s="66">
        <f t="shared" si="9084"/>
        <v>19</v>
      </c>
      <c r="C4436" s="66">
        <f t="shared" si="9087"/>
        <v>29</v>
      </c>
      <c r="E4436" s="66">
        <f t="shared" ref="E4436" si="9090">plan_id</f>
        <v>1952</v>
      </c>
      <c r="F4436" s="66">
        <f t="shared" ca="1" si="9050"/>
        <v>2017</v>
      </c>
      <c r="G4436" s="66">
        <f t="shared" ref="G4436" ca="1" si="9091">VLOOKUP(INDIRECT(CHAR(39)&amp;$A4436&amp;CHAR(39)&amp;"!r2c"&amp;$C4436,0),variables,2,0)</f>
        <v>9764</v>
      </c>
      <c r="H4436" s="71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67" t="s">
        <v>1429</v>
      </c>
      <c r="B4437" s="66">
        <f t="shared" si="9084"/>
        <v>19</v>
      </c>
      <c r="C4437" s="66">
        <f t="shared" si="9087"/>
        <v>30</v>
      </c>
      <c r="E4437" s="66">
        <f t="shared" ref="E4437" si="9092">plan_id</f>
        <v>1952</v>
      </c>
      <c r="F4437" s="66">
        <f t="shared" ca="1" si="9050"/>
        <v>2017</v>
      </c>
      <c r="G4437" s="66">
        <f t="shared" ref="G4437" ca="1" si="9093">VLOOKUP(INDIRECT(CHAR(39)&amp;$A4437&amp;CHAR(39)&amp;"!r2c"&amp;$C4437,0),variables,2,0)</f>
        <v>9767</v>
      </c>
      <c r="H4437" s="71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67" t="s">
        <v>1429</v>
      </c>
      <c r="B4438" s="66">
        <f t="shared" si="9084"/>
        <v>19</v>
      </c>
      <c r="C4438" s="66">
        <f t="shared" si="9087"/>
        <v>31</v>
      </c>
      <c r="E4438" s="66">
        <f t="shared" ref="E4438" si="9094">plan_id</f>
        <v>1952</v>
      </c>
      <c r="F4438" s="66">
        <f t="shared" ca="1" si="9050"/>
        <v>2017</v>
      </c>
      <c r="G4438" s="66">
        <f t="shared" ref="G4438" ca="1" si="9095">VLOOKUP(INDIRECT(CHAR(39)&amp;$A4438&amp;CHAR(39)&amp;"!r2c"&amp;$C4438,0),variables,2,0)</f>
        <v>9770</v>
      </c>
      <c r="H4438" s="71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67" t="s">
        <v>1429</v>
      </c>
      <c r="B4439" s="66">
        <f t="shared" si="9084"/>
        <v>19</v>
      </c>
      <c r="C4439" s="66">
        <f t="shared" si="9087"/>
        <v>32</v>
      </c>
      <c r="E4439" s="66">
        <f t="shared" ref="E4439" si="9096">plan_id</f>
        <v>1952</v>
      </c>
      <c r="F4439" s="66">
        <f t="shared" ca="1" si="9050"/>
        <v>2017</v>
      </c>
      <c r="G4439" s="66">
        <f t="shared" ref="G4439" ca="1" si="9097">VLOOKUP(INDIRECT(CHAR(39)&amp;$A4439&amp;CHAR(39)&amp;"!r2c"&amp;$C4439,0),variables,2,0)</f>
        <v>9773</v>
      </c>
      <c r="H4439" s="71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67" t="s">
        <v>1429</v>
      </c>
      <c r="B4440" s="66">
        <f t="shared" si="9084"/>
        <v>19</v>
      </c>
      <c r="C4440" s="66">
        <f t="shared" si="9087"/>
        <v>33</v>
      </c>
      <c r="E4440" s="66">
        <f t="shared" ref="E4440" si="9098">plan_id</f>
        <v>1952</v>
      </c>
      <c r="F4440" s="66">
        <f t="shared" ca="1" si="9050"/>
        <v>2017</v>
      </c>
      <c r="G4440" s="66">
        <f t="shared" ref="G4440" ca="1" si="9099">VLOOKUP(INDIRECT(CHAR(39)&amp;$A4440&amp;CHAR(39)&amp;"!r2c"&amp;$C4440,0),variables,2,0)</f>
        <v>9776</v>
      </c>
      <c r="H4440" s="71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67" t="s">
        <v>1429</v>
      </c>
      <c r="B4441" s="66">
        <f t="shared" si="9084"/>
        <v>19</v>
      </c>
      <c r="C4441" s="66">
        <f t="shared" si="9087"/>
        <v>34</v>
      </c>
      <c r="E4441" s="66">
        <f t="shared" ref="E4441" si="9100">plan_id</f>
        <v>1952</v>
      </c>
      <c r="F4441" s="66">
        <f t="shared" ca="1" si="9050"/>
        <v>2017</v>
      </c>
      <c r="G4441" s="66">
        <f t="shared" ref="G4441" ca="1" si="9101">VLOOKUP(INDIRECT(CHAR(39)&amp;$A4441&amp;CHAR(39)&amp;"!r2c"&amp;$C4441,0),variables,2,0)</f>
        <v>9779</v>
      </c>
      <c r="H4441" s="71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67" t="s">
        <v>1429</v>
      </c>
      <c r="B4442" s="66">
        <f t="shared" si="9084"/>
        <v>19</v>
      </c>
      <c r="C4442" s="66">
        <f t="shared" si="9087"/>
        <v>35</v>
      </c>
      <c r="E4442" s="66">
        <f t="shared" ref="E4442" si="9102">plan_id</f>
        <v>1952</v>
      </c>
      <c r="F4442" s="66">
        <f t="shared" ca="1" si="9050"/>
        <v>2017</v>
      </c>
      <c r="G4442" s="66">
        <f t="shared" ref="G4442" ca="1" si="9103">VLOOKUP(INDIRECT(CHAR(39)&amp;$A4442&amp;CHAR(39)&amp;"!r2c"&amp;$C4442,0),variables,2,0)</f>
        <v>9785</v>
      </c>
      <c r="H4442" s="71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67" t="s">
        <v>1429</v>
      </c>
      <c r="B4443" s="66">
        <f t="shared" si="9084"/>
        <v>19</v>
      </c>
      <c r="C4443" s="66">
        <f t="shared" si="9087"/>
        <v>36</v>
      </c>
      <c r="E4443" s="66">
        <f t="shared" ref="E4443" si="9104">plan_id</f>
        <v>1952</v>
      </c>
      <c r="F4443" s="66">
        <f t="shared" ca="1" si="9050"/>
        <v>2017</v>
      </c>
      <c r="G4443" s="66">
        <f t="shared" ref="G4443" ca="1" si="9105">VLOOKUP(INDIRECT(CHAR(39)&amp;$A4443&amp;CHAR(39)&amp;"!r2c"&amp;$C4443,0),variables,2,0)</f>
        <v>9794</v>
      </c>
      <c r="H4443" s="71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67" t="s">
        <v>1429</v>
      </c>
      <c r="B4444" s="66">
        <f t="shared" si="9084"/>
        <v>19</v>
      </c>
      <c r="C4444" s="66">
        <f t="shared" si="9087"/>
        <v>37</v>
      </c>
      <c r="E4444" s="66">
        <f t="shared" ref="E4444" si="9106">plan_id</f>
        <v>1952</v>
      </c>
      <c r="F4444" s="66">
        <f t="shared" ca="1" si="9050"/>
        <v>2017</v>
      </c>
      <c r="G4444" s="66">
        <f t="shared" ref="G4444" ca="1" si="9107">VLOOKUP(INDIRECT(CHAR(39)&amp;$A4444&amp;CHAR(39)&amp;"!r2c"&amp;$C4444,0),variables,2,0)</f>
        <v>9797</v>
      </c>
      <c r="H4444" s="71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67" t="s">
        <v>1429</v>
      </c>
      <c r="B4445" s="66">
        <f t="shared" si="9084"/>
        <v>19</v>
      </c>
      <c r="C4445" s="66">
        <f t="shared" si="9087"/>
        <v>38</v>
      </c>
      <c r="E4445" s="66">
        <f t="shared" ref="E4445" si="9108">plan_id</f>
        <v>1952</v>
      </c>
      <c r="F4445" s="66">
        <f t="shared" ca="1" si="9050"/>
        <v>2017</v>
      </c>
      <c r="G4445" s="66">
        <f t="shared" ref="G4445" ca="1" si="9109">VLOOKUP(INDIRECT(CHAR(39)&amp;$A4445&amp;CHAR(39)&amp;"!r2c"&amp;$C4445,0),variables,2,0)</f>
        <v>9806</v>
      </c>
      <c r="H4445" s="71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67" t="s">
        <v>1429</v>
      </c>
      <c r="B4446" s="66">
        <f t="shared" si="9084"/>
        <v>19</v>
      </c>
      <c r="C4446" s="66">
        <f t="shared" si="9087"/>
        <v>39</v>
      </c>
      <c r="E4446" s="66">
        <f t="shared" ref="E4446" si="9110">plan_id</f>
        <v>1952</v>
      </c>
      <c r="F4446" s="66">
        <f t="shared" ca="1" si="9050"/>
        <v>2017</v>
      </c>
      <c r="G4446" s="66">
        <f t="shared" ref="G4446" ca="1" si="9111">VLOOKUP(INDIRECT(CHAR(39)&amp;$A4446&amp;CHAR(39)&amp;"!r2c"&amp;$C4446,0),variables,2,0)</f>
        <v>9809</v>
      </c>
      <c r="H4446" s="71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67" t="s">
        <v>1429</v>
      </c>
      <c r="B4447" s="66">
        <f t="shared" si="9084"/>
        <v>19</v>
      </c>
      <c r="C4447" s="66">
        <f t="shared" si="9087"/>
        <v>40</v>
      </c>
      <c r="E4447" s="66">
        <f t="shared" ref="E4447" si="9112">plan_id</f>
        <v>1952</v>
      </c>
      <c r="F4447" s="66">
        <f t="shared" ca="1" si="9050"/>
        <v>2017</v>
      </c>
      <c r="G4447" s="66">
        <f t="shared" ref="G4447" ca="1" si="9113">VLOOKUP(INDIRECT(CHAR(39)&amp;$A4447&amp;CHAR(39)&amp;"!r2c"&amp;$C4447,0),variables,2,0)</f>
        <v>9818</v>
      </c>
      <c r="H4447" s="71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67" t="s">
        <v>1429</v>
      </c>
      <c r="B4448" s="66">
        <f t="shared" si="9084"/>
        <v>19</v>
      </c>
      <c r="C4448" s="66">
        <f t="shared" si="9087"/>
        <v>41</v>
      </c>
      <c r="E4448" s="66">
        <f t="shared" ref="E4448" si="9114">plan_id</f>
        <v>1952</v>
      </c>
      <c r="F4448" s="66">
        <f t="shared" ca="1" si="9050"/>
        <v>2017</v>
      </c>
      <c r="G4448" s="66">
        <f t="shared" ref="G4448" ca="1" si="9115">VLOOKUP(INDIRECT(CHAR(39)&amp;$A4448&amp;CHAR(39)&amp;"!r2c"&amp;$C4448,0),variables,2,0)</f>
        <v>9839</v>
      </c>
      <c r="H4448" s="71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67" t="s">
        <v>1429</v>
      </c>
      <c r="B4449" s="66">
        <f t="shared" si="9084"/>
        <v>19</v>
      </c>
      <c r="C4449" s="66">
        <f t="shared" si="9087"/>
        <v>42</v>
      </c>
      <c r="E4449" s="66">
        <f t="shared" ref="E4449" si="9116">plan_id</f>
        <v>1952</v>
      </c>
      <c r="F4449" s="66">
        <f t="shared" ca="1" si="9050"/>
        <v>2017</v>
      </c>
      <c r="G4449" s="66">
        <f t="shared" ref="G4449" ca="1" si="9117">VLOOKUP(INDIRECT(CHAR(39)&amp;$A4449&amp;CHAR(39)&amp;"!r2c"&amp;$C4449,0),variables,2,0)</f>
        <v>9860</v>
      </c>
      <c r="H4449" s="71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67" t="s">
        <v>1429</v>
      </c>
      <c r="B4450" s="66">
        <f t="shared" si="9084"/>
        <v>19</v>
      </c>
      <c r="C4450" s="66">
        <f t="shared" si="9087"/>
        <v>43</v>
      </c>
      <c r="E4450" s="66">
        <f t="shared" ref="E4450" si="9118">plan_id</f>
        <v>1952</v>
      </c>
      <c r="F4450" s="66">
        <f t="shared" ca="1" si="9050"/>
        <v>2017</v>
      </c>
      <c r="G4450" s="66">
        <f t="shared" ref="G4450" ca="1" si="9119">VLOOKUP(INDIRECT(CHAR(39)&amp;$A4450&amp;CHAR(39)&amp;"!r2c"&amp;$C4450,0),variables,2,0)</f>
        <v>9863</v>
      </c>
      <c r="H4450" s="71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67" t="s">
        <v>1429</v>
      </c>
      <c r="B4451" s="66">
        <f t="shared" si="9084"/>
        <v>19</v>
      </c>
      <c r="C4451" s="66">
        <f t="shared" si="9087"/>
        <v>44</v>
      </c>
      <c r="E4451" s="66">
        <f t="shared" ref="E4451" si="9120">plan_id</f>
        <v>1952</v>
      </c>
      <c r="F4451" s="66">
        <f t="shared" ca="1" si="9050"/>
        <v>2017</v>
      </c>
      <c r="G4451" s="66">
        <f t="shared" ref="G4451" ca="1" si="9121">VLOOKUP(INDIRECT(CHAR(39)&amp;$A4451&amp;CHAR(39)&amp;"!r2c"&amp;$C4451,0),variables,2,0)</f>
        <v>9878</v>
      </c>
      <c r="H4451" s="71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67" t="s">
        <v>1429</v>
      </c>
      <c r="B4452" s="66">
        <f t="shared" si="9084"/>
        <v>19</v>
      </c>
      <c r="C4452" s="66">
        <f t="shared" si="9087"/>
        <v>45</v>
      </c>
      <c r="E4452" s="66">
        <f t="shared" ref="E4452" si="9122">plan_id</f>
        <v>1952</v>
      </c>
      <c r="F4452" s="66">
        <f t="shared" ca="1" si="9050"/>
        <v>2017</v>
      </c>
      <c r="G4452" s="66">
        <f t="shared" ref="G4452" ca="1" si="9123">VLOOKUP(INDIRECT(CHAR(39)&amp;$A4452&amp;CHAR(39)&amp;"!r2c"&amp;$C4452,0),variables,2,0)</f>
        <v>9923</v>
      </c>
      <c r="H4452" s="71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67" t="s">
        <v>1429</v>
      </c>
      <c r="B4453" s="66">
        <f t="shared" si="9084"/>
        <v>19</v>
      </c>
      <c r="C4453" s="66">
        <f t="shared" si="9087"/>
        <v>46</v>
      </c>
      <c r="E4453" s="66">
        <f t="shared" ref="E4453" si="9124">plan_id</f>
        <v>1952</v>
      </c>
      <c r="F4453" s="66">
        <f t="shared" ca="1" si="9050"/>
        <v>2017</v>
      </c>
      <c r="G4453" s="66">
        <f t="shared" ref="G4453" ca="1" si="9125">VLOOKUP(INDIRECT(CHAR(39)&amp;$A4453&amp;CHAR(39)&amp;"!r2c"&amp;$C4453,0),variables,2,0)</f>
        <v>9932</v>
      </c>
      <c r="H4453" s="71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67" t="s">
        <v>1429</v>
      </c>
      <c r="B4454" s="66">
        <f t="shared" si="9084"/>
        <v>19</v>
      </c>
      <c r="C4454" s="66">
        <f t="shared" si="9087"/>
        <v>47</v>
      </c>
      <c r="E4454" s="66">
        <f t="shared" ref="E4454" si="9126">plan_id</f>
        <v>1952</v>
      </c>
      <c r="F4454" s="66">
        <f t="shared" ca="1" si="9050"/>
        <v>2017</v>
      </c>
      <c r="G4454" s="66">
        <f t="shared" ref="G4454" ca="1" si="9127">VLOOKUP(INDIRECT(CHAR(39)&amp;$A4454&amp;CHAR(39)&amp;"!r2c"&amp;$C4454,0),variables,2,0)</f>
        <v>9935</v>
      </c>
      <c r="H4454" s="71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67" t="s">
        <v>1429</v>
      </c>
      <c r="B4455" s="66">
        <f t="shared" si="9084"/>
        <v>19</v>
      </c>
      <c r="C4455" s="66">
        <f t="shared" si="9087"/>
        <v>48</v>
      </c>
      <c r="E4455" s="66">
        <f t="shared" ref="E4455" si="9128">plan_id</f>
        <v>1952</v>
      </c>
      <c r="F4455" s="66">
        <f t="shared" ca="1" si="9050"/>
        <v>2017</v>
      </c>
      <c r="G4455" s="66">
        <f t="shared" ref="G4455" ca="1" si="9129">VLOOKUP(INDIRECT(CHAR(39)&amp;$A4455&amp;CHAR(39)&amp;"!r2c"&amp;$C4455,0),variables,2,0)</f>
        <v>9651</v>
      </c>
      <c r="H4455" s="71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67" t="s">
        <v>1429</v>
      </c>
      <c r="B4456" s="66">
        <f t="shared" si="9084"/>
        <v>19</v>
      </c>
      <c r="C4456" s="66">
        <f t="shared" si="9087"/>
        <v>49</v>
      </c>
      <c r="E4456" s="66">
        <f t="shared" ref="E4456" si="9130">plan_id</f>
        <v>1952</v>
      </c>
      <c r="F4456" s="66">
        <f t="shared" ca="1" si="9050"/>
        <v>2017</v>
      </c>
      <c r="G4456" s="66">
        <f t="shared" ref="G4456" ca="1" si="9131">VLOOKUP(INDIRECT(CHAR(39)&amp;$A4456&amp;CHAR(39)&amp;"!r2c"&amp;$C4456,0),variables,2,0)</f>
        <v>9722</v>
      </c>
      <c r="H4456" s="71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67" t="s">
        <v>1429</v>
      </c>
      <c r="B4457" s="66">
        <f t="shared" si="9084"/>
        <v>19</v>
      </c>
      <c r="C4457" s="66">
        <f t="shared" si="9087"/>
        <v>50</v>
      </c>
      <c r="E4457" s="66">
        <f t="shared" ref="E4457" si="9132">plan_id</f>
        <v>1952</v>
      </c>
      <c r="F4457" s="66">
        <f t="shared" ca="1" si="9050"/>
        <v>2017</v>
      </c>
      <c r="G4457" s="66">
        <f t="shared" ref="G4457" ca="1" si="9133">VLOOKUP(INDIRECT(CHAR(39)&amp;$A4457&amp;CHAR(39)&amp;"!r2c"&amp;$C4457,0),variables,2,0)</f>
        <v>9848</v>
      </c>
      <c r="H4457" s="71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67" t="s">
        <v>1429</v>
      </c>
      <c r="B4458" s="66">
        <f t="shared" si="9084"/>
        <v>19</v>
      </c>
      <c r="C4458" s="66">
        <f t="shared" si="9087"/>
        <v>51</v>
      </c>
      <c r="E4458" s="66">
        <f t="shared" ref="E4458" si="9134">plan_id</f>
        <v>1952</v>
      </c>
      <c r="F4458" s="66">
        <f t="shared" ca="1" si="9050"/>
        <v>2017</v>
      </c>
      <c r="G4458" s="66">
        <f t="shared" ref="G4458" ca="1" si="9135">VLOOKUP(INDIRECT(CHAR(39)&amp;$A4458&amp;CHAR(39)&amp;"!r2c"&amp;$C4458,0),variables,2,0)</f>
        <v>9866</v>
      </c>
      <c r="H4458" s="71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67" t="s">
        <v>1429</v>
      </c>
      <c r="B4459" s="66">
        <f t="shared" si="9084"/>
        <v>19</v>
      </c>
      <c r="C4459" s="66">
        <f t="shared" si="9087"/>
        <v>52</v>
      </c>
      <c r="E4459" s="66">
        <f t="shared" ref="E4459" si="9136">plan_id</f>
        <v>1952</v>
      </c>
      <c r="F4459" s="66">
        <f t="shared" ca="1" si="9050"/>
        <v>2017</v>
      </c>
      <c r="G4459" s="66">
        <f t="shared" ref="G4459" ca="1" si="9137">VLOOKUP(INDIRECT(CHAR(39)&amp;$A4459&amp;CHAR(39)&amp;"!r2c"&amp;$C4459,0),variables,2,0)</f>
        <v>9899</v>
      </c>
      <c r="H4459" s="71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67" t="s">
        <v>1429</v>
      </c>
      <c r="B4460" s="66">
        <f t="shared" si="9084"/>
        <v>19</v>
      </c>
      <c r="C4460" s="66">
        <f t="shared" si="9087"/>
        <v>53</v>
      </c>
      <c r="E4460" s="66">
        <f t="shared" ref="E4460" si="9138">plan_id</f>
        <v>1952</v>
      </c>
      <c r="F4460" s="66">
        <f t="shared" ca="1" si="9050"/>
        <v>2017</v>
      </c>
      <c r="G4460" s="66">
        <f t="shared" ref="G4460" ca="1" si="9139">VLOOKUP(INDIRECT(CHAR(39)&amp;$A4460&amp;CHAR(39)&amp;"!r2c"&amp;$C4460,0),variables,2,0)</f>
        <v>9905</v>
      </c>
      <c r="H4460" s="71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67" t="s">
        <v>1429</v>
      </c>
      <c r="B4461" s="66">
        <f t="shared" si="9084"/>
        <v>19</v>
      </c>
      <c r="C4461" s="66">
        <f t="shared" si="9087"/>
        <v>54</v>
      </c>
      <c r="E4461" s="66">
        <f t="shared" ref="E4461" si="9140">plan_id</f>
        <v>1952</v>
      </c>
      <c r="F4461" s="66">
        <f t="shared" ca="1" si="9050"/>
        <v>2017</v>
      </c>
      <c r="G4461" s="66">
        <f t="shared" ref="G4461" ca="1" si="9141">VLOOKUP(INDIRECT(CHAR(39)&amp;$A4461&amp;CHAR(39)&amp;"!r2c"&amp;$C4461,0),variables,2,0)</f>
        <v>9929</v>
      </c>
      <c r="H4461" s="71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67" t="s">
        <v>1429</v>
      </c>
      <c r="B4462" s="66">
        <f t="shared" si="9084"/>
        <v>19</v>
      </c>
      <c r="C4462" s="66">
        <f t="shared" si="9087"/>
        <v>55</v>
      </c>
      <c r="E4462" s="66">
        <f t="shared" ref="E4462" si="9142">plan_id</f>
        <v>1952</v>
      </c>
      <c r="F4462" s="66">
        <f t="shared" ca="1" si="9050"/>
        <v>2017</v>
      </c>
      <c r="G4462" s="66">
        <f t="shared" ref="G4462" ca="1" si="9143">VLOOKUP(INDIRECT(CHAR(39)&amp;$A4462&amp;CHAR(39)&amp;"!r2c"&amp;$C4462,0),variables,2,0)</f>
        <v>9654</v>
      </c>
      <c r="H4462" s="71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67" t="s">
        <v>1429</v>
      </c>
      <c r="B4463" s="66">
        <f t="shared" si="9084"/>
        <v>19</v>
      </c>
      <c r="C4463" s="66">
        <f t="shared" si="9087"/>
        <v>56</v>
      </c>
      <c r="E4463" s="66">
        <f t="shared" ref="E4463" si="9144">plan_id</f>
        <v>1952</v>
      </c>
      <c r="F4463" s="66">
        <f t="shared" ca="1" si="9050"/>
        <v>2017</v>
      </c>
      <c r="G4463" s="66">
        <f t="shared" ref="G4463" ca="1" si="9145">VLOOKUP(INDIRECT(CHAR(39)&amp;$A4463&amp;CHAR(39)&amp;"!r2c"&amp;$C4463,0),variables,2,0)</f>
        <v>9707</v>
      </c>
      <c r="H4463" s="71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67" t="s">
        <v>1429</v>
      </c>
      <c r="B4464" s="66">
        <f t="shared" si="9084"/>
        <v>19</v>
      </c>
      <c r="C4464" s="66">
        <f t="shared" si="9087"/>
        <v>57</v>
      </c>
      <c r="E4464" s="66">
        <f t="shared" ref="E4464" si="9146">plan_id</f>
        <v>1952</v>
      </c>
      <c r="F4464" s="66">
        <f t="shared" ca="1" si="9050"/>
        <v>2017</v>
      </c>
      <c r="G4464" s="66">
        <f t="shared" ref="G4464" ca="1" si="9147">VLOOKUP(INDIRECT(CHAR(39)&amp;$A4464&amp;CHAR(39)&amp;"!r2c"&amp;$C4464,0),variables,2,0)</f>
        <v>9669</v>
      </c>
      <c r="H4464" s="71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67" t="s">
        <v>1429</v>
      </c>
      <c r="B4465" s="66">
        <f t="shared" si="9084"/>
        <v>19</v>
      </c>
      <c r="C4465" s="66">
        <f t="shared" si="9087"/>
        <v>58</v>
      </c>
      <c r="E4465" s="66">
        <f t="shared" ref="E4465" si="9148">plan_id</f>
        <v>1952</v>
      </c>
      <c r="F4465" s="66">
        <f t="shared" ca="1" si="9050"/>
        <v>2017</v>
      </c>
      <c r="G4465" s="66">
        <f t="shared" ref="G4465" ca="1" si="9149">VLOOKUP(INDIRECT(CHAR(39)&amp;$A4465&amp;CHAR(39)&amp;"!r2c"&amp;$C4465,0),variables,2,0)</f>
        <v>9851</v>
      </c>
      <c r="H4465" s="71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67" t="s">
        <v>1429</v>
      </c>
      <c r="B4466" s="66">
        <f t="shared" si="9084"/>
        <v>19</v>
      </c>
      <c r="C4466" s="66">
        <f t="shared" si="9087"/>
        <v>59</v>
      </c>
      <c r="E4466" s="66">
        <f t="shared" ref="E4466" si="9150">plan_id</f>
        <v>1952</v>
      </c>
      <c r="F4466" s="66">
        <f t="shared" ca="1" si="9050"/>
        <v>2017</v>
      </c>
      <c r="G4466" s="66">
        <f t="shared" ref="G4466" ca="1" si="9151">VLOOKUP(INDIRECT(CHAR(39)&amp;$A4466&amp;CHAR(39)&amp;"!r2c"&amp;$C4466,0),variables,2,0)</f>
        <v>9890</v>
      </c>
      <c r="H4466" s="71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67" t="s">
        <v>1429</v>
      </c>
      <c r="B4467" s="66">
        <f t="shared" si="9084"/>
        <v>19</v>
      </c>
      <c r="C4467" s="66">
        <f t="shared" si="9087"/>
        <v>60</v>
      </c>
      <c r="E4467" s="66">
        <f t="shared" ref="E4467" si="9152">plan_id</f>
        <v>1952</v>
      </c>
      <c r="F4467" s="66">
        <f t="shared" ca="1" si="9050"/>
        <v>2017</v>
      </c>
      <c r="G4467" s="66">
        <f t="shared" ref="G4467" ca="1" si="9153">VLOOKUP(INDIRECT(CHAR(39)&amp;$A4467&amp;CHAR(39)&amp;"!r2c"&amp;$C4467,0),variables,2,0)</f>
        <v>9893</v>
      </c>
      <c r="H4467" s="71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67" t="s">
        <v>1429</v>
      </c>
      <c r="B4468" s="66">
        <f t="shared" si="9084"/>
        <v>19</v>
      </c>
      <c r="C4468" s="66">
        <f t="shared" si="9087"/>
        <v>61</v>
      </c>
      <c r="E4468" s="66">
        <f t="shared" ref="E4468" si="9154">plan_id</f>
        <v>1952</v>
      </c>
      <c r="F4468" s="66">
        <f t="shared" ca="1" si="9050"/>
        <v>2017</v>
      </c>
      <c r="G4468" s="66">
        <f t="shared" ref="G4468" ca="1" si="9155">VLOOKUP(INDIRECT(CHAR(39)&amp;$A4468&amp;CHAR(39)&amp;"!r2c"&amp;$C4468,0),variables,2,0)</f>
        <v>9896</v>
      </c>
      <c r="H4468" s="71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67" t="s">
        <v>1429</v>
      </c>
      <c r="B4469" s="66">
        <f t="shared" si="9084"/>
        <v>19</v>
      </c>
      <c r="C4469" s="66">
        <f t="shared" si="9087"/>
        <v>62</v>
      </c>
      <c r="E4469" s="66">
        <f t="shared" ref="E4469" si="9156">plan_id</f>
        <v>1952</v>
      </c>
      <c r="F4469" s="66">
        <f t="shared" ca="1" si="9050"/>
        <v>2017</v>
      </c>
      <c r="G4469" s="66">
        <f t="shared" ref="G4469" ca="1" si="9157">VLOOKUP(INDIRECT(CHAR(39)&amp;$A4469&amp;CHAR(39)&amp;"!r2c"&amp;$C4469,0),variables,2,0)</f>
        <v>9660</v>
      </c>
      <c r="H4469" s="71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67" t="s">
        <v>1429</v>
      </c>
      <c r="B4470" s="66">
        <f t="shared" si="9084"/>
        <v>19</v>
      </c>
      <c r="C4470" s="66">
        <f t="shared" si="9087"/>
        <v>63</v>
      </c>
      <c r="E4470" s="66">
        <f t="shared" ref="E4470" si="9158">plan_id</f>
        <v>1952</v>
      </c>
      <c r="F4470" s="66">
        <f t="shared" ca="1" si="9050"/>
        <v>2017</v>
      </c>
      <c r="G4470" s="66">
        <f t="shared" ref="G4470" ca="1" si="9159">VLOOKUP(INDIRECT(CHAR(39)&amp;$A4470&amp;CHAR(39)&amp;"!r2c"&amp;$C4470,0),variables,2,0)</f>
        <v>9701</v>
      </c>
      <c r="H4470" s="71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67" t="s">
        <v>1429</v>
      </c>
      <c r="B4471" s="66">
        <f t="shared" si="9084"/>
        <v>19</v>
      </c>
      <c r="C4471" s="66">
        <f t="shared" si="9087"/>
        <v>64</v>
      </c>
      <c r="E4471" s="66">
        <f t="shared" ref="E4471" si="9160">plan_id</f>
        <v>1952</v>
      </c>
      <c r="F4471" s="66">
        <f t="shared" ca="1" si="9050"/>
        <v>2017</v>
      </c>
      <c r="G4471" s="66">
        <f t="shared" ref="G4471" ca="1" si="9161">VLOOKUP(INDIRECT(CHAR(39)&amp;$A4471&amp;CHAR(39)&amp;"!r2c"&amp;$C4471,0),variables,2,0)</f>
        <v>9728</v>
      </c>
      <c r="H4471" s="71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67" t="s">
        <v>1429</v>
      </c>
      <c r="B4472" s="66">
        <f t="shared" si="9084"/>
        <v>19</v>
      </c>
      <c r="C4472" s="66">
        <f t="shared" si="9087"/>
        <v>65</v>
      </c>
      <c r="E4472" s="66">
        <f t="shared" ref="E4472" si="9162">plan_id</f>
        <v>1952</v>
      </c>
      <c r="F4472" s="66">
        <f t="shared" ca="1" si="9050"/>
        <v>2017</v>
      </c>
      <c r="G4472" s="66">
        <f t="shared" ref="G4472" ca="1" si="9163">VLOOKUP(INDIRECT(CHAR(39)&amp;$A4472&amp;CHAR(39)&amp;"!r2c"&amp;$C4472,0),variables,2,0)</f>
        <v>9731</v>
      </c>
      <c r="H4472" s="71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67" t="s">
        <v>1429</v>
      </c>
      <c r="B4473" s="66">
        <f t="shared" si="9084"/>
        <v>19</v>
      </c>
      <c r="C4473" s="66">
        <f t="shared" si="9087"/>
        <v>66</v>
      </c>
      <c r="E4473" s="66">
        <f t="shared" ref="E4473" si="9164">plan_id</f>
        <v>1952</v>
      </c>
      <c r="F4473" s="66">
        <f t="shared" ca="1" si="9050"/>
        <v>2017</v>
      </c>
      <c r="G4473" s="66">
        <f t="shared" ref="G4473" ca="1" si="9165">VLOOKUP(INDIRECT(CHAR(39)&amp;$A4473&amp;CHAR(39)&amp;"!r2c"&amp;$C4473,0),variables,2,0)</f>
        <v>9737</v>
      </c>
      <c r="H4473" s="71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67" t="s">
        <v>1429</v>
      </c>
      <c r="B4474" s="66">
        <f t="shared" si="9084"/>
        <v>19</v>
      </c>
      <c r="C4474" s="66">
        <f t="shared" si="9087"/>
        <v>67</v>
      </c>
      <c r="E4474" s="66">
        <f t="shared" ref="E4474" si="9166">plan_id</f>
        <v>1952</v>
      </c>
      <c r="F4474" s="66">
        <f t="shared" ca="1" si="9050"/>
        <v>2017</v>
      </c>
      <c r="G4474" s="66">
        <f t="shared" ref="G4474" ca="1" si="9167">VLOOKUP(INDIRECT(CHAR(39)&amp;$A4474&amp;CHAR(39)&amp;"!r2c"&amp;$C4474,0),variables,2,0)</f>
        <v>9740</v>
      </c>
      <c r="H4474" s="71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67" t="s">
        <v>1429</v>
      </c>
      <c r="B4475" s="66">
        <f t="shared" si="9084"/>
        <v>19</v>
      </c>
      <c r="C4475" s="66">
        <f t="shared" si="9087"/>
        <v>68</v>
      </c>
      <c r="E4475" s="66">
        <f t="shared" ref="E4475" si="9168">plan_id</f>
        <v>1952</v>
      </c>
      <c r="F4475" s="66">
        <f t="shared" ca="1" si="9050"/>
        <v>2017</v>
      </c>
      <c r="G4475" s="66">
        <f t="shared" ref="G4475" ca="1" si="9169">VLOOKUP(INDIRECT(CHAR(39)&amp;$A4475&amp;CHAR(39)&amp;"!r2c"&amp;$C4475,0),variables,2,0)</f>
        <v>9752</v>
      </c>
      <c r="H4475" s="71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67" t="s">
        <v>1429</v>
      </c>
      <c r="B4476" s="66">
        <f t="shared" si="9084"/>
        <v>19</v>
      </c>
      <c r="C4476" s="66">
        <f t="shared" si="9087"/>
        <v>69</v>
      </c>
      <c r="E4476" s="66">
        <f t="shared" ref="E4476" si="9170">plan_id</f>
        <v>1952</v>
      </c>
      <c r="F4476" s="66">
        <f t="shared" ca="1" si="9050"/>
        <v>2017</v>
      </c>
      <c r="G4476" s="66">
        <f t="shared" ref="G4476" ca="1" si="9171">VLOOKUP(INDIRECT(CHAR(39)&amp;$A4476&amp;CHAR(39)&amp;"!r2c"&amp;$C4476,0),variables,2,0)</f>
        <v>9791</v>
      </c>
      <c r="H4476" s="71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67" t="s">
        <v>1429</v>
      </c>
      <c r="B4477" s="66">
        <f t="shared" si="9084"/>
        <v>19</v>
      </c>
      <c r="C4477" s="66">
        <f t="shared" si="9087"/>
        <v>70</v>
      </c>
      <c r="E4477" s="66">
        <f t="shared" ref="E4477" si="9172">plan_id</f>
        <v>1952</v>
      </c>
      <c r="F4477" s="66">
        <f t="shared" ca="1" si="9050"/>
        <v>2017</v>
      </c>
      <c r="G4477" s="66">
        <f t="shared" ref="G4477" ca="1" si="9173">VLOOKUP(INDIRECT(CHAR(39)&amp;$A4477&amp;CHAR(39)&amp;"!r2c"&amp;$C4477,0),variables,2,0)</f>
        <v>9800</v>
      </c>
      <c r="H4477" s="71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67" t="s">
        <v>1429</v>
      </c>
      <c r="B4478" s="66">
        <f t="shared" si="9084"/>
        <v>19</v>
      </c>
      <c r="C4478" s="66">
        <f t="shared" si="9087"/>
        <v>71</v>
      </c>
      <c r="E4478" s="66">
        <f t="shared" ref="E4478" si="9174">plan_id</f>
        <v>1952</v>
      </c>
      <c r="F4478" s="66">
        <f t="shared" ca="1" si="9050"/>
        <v>2017</v>
      </c>
      <c r="G4478" s="66">
        <f t="shared" ref="G4478" ca="1" si="9175">VLOOKUP(INDIRECT(CHAR(39)&amp;$A4478&amp;CHAR(39)&amp;"!r2c"&amp;$C4478,0),variables,2,0)</f>
        <v>9842</v>
      </c>
      <c r="H4478" s="71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67" t="s">
        <v>1429</v>
      </c>
      <c r="B4479" s="66">
        <f t="shared" si="9084"/>
        <v>19</v>
      </c>
      <c r="C4479" s="66">
        <f t="shared" si="9087"/>
        <v>72</v>
      </c>
      <c r="E4479" s="66">
        <f t="shared" ref="E4479" si="9176">plan_id</f>
        <v>1952</v>
      </c>
      <c r="F4479" s="66">
        <f t="shared" ca="1" si="9050"/>
        <v>2017</v>
      </c>
      <c r="G4479" s="66">
        <f t="shared" ref="G4479" ca="1" si="9177">VLOOKUP(INDIRECT(CHAR(39)&amp;$A4479&amp;CHAR(39)&amp;"!r2c"&amp;$C4479,0),variables,2,0)</f>
        <v>9854</v>
      </c>
      <c r="H4479" s="71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67" t="s">
        <v>1429</v>
      </c>
      <c r="B4480" s="66">
        <f t="shared" si="9084"/>
        <v>19</v>
      </c>
      <c r="C4480" s="66">
        <f t="shared" si="9087"/>
        <v>73</v>
      </c>
      <c r="E4480" s="66">
        <f t="shared" ref="E4480" si="9178">plan_id</f>
        <v>1952</v>
      </c>
      <c r="F4480" s="66">
        <f t="shared" ca="1" si="9050"/>
        <v>2017</v>
      </c>
      <c r="G4480" s="66">
        <f t="shared" ref="G4480" ca="1" si="9179">VLOOKUP(INDIRECT(CHAR(39)&amp;$A4480&amp;CHAR(39)&amp;"!r2c"&amp;$C4480,0),variables,2,0)</f>
        <v>9869</v>
      </c>
      <c r="H4480" s="71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67" t="s">
        <v>1429</v>
      </c>
      <c r="B4481" s="66">
        <f t="shared" si="9084"/>
        <v>19</v>
      </c>
      <c r="C4481" s="66">
        <f t="shared" si="9087"/>
        <v>74</v>
      </c>
      <c r="E4481" s="66">
        <f t="shared" ref="E4481" si="9180">plan_id</f>
        <v>1952</v>
      </c>
      <c r="F4481" s="66">
        <f t="shared" ref="F4481:F4544" ca="1" si="9181">INDIRECT(CHAR(39)&amp;$A4481&amp;CHAR(39)&amp;"!r"&amp;$B4481&amp;"c2",0)</f>
        <v>2017</v>
      </c>
      <c r="G4481" s="66">
        <f t="shared" ref="G4481" ca="1" si="9182">VLOOKUP(INDIRECT(CHAR(39)&amp;$A4481&amp;CHAR(39)&amp;"!r2c"&amp;$C4481,0),variables,2,0)</f>
        <v>9873</v>
      </c>
      <c r="H4481" s="71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67" t="s">
        <v>1429</v>
      </c>
      <c r="B4482" s="66">
        <f t="shared" si="9084"/>
        <v>19</v>
      </c>
      <c r="C4482" s="66">
        <f t="shared" si="9087"/>
        <v>75</v>
      </c>
      <c r="E4482" s="66">
        <f t="shared" ref="E4482" si="9183">plan_id</f>
        <v>1952</v>
      </c>
      <c r="F4482" s="66">
        <f t="shared" ca="1" si="9181"/>
        <v>2017</v>
      </c>
      <c r="G4482" s="66">
        <f t="shared" ref="G4482" ca="1" si="9184">VLOOKUP(INDIRECT(CHAR(39)&amp;$A4482&amp;CHAR(39)&amp;"!r2c"&amp;$C4482,0),variables,2,0)</f>
        <v>9881</v>
      </c>
      <c r="H4482" s="71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67" t="s">
        <v>1429</v>
      </c>
      <c r="B4483" s="66">
        <f t="shared" si="9084"/>
        <v>19</v>
      </c>
      <c r="C4483" s="66">
        <f t="shared" si="9087"/>
        <v>76</v>
      </c>
      <c r="E4483" s="66">
        <f t="shared" ref="E4483" si="9185">plan_id</f>
        <v>1952</v>
      </c>
      <c r="F4483" s="66">
        <f t="shared" ca="1" si="9181"/>
        <v>2017</v>
      </c>
      <c r="G4483" s="66">
        <f t="shared" ref="G4483" ca="1" si="9186">VLOOKUP(INDIRECT(CHAR(39)&amp;$A4483&amp;CHAR(39)&amp;"!r2c"&amp;$C4483,0),variables,2,0)</f>
        <v>9908</v>
      </c>
      <c r="H4483" s="71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67" t="s">
        <v>1429</v>
      </c>
      <c r="B4484" s="66">
        <f t="shared" si="9084"/>
        <v>19</v>
      </c>
      <c r="C4484" s="66">
        <f t="shared" si="9087"/>
        <v>77</v>
      </c>
      <c r="E4484" s="66">
        <f t="shared" ref="E4484" si="9187">plan_id</f>
        <v>1952</v>
      </c>
      <c r="F4484" s="66">
        <f t="shared" ca="1" si="9181"/>
        <v>2017</v>
      </c>
      <c r="G4484" s="66">
        <f t="shared" ref="G4484" ca="1" si="9188">VLOOKUP(INDIRECT(CHAR(39)&amp;$A4484&amp;CHAR(39)&amp;"!r2c"&amp;$C4484,0),variables,2,0)</f>
        <v>9911</v>
      </c>
      <c r="H4484" s="71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67" t="s">
        <v>1429</v>
      </c>
      <c r="B4485" s="66">
        <f t="shared" si="9084"/>
        <v>19</v>
      </c>
      <c r="C4485" s="66">
        <f t="shared" si="9087"/>
        <v>78</v>
      </c>
      <c r="E4485" s="66">
        <f t="shared" ref="E4485" si="9189">plan_id</f>
        <v>1952</v>
      </c>
      <c r="F4485" s="66">
        <f t="shared" ca="1" si="9181"/>
        <v>2017</v>
      </c>
      <c r="G4485" s="66">
        <f t="shared" ref="G4485" ca="1" si="9190">VLOOKUP(INDIRECT(CHAR(39)&amp;$A4485&amp;CHAR(39)&amp;"!r2c"&amp;$C4485,0),variables,2,0)</f>
        <v>9663</v>
      </c>
      <c r="H4485" s="71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67" t="s">
        <v>1429</v>
      </c>
      <c r="B4486" s="66">
        <f t="shared" si="9084"/>
        <v>19</v>
      </c>
      <c r="C4486" s="66">
        <f t="shared" si="9087"/>
        <v>79</v>
      </c>
      <c r="E4486" s="66">
        <f t="shared" ref="E4486" si="9191">plan_id</f>
        <v>1952</v>
      </c>
      <c r="F4486" s="66">
        <f t="shared" ca="1" si="9181"/>
        <v>2017</v>
      </c>
      <c r="G4486" s="66">
        <f t="shared" ref="G4486" ca="1" si="9192">VLOOKUP(INDIRECT(CHAR(39)&amp;$A4486&amp;CHAR(39)&amp;"!r2c"&amp;$C4486,0),variables,2,0)</f>
        <v>9710</v>
      </c>
      <c r="H4486" s="71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67" t="s">
        <v>1429</v>
      </c>
      <c r="B4487" s="66">
        <f t="shared" si="9084"/>
        <v>19</v>
      </c>
      <c r="C4487" s="66">
        <f t="shared" si="9087"/>
        <v>80</v>
      </c>
      <c r="E4487" s="66">
        <f t="shared" ref="E4487" si="9193">plan_id</f>
        <v>1952</v>
      </c>
      <c r="F4487" s="66">
        <f t="shared" ca="1" si="9181"/>
        <v>2017</v>
      </c>
      <c r="G4487" s="66">
        <f t="shared" ref="G4487" ca="1" si="9194">VLOOKUP(INDIRECT(CHAR(39)&amp;$A4487&amp;CHAR(39)&amp;"!r2c"&amp;$C4487,0),variables,2,0)</f>
        <v>9758</v>
      </c>
      <c r="H4487" s="71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67" t="s">
        <v>1429</v>
      </c>
      <c r="B4488" s="66">
        <f t="shared" si="9084"/>
        <v>19</v>
      </c>
      <c r="C4488" s="66">
        <f t="shared" si="9087"/>
        <v>81</v>
      </c>
      <c r="E4488" s="66">
        <f t="shared" ref="E4488" si="9195">plan_id</f>
        <v>1952</v>
      </c>
      <c r="F4488" s="66">
        <f t="shared" ca="1" si="9181"/>
        <v>2017</v>
      </c>
      <c r="G4488" s="66">
        <f t="shared" ref="G4488" ca="1" si="9196">VLOOKUP(INDIRECT(CHAR(39)&amp;$A4488&amp;CHAR(39)&amp;"!r2c"&amp;$C4488,0),variables,2,0)</f>
        <v>9803</v>
      </c>
      <c r="H4488" s="71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67" t="s">
        <v>1429</v>
      </c>
      <c r="B4489" s="66">
        <f t="shared" si="9084"/>
        <v>19</v>
      </c>
      <c r="C4489" s="66">
        <f t="shared" si="9087"/>
        <v>82</v>
      </c>
      <c r="E4489" s="66">
        <f t="shared" ref="E4489" si="9197">plan_id</f>
        <v>1952</v>
      </c>
      <c r="F4489" s="66">
        <f t="shared" ca="1" si="9181"/>
        <v>2017</v>
      </c>
      <c r="G4489" s="66">
        <f t="shared" ref="G4489" ca="1" si="9198">VLOOKUP(INDIRECT(CHAR(39)&amp;$A4489&amp;CHAR(39)&amp;"!r2c"&amp;$C4489,0),variables,2,0)</f>
        <v>9857</v>
      </c>
      <c r="H4489" s="71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67" t="s">
        <v>1429</v>
      </c>
      <c r="B4490" s="66">
        <f t="shared" si="9084"/>
        <v>19</v>
      </c>
      <c r="C4490" s="66">
        <f t="shared" si="9087"/>
        <v>83</v>
      </c>
      <c r="E4490" s="66">
        <f t="shared" ref="E4490" si="9199">plan_id</f>
        <v>1952</v>
      </c>
      <c r="F4490" s="66">
        <f t="shared" ca="1" si="9181"/>
        <v>2017</v>
      </c>
      <c r="G4490" s="66">
        <f t="shared" ref="G4490" ca="1" si="9200">VLOOKUP(INDIRECT(CHAR(39)&amp;$A4490&amp;CHAR(39)&amp;"!r2c"&amp;$C4490,0),variables,2,0)</f>
        <v>9902</v>
      </c>
      <c r="H4490" s="71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67" t="s">
        <v>1429</v>
      </c>
      <c r="B4491" s="66">
        <f t="shared" si="9084"/>
        <v>19</v>
      </c>
      <c r="C4491" s="66">
        <f t="shared" si="9087"/>
        <v>84</v>
      </c>
      <c r="E4491" s="66">
        <f t="shared" ref="E4491" si="9201">plan_id</f>
        <v>1952</v>
      </c>
      <c r="F4491" s="66">
        <f t="shared" ca="1" si="9181"/>
        <v>2017</v>
      </c>
      <c r="G4491" s="66">
        <f t="shared" ref="G4491" ca="1" si="9202">VLOOKUP(INDIRECT(CHAR(39)&amp;$A4491&amp;CHAR(39)&amp;"!r2c"&amp;$C4491,0),variables,2,0)</f>
        <v>9926</v>
      </c>
      <c r="H4491" s="71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67" t="s">
        <v>1429</v>
      </c>
      <c r="B4492" s="66">
        <f t="shared" si="9084"/>
        <v>19</v>
      </c>
      <c r="C4492" s="66">
        <f t="shared" si="9087"/>
        <v>85</v>
      </c>
      <c r="E4492" s="66">
        <f t="shared" ref="E4492" si="9203">plan_id</f>
        <v>1952</v>
      </c>
      <c r="F4492" s="66">
        <f t="shared" ca="1" si="9181"/>
        <v>2017</v>
      </c>
      <c r="G4492" s="66">
        <f t="shared" ref="G4492" ca="1" si="9204">VLOOKUP(INDIRECT(CHAR(39)&amp;$A4492&amp;CHAR(39)&amp;"!r2c"&amp;$C4492,0),variables,2,0)</f>
        <v>9666</v>
      </c>
      <c r="H4492" s="71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67" t="s">
        <v>1429</v>
      </c>
      <c r="B4493" s="66">
        <f t="shared" si="9084"/>
        <v>19</v>
      </c>
      <c r="C4493" s="66">
        <f t="shared" si="9087"/>
        <v>86</v>
      </c>
      <c r="E4493" s="66">
        <f t="shared" ref="E4493" si="9205">plan_id</f>
        <v>1952</v>
      </c>
      <c r="F4493" s="66">
        <f t="shared" ca="1" si="9181"/>
        <v>2017</v>
      </c>
      <c r="G4493" s="66">
        <f t="shared" ref="G4493" ca="1" si="9206">VLOOKUP(INDIRECT(CHAR(39)&amp;$A4493&amp;CHAR(39)&amp;"!r2c"&amp;$C4493,0),variables,2,0)</f>
        <v>9827</v>
      </c>
      <c r="H4493" s="71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67" t="s">
        <v>1429</v>
      </c>
      <c r="B4494" s="66">
        <f t="shared" si="9084"/>
        <v>19</v>
      </c>
      <c r="C4494" s="66">
        <f t="shared" si="9087"/>
        <v>87</v>
      </c>
      <c r="E4494" s="66">
        <f t="shared" ref="E4494" si="9207">plan_id</f>
        <v>1952</v>
      </c>
      <c r="F4494" s="66">
        <f t="shared" ca="1" si="9181"/>
        <v>2017</v>
      </c>
      <c r="G4494" s="66">
        <f t="shared" ref="G4494" ca="1" si="9208">VLOOKUP(INDIRECT(CHAR(39)&amp;$A4494&amp;CHAR(39)&amp;"!r2c"&amp;$C4494,0),variables,2,0)</f>
        <v>9657</v>
      </c>
      <c r="H4494" s="71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67" t="s">
        <v>1429</v>
      </c>
      <c r="B4495" s="66">
        <f t="shared" si="9084"/>
        <v>19</v>
      </c>
      <c r="C4495" s="66">
        <f t="shared" si="9087"/>
        <v>88</v>
      </c>
      <c r="E4495" s="66">
        <f t="shared" ref="E4495" si="9209">plan_id</f>
        <v>1952</v>
      </c>
      <c r="F4495" s="66">
        <f t="shared" ca="1" si="9181"/>
        <v>2017</v>
      </c>
      <c r="G4495" s="66">
        <f t="shared" ref="G4495" ca="1" si="9210">VLOOKUP(INDIRECT(CHAR(39)&amp;$A4495&amp;CHAR(39)&amp;"!r2c"&amp;$C4495,0),variables,2,0)</f>
        <v>9834</v>
      </c>
      <c r="H4495" s="71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67" t="s">
        <v>1429</v>
      </c>
      <c r="B4496" s="66">
        <f t="shared" si="9084"/>
        <v>19</v>
      </c>
      <c r="C4496" s="66">
        <f t="shared" si="9087"/>
        <v>89</v>
      </c>
      <c r="E4496" s="66">
        <f t="shared" ref="E4496" si="9211">plan_id</f>
        <v>1952</v>
      </c>
      <c r="F4496" s="66">
        <f t="shared" ca="1" si="9181"/>
        <v>2017</v>
      </c>
      <c r="G4496" s="66">
        <f t="shared" ref="G4496" ca="1" si="9212">VLOOKUP(INDIRECT(CHAR(39)&amp;$A4496&amp;CHAR(39)&amp;"!r2c"&amp;$C4496,0),variables,2,0)</f>
        <v>9884</v>
      </c>
      <c r="H4496" s="71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67" t="s">
        <v>1429</v>
      </c>
      <c r="B4497" s="66">
        <f t="shared" si="9084"/>
        <v>19</v>
      </c>
      <c r="C4497" s="66">
        <f t="shared" si="9087"/>
        <v>90</v>
      </c>
      <c r="E4497" s="66">
        <f t="shared" ref="E4497" si="9213">plan_id</f>
        <v>1952</v>
      </c>
      <c r="F4497" s="66">
        <f t="shared" ca="1" si="9181"/>
        <v>2017</v>
      </c>
      <c r="G4497" s="66">
        <f t="shared" ref="G4497" ca="1" si="9214">VLOOKUP(INDIRECT(CHAR(39)&amp;$A4497&amp;CHAR(39)&amp;"!r2c"&amp;$C4497,0),variables,2,0)</f>
        <v>9672</v>
      </c>
      <c r="H4497" s="71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67" t="s">
        <v>1429</v>
      </c>
      <c r="B4498" s="66">
        <f t="shared" ref="B4498:B4561" si="9215">B4410+1</f>
        <v>20</v>
      </c>
      <c r="C4498" s="66">
        <f t="shared" si="9087"/>
        <v>3</v>
      </c>
      <c r="E4498" s="66">
        <f t="shared" ref="E4498" si="9216">plan_id</f>
        <v>1952</v>
      </c>
      <c r="F4498" s="66">
        <f t="shared" ca="1" si="9181"/>
        <v>2018</v>
      </c>
      <c r="G4498" s="66">
        <f t="shared" ref="G4498" ca="1" si="9217">VLOOKUP(INDIRECT(CHAR(39)&amp;$A4498&amp;CHAR(39)&amp;"!r2c"&amp;$C4498,0),variables,2,0)</f>
        <v>9704</v>
      </c>
      <c r="H4498" s="71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67" t="s">
        <v>1429</v>
      </c>
      <c r="B4499" s="66">
        <f t="shared" si="9215"/>
        <v>20</v>
      </c>
      <c r="C4499" s="66">
        <f t="shared" ref="C4499:C4562" si="9218">C4411</f>
        <v>4</v>
      </c>
      <c r="E4499" s="66">
        <f t="shared" ref="E4499" si="9219">plan_id</f>
        <v>1952</v>
      </c>
      <c r="F4499" s="66">
        <f t="shared" ca="1" si="9181"/>
        <v>2018</v>
      </c>
      <c r="G4499" s="66">
        <f t="shared" ref="G4499" ca="1" si="9220">VLOOKUP(INDIRECT(CHAR(39)&amp;$A4499&amp;CHAR(39)&amp;"!r2c"&amp;$C4499,0),variables,2,0)</f>
        <v>9716</v>
      </c>
      <c r="H4499" s="71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67" t="s">
        <v>1429</v>
      </c>
      <c r="B4500" s="66">
        <f t="shared" si="9215"/>
        <v>20</v>
      </c>
      <c r="C4500" s="66">
        <f t="shared" si="9218"/>
        <v>5</v>
      </c>
      <c r="E4500" s="66">
        <f t="shared" ref="E4500" si="9221">plan_id</f>
        <v>1952</v>
      </c>
      <c r="F4500" s="66">
        <f t="shared" ca="1" si="9181"/>
        <v>2018</v>
      </c>
      <c r="G4500" s="66">
        <f t="shared" ref="G4500" ca="1" si="9222">VLOOKUP(INDIRECT(CHAR(39)&amp;$A4500&amp;CHAR(39)&amp;"!r2c"&amp;$C4500,0),variables,2,0)</f>
        <v>9734</v>
      </c>
      <c r="H4500" s="71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67" t="s">
        <v>1429</v>
      </c>
      <c r="B4501" s="66">
        <f t="shared" si="9215"/>
        <v>20</v>
      </c>
      <c r="C4501" s="66">
        <f t="shared" si="9218"/>
        <v>6</v>
      </c>
      <c r="E4501" s="66">
        <f t="shared" ref="E4501" si="9223">plan_id</f>
        <v>1952</v>
      </c>
      <c r="F4501" s="66">
        <f t="shared" ca="1" si="9181"/>
        <v>2018</v>
      </c>
      <c r="G4501" s="66">
        <f t="shared" ref="G4501" ca="1" si="9224">VLOOKUP(INDIRECT(CHAR(39)&amp;$A4501&amp;CHAR(39)&amp;"!r2c"&amp;$C4501,0),variables,2,0)</f>
        <v>9749</v>
      </c>
      <c r="H4501" s="71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67" t="s">
        <v>1429</v>
      </c>
      <c r="B4502" s="66">
        <f t="shared" si="9215"/>
        <v>20</v>
      </c>
      <c r="C4502" s="66">
        <f t="shared" si="9218"/>
        <v>7</v>
      </c>
      <c r="E4502" s="66">
        <f t="shared" ref="E4502" si="9225">plan_id</f>
        <v>1952</v>
      </c>
      <c r="F4502" s="66">
        <f t="shared" ca="1" si="9181"/>
        <v>2018</v>
      </c>
      <c r="G4502" s="66">
        <f t="shared" ref="G4502" ca="1" si="9226">VLOOKUP(INDIRECT(CHAR(39)&amp;$A4502&amp;CHAR(39)&amp;"!r2c"&amp;$C4502,0),variables,2,0)</f>
        <v>9755</v>
      </c>
      <c r="H4502" s="71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67" t="s">
        <v>1429</v>
      </c>
      <c r="B4503" s="66">
        <f t="shared" si="9215"/>
        <v>20</v>
      </c>
      <c r="C4503" s="66">
        <f t="shared" si="9218"/>
        <v>8</v>
      </c>
      <c r="E4503" s="66">
        <f t="shared" ref="E4503" si="9227">plan_id</f>
        <v>1952</v>
      </c>
      <c r="F4503" s="66">
        <f t="shared" ca="1" si="9181"/>
        <v>2018</v>
      </c>
      <c r="G4503" s="66">
        <f t="shared" ref="G4503" ca="1" si="9228">VLOOKUP(INDIRECT(CHAR(39)&amp;$A4503&amp;CHAR(39)&amp;"!r2c"&amp;$C4503,0),variables,2,0)</f>
        <v>9782</v>
      </c>
      <c r="H4503" s="71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67" t="s">
        <v>1429</v>
      </c>
      <c r="B4504" s="66">
        <f t="shared" si="9215"/>
        <v>20</v>
      </c>
      <c r="C4504" s="66">
        <f t="shared" si="9218"/>
        <v>9</v>
      </c>
      <c r="E4504" s="66">
        <f t="shared" ref="E4504" si="9229">plan_id</f>
        <v>1952</v>
      </c>
      <c r="F4504" s="66">
        <f t="shared" ca="1" si="9181"/>
        <v>2018</v>
      </c>
      <c r="G4504" s="66">
        <f t="shared" ref="G4504" ca="1" si="9230">VLOOKUP(INDIRECT(CHAR(39)&amp;$A4504&amp;CHAR(39)&amp;"!r2c"&amp;$C4504,0),variables,2,0)</f>
        <v>9788</v>
      </c>
      <c r="H4504" s="71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67" t="s">
        <v>1429</v>
      </c>
      <c r="B4505" s="66">
        <f t="shared" si="9215"/>
        <v>20</v>
      </c>
      <c r="C4505" s="66">
        <f t="shared" si="9218"/>
        <v>10</v>
      </c>
      <c r="E4505" s="66">
        <f t="shared" ref="E4505" si="9231">plan_id</f>
        <v>1952</v>
      </c>
      <c r="F4505" s="66">
        <f t="shared" ca="1" si="9181"/>
        <v>2018</v>
      </c>
      <c r="G4505" s="66">
        <f t="shared" ref="G4505" ca="1" si="9232">VLOOKUP(INDIRECT(CHAR(39)&amp;$A4505&amp;CHAR(39)&amp;"!r2c"&amp;$C4505,0),variables,2,0)</f>
        <v>9812</v>
      </c>
      <c r="H4505" s="71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67" t="s">
        <v>1429</v>
      </c>
      <c r="B4506" s="66">
        <f t="shared" si="9215"/>
        <v>20</v>
      </c>
      <c r="C4506" s="66">
        <f t="shared" si="9218"/>
        <v>11</v>
      </c>
      <c r="E4506" s="66">
        <f t="shared" ref="E4506" si="9233">plan_id</f>
        <v>1952</v>
      </c>
      <c r="F4506" s="66">
        <f t="shared" ca="1" si="9181"/>
        <v>2018</v>
      </c>
      <c r="G4506" s="66">
        <f t="shared" ref="G4506" ca="1" si="9234">VLOOKUP(INDIRECT(CHAR(39)&amp;$A4506&amp;CHAR(39)&amp;"!r2c"&amp;$C4506,0),variables,2,0)</f>
        <v>9815</v>
      </c>
      <c r="H4506" s="71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67" t="s">
        <v>1429</v>
      </c>
      <c r="B4507" s="66">
        <f t="shared" si="9215"/>
        <v>20</v>
      </c>
      <c r="C4507" s="66">
        <f t="shared" si="9218"/>
        <v>12</v>
      </c>
      <c r="E4507" s="66">
        <f t="shared" ref="E4507" si="9235">plan_id</f>
        <v>1952</v>
      </c>
      <c r="F4507" s="66">
        <f t="shared" ca="1" si="9181"/>
        <v>2018</v>
      </c>
      <c r="G4507" s="66">
        <f t="shared" ref="G4507" ca="1" si="9236">VLOOKUP(INDIRECT(CHAR(39)&amp;$A4507&amp;CHAR(39)&amp;"!r2c"&amp;$C4507,0),variables,2,0)</f>
        <v>9821</v>
      </c>
      <c r="H4507" s="71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67" t="s">
        <v>1429</v>
      </c>
      <c r="B4508" s="66">
        <f t="shared" si="9215"/>
        <v>20</v>
      </c>
      <c r="C4508" s="66">
        <f t="shared" si="9218"/>
        <v>13</v>
      </c>
      <c r="E4508" s="66">
        <f t="shared" ref="E4508" si="9237">plan_id</f>
        <v>1952</v>
      </c>
      <c r="F4508" s="66">
        <f t="shared" ca="1" si="9181"/>
        <v>2018</v>
      </c>
      <c r="G4508" s="66">
        <f t="shared" ref="G4508" ca="1" si="9238">VLOOKUP(INDIRECT(CHAR(39)&amp;$A4508&amp;CHAR(39)&amp;"!r2c"&amp;$C4508,0),variables,2,0)</f>
        <v>9824</v>
      </c>
      <c r="H4508" s="71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67" t="s">
        <v>1429</v>
      </c>
      <c r="B4509" s="66">
        <f t="shared" si="9215"/>
        <v>20</v>
      </c>
      <c r="C4509" s="66">
        <f t="shared" si="9218"/>
        <v>14</v>
      </c>
      <c r="E4509" s="66">
        <f t="shared" ref="E4509" si="9239">plan_id</f>
        <v>1952</v>
      </c>
      <c r="F4509" s="66">
        <f t="shared" ca="1" si="9181"/>
        <v>2018</v>
      </c>
      <c r="G4509" s="66">
        <f t="shared" ref="G4509" ca="1" si="9240">VLOOKUP(INDIRECT(CHAR(39)&amp;$A4509&amp;CHAR(39)&amp;"!r2c"&amp;$C4509,0),variables,2,0)</f>
        <v>9830</v>
      </c>
      <c r="H4509" s="71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67" t="s">
        <v>1429</v>
      </c>
      <c r="B4510" s="66">
        <f t="shared" si="9215"/>
        <v>20</v>
      </c>
      <c r="C4510" s="66">
        <f t="shared" si="9218"/>
        <v>15</v>
      </c>
      <c r="E4510" s="66">
        <f t="shared" ref="E4510" si="9241">plan_id</f>
        <v>1952</v>
      </c>
      <c r="F4510" s="66">
        <f t="shared" ca="1" si="9181"/>
        <v>2018</v>
      </c>
      <c r="G4510" s="66">
        <f t="shared" ref="G4510" ca="1" si="9242">VLOOKUP(INDIRECT(CHAR(39)&amp;$A4510&amp;CHAR(39)&amp;"!r2c"&amp;$C4510,0),variables,2,0)</f>
        <v>9833</v>
      </c>
      <c r="H4510" s="71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67" t="s">
        <v>1429</v>
      </c>
      <c r="B4511" s="66">
        <f t="shared" si="9215"/>
        <v>20</v>
      </c>
      <c r="C4511" s="66">
        <f t="shared" si="9218"/>
        <v>16</v>
      </c>
      <c r="E4511" s="66">
        <f t="shared" ref="E4511" si="9243">plan_id</f>
        <v>1952</v>
      </c>
      <c r="F4511" s="66">
        <f t="shared" ca="1" si="9181"/>
        <v>2018</v>
      </c>
      <c r="G4511" s="66">
        <f t="shared" ref="G4511" ca="1" si="9244">VLOOKUP(INDIRECT(CHAR(39)&amp;$A4511&amp;CHAR(39)&amp;"!r2c"&amp;$C4511,0),variables,2,0)</f>
        <v>9845</v>
      </c>
      <c r="H4511" s="71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67" t="s">
        <v>1429</v>
      </c>
      <c r="B4512" s="66">
        <f t="shared" si="9215"/>
        <v>20</v>
      </c>
      <c r="C4512" s="66">
        <f t="shared" si="9218"/>
        <v>17</v>
      </c>
      <c r="E4512" s="66">
        <f t="shared" ref="E4512" si="9245">plan_id</f>
        <v>1952</v>
      </c>
      <c r="F4512" s="66">
        <f t="shared" ca="1" si="9181"/>
        <v>2018</v>
      </c>
      <c r="G4512" s="66">
        <f t="shared" ref="G4512" ca="1" si="9246">VLOOKUP(INDIRECT(CHAR(39)&amp;$A4512&amp;CHAR(39)&amp;"!r2c"&amp;$C4512,0),variables,2,0)</f>
        <v>9872</v>
      </c>
      <c r="H4512" s="71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67" t="s">
        <v>1429</v>
      </c>
      <c r="B4513" s="66">
        <f t="shared" si="9215"/>
        <v>20</v>
      </c>
      <c r="C4513" s="66">
        <f t="shared" si="9218"/>
        <v>18</v>
      </c>
      <c r="E4513" s="66">
        <f t="shared" ref="E4513" si="9247">plan_id</f>
        <v>1952</v>
      </c>
      <c r="F4513" s="66">
        <f t="shared" ca="1" si="9181"/>
        <v>2018</v>
      </c>
      <c r="G4513" s="66">
        <f t="shared" ref="G4513" ca="1" si="9248">VLOOKUP(INDIRECT(CHAR(39)&amp;$A4513&amp;CHAR(39)&amp;"!r2c"&amp;$C4513,0),variables,2,0)</f>
        <v>9887</v>
      </c>
      <c r="H4513" s="71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67" t="s">
        <v>1429</v>
      </c>
      <c r="B4514" s="66">
        <f t="shared" si="9215"/>
        <v>20</v>
      </c>
      <c r="C4514" s="66">
        <f t="shared" si="9218"/>
        <v>19</v>
      </c>
      <c r="E4514" s="66">
        <f t="shared" ref="E4514" si="9249">plan_id</f>
        <v>1952</v>
      </c>
      <c r="F4514" s="66">
        <f t="shared" ca="1" si="9181"/>
        <v>2018</v>
      </c>
      <c r="G4514" s="66">
        <f t="shared" ref="G4514" ca="1" si="9250">VLOOKUP(INDIRECT(CHAR(39)&amp;$A4514&amp;CHAR(39)&amp;"!r2c"&amp;$C4514,0),variables,2,0)</f>
        <v>9914</v>
      </c>
      <c r="H4514" s="71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67" t="s">
        <v>1429</v>
      </c>
      <c r="B4515" s="66">
        <f t="shared" si="9215"/>
        <v>20</v>
      </c>
      <c r="C4515" s="66">
        <f t="shared" si="9218"/>
        <v>20</v>
      </c>
      <c r="E4515" s="66">
        <f t="shared" ref="E4515" si="9251">plan_id</f>
        <v>1952</v>
      </c>
      <c r="F4515" s="66">
        <f t="shared" ca="1" si="9181"/>
        <v>2018</v>
      </c>
      <c r="G4515" s="66">
        <f t="shared" ref="G4515" ca="1" si="9252">VLOOKUP(INDIRECT(CHAR(39)&amp;$A4515&amp;CHAR(39)&amp;"!r2c"&amp;$C4515,0),variables,2,0)</f>
        <v>9917</v>
      </c>
      <c r="H4515" s="71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67" t="s">
        <v>1429</v>
      </c>
      <c r="B4516" s="66">
        <f t="shared" si="9215"/>
        <v>20</v>
      </c>
      <c r="C4516" s="66">
        <f t="shared" si="9218"/>
        <v>21</v>
      </c>
      <c r="E4516" s="66">
        <f t="shared" ref="E4516" si="9253">plan_id</f>
        <v>1952</v>
      </c>
      <c r="F4516" s="66">
        <f t="shared" ca="1" si="9181"/>
        <v>2018</v>
      </c>
      <c r="G4516" s="66">
        <f t="shared" ref="G4516" ca="1" si="9254">VLOOKUP(INDIRECT(CHAR(39)&amp;$A4516&amp;CHAR(39)&amp;"!r2c"&amp;$C4516,0),variables,2,0)</f>
        <v>9920</v>
      </c>
      <c r="H4516" s="71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67" t="s">
        <v>1429</v>
      </c>
      <c r="B4517" s="66">
        <f t="shared" si="9215"/>
        <v>20</v>
      </c>
      <c r="C4517" s="66">
        <f t="shared" si="9218"/>
        <v>22</v>
      </c>
      <c r="E4517" s="66">
        <f t="shared" ref="E4517" si="9255">plan_id</f>
        <v>1952</v>
      </c>
      <c r="F4517" s="66">
        <f t="shared" ca="1" si="9181"/>
        <v>2018</v>
      </c>
      <c r="G4517" s="66">
        <f t="shared" ref="G4517" ca="1" si="9256">VLOOKUP(INDIRECT(CHAR(39)&amp;$A4517&amp;CHAR(39)&amp;"!r2c"&amp;$C4517,0),variables,2,0)</f>
        <v>9648</v>
      </c>
      <c r="H4517" s="71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67" t="s">
        <v>1429</v>
      </c>
      <c r="B4518" s="66">
        <f t="shared" si="9215"/>
        <v>20</v>
      </c>
      <c r="C4518" s="66">
        <f t="shared" si="9218"/>
        <v>23</v>
      </c>
      <c r="E4518" s="66">
        <f t="shared" ref="E4518" si="9257">plan_id</f>
        <v>1952</v>
      </c>
      <c r="F4518" s="66">
        <f t="shared" ca="1" si="9181"/>
        <v>2018</v>
      </c>
      <c r="G4518" s="66">
        <f t="shared" ref="G4518" ca="1" si="9258">VLOOKUP(INDIRECT(CHAR(39)&amp;$A4518&amp;CHAR(39)&amp;"!r2c"&amp;$C4518,0),variables,2,0)</f>
        <v>9713</v>
      </c>
      <c r="H4518" s="71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67" t="s">
        <v>1429</v>
      </c>
      <c r="B4519" s="66">
        <f t="shared" si="9215"/>
        <v>20</v>
      </c>
      <c r="C4519" s="66">
        <f t="shared" si="9218"/>
        <v>24</v>
      </c>
      <c r="E4519" s="66">
        <f t="shared" ref="E4519" si="9259">plan_id</f>
        <v>1952</v>
      </c>
      <c r="F4519" s="66">
        <f t="shared" ca="1" si="9181"/>
        <v>2018</v>
      </c>
      <c r="G4519" s="66">
        <f t="shared" ref="G4519" ca="1" si="9260">VLOOKUP(INDIRECT(CHAR(39)&amp;$A4519&amp;CHAR(39)&amp;"!r2c"&amp;$C4519,0),variables,2,0)</f>
        <v>9719</v>
      </c>
      <c r="H4519" s="71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67" t="s">
        <v>1429</v>
      </c>
      <c r="B4520" s="66">
        <f t="shared" si="9215"/>
        <v>20</v>
      </c>
      <c r="C4520" s="66">
        <f t="shared" si="9218"/>
        <v>25</v>
      </c>
      <c r="E4520" s="66">
        <f t="shared" ref="E4520" si="9261">plan_id</f>
        <v>1952</v>
      </c>
      <c r="F4520" s="66">
        <f t="shared" ca="1" si="9181"/>
        <v>2018</v>
      </c>
      <c r="G4520" s="66">
        <f t="shared" ref="G4520" ca="1" si="9262">VLOOKUP(INDIRECT(CHAR(39)&amp;$A4520&amp;CHAR(39)&amp;"!r2c"&amp;$C4520,0),variables,2,0)</f>
        <v>9725</v>
      </c>
      <c r="H4520" s="71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67" t="s">
        <v>1429</v>
      </c>
      <c r="B4521" s="66">
        <f t="shared" si="9215"/>
        <v>20</v>
      </c>
      <c r="C4521" s="66">
        <f t="shared" si="9218"/>
        <v>26</v>
      </c>
      <c r="E4521" s="66">
        <f t="shared" ref="E4521" si="9263">plan_id</f>
        <v>1952</v>
      </c>
      <c r="F4521" s="66">
        <f t="shared" ca="1" si="9181"/>
        <v>2018</v>
      </c>
      <c r="G4521" s="66">
        <f t="shared" ref="G4521" ca="1" si="9264">VLOOKUP(INDIRECT(CHAR(39)&amp;$A4521&amp;CHAR(39)&amp;"!r2c"&amp;$C4521,0),variables,2,0)</f>
        <v>9743</v>
      </c>
      <c r="H4521" s="71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67" t="s">
        <v>1429</v>
      </c>
      <c r="B4522" s="66">
        <f t="shared" si="9215"/>
        <v>20</v>
      </c>
      <c r="C4522" s="66">
        <f t="shared" si="9218"/>
        <v>27</v>
      </c>
      <c r="E4522" s="66">
        <f t="shared" ref="E4522" si="9265">plan_id</f>
        <v>1952</v>
      </c>
      <c r="F4522" s="66">
        <f t="shared" ca="1" si="9181"/>
        <v>2018</v>
      </c>
      <c r="G4522" s="66">
        <f t="shared" ref="G4522" ca="1" si="9266">VLOOKUP(INDIRECT(CHAR(39)&amp;$A4522&amp;CHAR(39)&amp;"!r2c"&amp;$C4522,0),variables,2,0)</f>
        <v>9746</v>
      </c>
      <c r="H4522" s="71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67" t="s">
        <v>1429</v>
      </c>
      <c r="B4523" s="66">
        <f t="shared" si="9215"/>
        <v>20</v>
      </c>
      <c r="C4523" s="66">
        <f t="shared" si="9218"/>
        <v>28</v>
      </c>
      <c r="E4523" s="66">
        <f t="shared" ref="E4523" si="9267">plan_id</f>
        <v>1952</v>
      </c>
      <c r="F4523" s="66">
        <f t="shared" ca="1" si="9181"/>
        <v>2018</v>
      </c>
      <c r="G4523" s="66">
        <f t="shared" ref="G4523" ca="1" si="9268">VLOOKUP(INDIRECT(CHAR(39)&amp;$A4523&amp;CHAR(39)&amp;"!r2c"&amp;$C4523,0),variables,2,0)</f>
        <v>9761</v>
      </c>
      <c r="H4523" s="71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67" t="s">
        <v>1429</v>
      </c>
      <c r="B4524" s="66">
        <f t="shared" si="9215"/>
        <v>20</v>
      </c>
      <c r="C4524" s="66">
        <f t="shared" si="9218"/>
        <v>29</v>
      </c>
      <c r="E4524" s="66">
        <f t="shared" ref="E4524" si="9269">plan_id</f>
        <v>1952</v>
      </c>
      <c r="F4524" s="66">
        <f t="shared" ca="1" si="9181"/>
        <v>2018</v>
      </c>
      <c r="G4524" s="66">
        <f t="shared" ref="G4524" ca="1" si="9270">VLOOKUP(INDIRECT(CHAR(39)&amp;$A4524&amp;CHAR(39)&amp;"!r2c"&amp;$C4524,0),variables,2,0)</f>
        <v>9764</v>
      </c>
      <c r="H4524" s="71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67" t="s">
        <v>1429</v>
      </c>
      <c r="B4525" s="66">
        <f t="shared" si="9215"/>
        <v>20</v>
      </c>
      <c r="C4525" s="66">
        <f t="shared" si="9218"/>
        <v>30</v>
      </c>
      <c r="E4525" s="66">
        <f t="shared" ref="E4525" si="9271">plan_id</f>
        <v>1952</v>
      </c>
      <c r="F4525" s="66">
        <f t="shared" ca="1" si="9181"/>
        <v>2018</v>
      </c>
      <c r="G4525" s="66">
        <f t="shared" ref="G4525" ca="1" si="9272">VLOOKUP(INDIRECT(CHAR(39)&amp;$A4525&amp;CHAR(39)&amp;"!r2c"&amp;$C4525,0),variables,2,0)</f>
        <v>9767</v>
      </c>
      <c r="H4525" s="71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67" t="s">
        <v>1429</v>
      </c>
      <c r="B4526" s="66">
        <f t="shared" si="9215"/>
        <v>20</v>
      </c>
      <c r="C4526" s="66">
        <f t="shared" si="9218"/>
        <v>31</v>
      </c>
      <c r="E4526" s="66">
        <f t="shared" ref="E4526" si="9273">plan_id</f>
        <v>1952</v>
      </c>
      <c r="F4526" s="66">
        <f t="shared" ca="1" si="9181"/>
        <v>2018</v>
      </c>
      <c r="G4526" s="66">
        <f t="shared" ref="G4526" ca="1" si="9274">VLOOKUP(INDIRECT(CHAR(39)&amp;$A4526&amp;CHAR(39)&amp;"!r2c"&amp;$C4526,0),variables,2,0)</f>
        <v>9770</v>
      </c>
      <c r="H4526" s="71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67" t="s">
        <v>1429</v>
      </c>
      <c r="B4527" s="66">
        <f t="shared" si="9215"/>
        <v>20</v>
      </c>
      <c r="C4527" s="66">
        <f t="shared" si="9218"/>
        <v>32</v>
      </c>
      <c r="E4527" s="66">
        <f t="shared" ref="E4527" si="9275">plan_id</f>
        <v>1952</v>
      </c>
      <c r="F4527" s="66">
        <f t="shared" ca="1" si="9181"/>
        <v>2018</v>
      </c>
      <c r="G4527" s="66">
        <f t="shared" ref="G4527" ca="1" si="9276">VLOOKUP(INDIRECT(CHAR(39)&amp;$A4527&amp;CHAR(39)&amp;"!r2c"&amp;$C4527,0),variables,2,0)</f>
        <v>9773</v>
      </c>
      <c r="H4527" s="71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67" t="s">
        <v>1429</v>
      </c>
      <c r="B4528" s="66">
        <f t="shared" si="9215"/>
        <v>20</v>
      </c>
      <c r="C4528" s="66">
        <f t="shared" si="9218"/>
        <v>33</v>
      </c>
      <c r="E4528" s="66">
        <f t="shared" ref="E4528" si="9277">plan_id</f>
        <v>1952</v>
      </c>
      <c r="F4528" s="66">
        <f t="shared" ca="1" si="9181"/>
        <v>2018</v>
      </c>
      <c r="G4528" s="66">
        <f t="shared" ref="G4528" ca="1" si="9278">VLOOKUP(INDIRECT(CHAR(39)&amp;$A4528&amp;CHAR(39)&amp;"!r2c"&amp;$C4528,0),variables,2,0)</f>
        <v>9776</v>
      </c>
      <c r="H4528" s="71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67" t="s">
        <v>1429</v>
      </c>
      <c r="B4529" s="66">
        <f t="shared" si="9215"/>
        <v>20</v>
      </c>
      <c r="C4529" s="66">
        <f t="shared" si="9218"/>
        <v>34</v>
      </c>
      <c r="E4529" s="66">
        <f t="shared" ref="E4529" si="9279">plan_id</f>
        <v>1952</v>
      </c>
      <c r="F4529" s="66">
        <f t="shared" ca="1" si="9181"/>
        <v>2018</v>
      </c>
      <c r="G4529" s="66">
        <f t="shared" ref="G4529" ca="1" si="9280">VLOOKUP(INDIRECT(CHAR(39)&amp;$A4529&amp;CHAR(39)&amp;"!r2c"&amp;$C4529,0),variables,2,0)</f>
        <v>9779</v>
      </c>
      <c r="H4529" s="71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67" t="s">
        <v>1429</v>
      </c>
      <c r="B4530" s="66">
        <f t="shared" si="9215"/>
        <v>20</v>
      </c>
      <c r="C4530" s="66">
        <f t="shared" si="9218"/>
        <v>35</v>
      </c>
      <c r="E4530" s="66">
        <f t="shared" ref="E4530" si="9281">plan_id</f>
        <v>1952</v>
      </c>
      <c r="F4530" s="66">
        <f t="shared" ca="1" si="9181"/>
        <v>2018</v>
      </c>
      <c r="G4530" s="66">
        <f t="shared" ref="G4530" ca="1" si="9282">VLOOKUP(INDIRECT(CHAR(39)&amp;$A4530&amp;CHAR(39)&amp;"!r2c"&amp;$C4530,0),variables,2,0)</f>
        <v>9785</v>
      </c>
      <c r="H4530" s="71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67" t="s">
        <v>1429</v>
      </c>
      <c r="B4531" s="66">
        <f t="shared" si="9215"/>
        <v>20</v>
      </c>
      <c r="C4531" s="66">
        <f t="shared" si="9218"/>
        <v>36</v>
      </c>
      <c r="E4531" s="66">
        <f t="shared" ref="E4531" si="9283">plan_id</f>
        <v>1952</v>
      </c>
      <c r="F4531" s="66">
        <f t="shared" ca="1" si="9181"/>
        <v>2018</v>
      </c>
      <c r="G4531" s="66">
        <f t="shared" ref="G4531" ca="1" si="9284">VLOOKUP(INDIRECT(CHAR(39)&amp;$A4531&amp;CHAR(39)&amp;"!r2c"&amp;$C4531,0),variables,2,0)</f>
        <v>9794</v>
      </c>
      <c r="H4531" s="71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67" t="s">
        <v>1429</v>
      </c>
      <c r="B4532" s="66">
        <f t="shared" si="9215"/>
        <v>20</v>
      </c>
      <c r="C4532" s="66">
        <f t="shared" si="9218"/>
        <v>37</v>
      </c>
      <c r="E4532" s="66">
        <f t="shared" ref="E4532" si="9285">plan_id</f>
        <v>1952</v>
      </c>
      <c r="F4532" s="66">
        <f t="shared" ca="1" si="9181"/>
        <v>2018</v>
      </c>
      <c r="G4532" s="66">
        <f t="shared" ref="G4532" ca="1" si="9286">VLOOKUP(INDIRECT(CHAR(39)&amp;$A4532&amp;CHAR(39)&amp;"!r2c"&amp;$C4532,0),variables,2,0)</f>
        <v>9797</v>
      </c>
      <c r="H4532" s="71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67" t="s">
        <v>1429</v>
      </c>
      <c r="B4533" s="66">
        <f t="shared" si="9215"/>
        <v>20</v>
      </c>
      <c r="C4533" s="66">
        <f t="shared" si="9218"/>
        <v>38</v>
      </c>
      <c r="E4533" s="66">
        <f t="shared" ref="E4533" si="9287">plan_id</f>
        <v>1952</v>
      </c>
      <c r="F4533" s="66">
        <f t="shared" ca="1" si="9181"/>
        <v>2018</v>
      </c>
      <c r="G4533" s="66">
        <f t="shared" ref="G4533" ca="1" si="9288">VLOOKUP(INDIRECT(CHAR(39)&amp;$A4533&amp;CHAR(39)&amp;"!r2c"&amp;$C4533,0),variables,2,0)</f>
        <v>9806</v>
      </c>
      <c r="H4533" s="71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67" t="s">
        <v>1429</v>
      </c>
      <c r="B4534" s="66">
        <f t="shared" si="9215"/>
        <v>20</v>
      </c>
      <c r="C4534" s="66">
        <f t="shared" si="9218"/>
        <v>39</v>
      </c>
      <c r="E4534" s="66">
        <f t="shared" ref="E4534" si="9289">plan_id</f>
        <v>1952</v>
      </c>
      <c r="F4534" s="66">
        <f t="shared" ca="1" si="9181"/>
        <v>2018</v>
      </c>
      <c r="G4534" s="66">
        <f t="shared" ref="G4534" ca="1" si="9290">VLOOKUP(INDIRECT(CHAR(39)&amp;$A4534&amp;CHAR(39)&amp;"!r2c"&amp;$C4534,0),variables,2,0)</f>
        <v>9809</v>
      </c>
      <c r="H4534" s="71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67" t="s">
        <v>1429</v>
      </c>
      <c r="B4535" s="66">
        <f t="shared" si="9215"/>
        <v>20</v>
      </c>
      <c r="C4535" s="66">
        <f t="shared" si="9218"/>
        <v>40</v>
      </c>
      <c r="E4535" s="66">
        <f t="shared" ref="E4535" si="9291">plan_id</f>
        <v>1952</v>
      </c>
      <c r="F4535" s="66">
        <f t="shared" ca="1" si="9181"/>
        <v>2018</v>
      </c>
      <c r="G4535" s="66">
        <f t="shared" ref="G4535" ca="1" si="9292">VLOOKUP(INDIRECT(CHAR(39)&amp;$A4535&amp;CHAR(39)&amp;"!r2c"&amp;$C4535,0),variables,2,0)</f>
        <v>9818</v>
      </c>
      <c r="H4535" s="71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67" t="s">
        <v>1429</v>
      </c>
      <c r="B4536" s="66">
        <f t="shared" si="9215"/>
        <v>20</v>
      </c>
      <c r="C4536" s="66">
        <f t="shared" si="9218"/>
        <v>41</v>
      </c>
      <c r="E4536" s="66">
        <f t="shared" ref="E4536" si="9293">plan_id</f>
        <v>1952</v>
      </c>
      <c r="F4536" s="66">
        <f t="shared" ca="1" si="9181"/>
        <v>2018</v>
      </c>
      <c r="G4536" s="66">
        <f t="shared" ref="G4536" ca="1" si="9294">VLOOKUP(INDIRECT(CHAR(39)&amp;$A4536&amp;CHAR(39)&amp;"!r2c"&amp;$C4536,0),variables,2,0)</f>
        <v>9839</v>
      </c>
      <c r="H4536" s="71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67" t="s">
        <v>1429</v>
      </c>
      <c r="B4537" s="66">
        <f t="shared" si="9215"/>
        <v>20</v>
      </c>
      <c r="C4537" s="66">
        <f t="shared" si="9218"/>
        <v>42</v>
      </c>
      <c r="E4537" s="66">
        <f t="shared" ref="E4537" si="9295">plan_id</f>
        <v>1952</v>
      </c>
      <c r="F4537" s="66">
        <f t="shared" ca="1" si="9181"/>
        <v>2018</v>
      </c>
      <c r="G4537" s="66">
        <f t="shared" ref="G4537" ca="1" si="9296">VLOOKUP(INDIRECT(CHAR(39)&amp;$A4537&amp;CHAR(39)&amp;"!r2c"&amp;$C4537,0),variables,2,0)</f>
        <v>9860</v>
      </c>
      <c r="H4537" s="71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67" t="s">
        <v>1429</v>
      </c>
      <c r="B4538" s="66">
        <f t="shared" si="9215"/>
        <v>20</v>
      </c>
      <c r="C4538" s="66">
        <f t="shared" si="9218"/>
        <v>43</v>
      </c>
      <c r="E4538" s="66">
        <f t="shared" ref="E4538" si="9297">plan_id</f>
        <v>1952</v>
      </c>
      <c r="F4538" s="66">
        <f t="shared" ca="1" si="9181"/>
        <v>2018</v>
      </c>
      <c r="G4538" s="66">
        <f t="shared" ref="G4538" ca="1" si="9298">VLOOKUP(INDIRECT(CHAR(39)&amp;$A4538&amp;CHAR(39)&amp;"!r2c"&amp;$C4538,0),variables,2,0)</f>
        <v>9863</v>
      </c>
      <c r="H4538" s="71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67" t="s">
        <v>1429</v>
      </c>
      <c r="B4539" s="66">
        <f t="shared" si="9215"/>
        <v>20</v>
      </c>
      <c r="C4539" s="66">
        <f t="shared" si="9218"/>
        <v>44</v>
      </c>
      <c r="E4539" s="66">
        <f t="shared" ref="E4539" si="9299">plan_id</f>
        <v>1952</v>
      </c>
      <c r="F4539" s="66">
        <f t="shared" ca="1" si="9181"/>
        <v>2018</v>
      </c>
      <c r="G4539" s="66">
        <f t="shared" ref="G4539" ca="1" si="9300">VLOOKUP(INDIRECT(CHAR(39)&amp;$A4539&amp;CHAR(39)&amp;"!r2c"&amp;$C4539,0),variables,2,0)</f>
        <v>9878</v>
      </c>
      <c r="H4539" s="71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67" t="s">
        <v>1429</v>
      </c>
      <c r="B4540" s="66">
        <f t="shared" si="9215"/>
        <v>20</v>
      </c>
      <c r="C4540" s="66">
        <f t="shared" si="9218"/>
        <v>45</v>
      </c>
      <c r="E4540" s="66">
        <f t="shared" ref="E4540" si="9301">plan_id</f>
        <v>1952</v>
      </c>
      <c r="F4540" s="66">
        <f t="shared" ca="1" si="9181"/>
        <v>2018</v>
      </c>
      <c r="G4540" s="66">
        <f t="shared" ref="G4540" ca="1" si="9302">VLOOKUP(INDIRECT(CHAR(39)&amp;$A4540&amp;CHAR(39)&amp;"!r2c"&amp;$C4540,0),variables,2,0)</f>
        <v>9923</v>
      </c>
      <c r="H4540" s="71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67" t="s">
        <v>1429</v>
      </c>
      <c r="B4541" s="66">
        <f t="shared" si="9215"/>
        <v>20</v>
      </c>
      <c r="C4541" s="66">
        <f t="shared" si="9218"/>
        <v>46</v>
      </c>
      <c r="E4541" s="66">
        <f t="shared" ref="E4541" si="9303">plan_id</f>
        <v>1952</v>
      </c>
      <c r="F4541" s="66">
        <f t="shared" ca="1" si="9181"/>
        <v>2018</v>
      </c>
      <c r="G4541" s="66">
        <f t="shared" ref="G4541" ca="1" si="9304">VLOOKUP(INDIRECT(CHAR(39)&amp;$A4541&amp;CHAR(39)&amp;"!r2c"&amp;$C4541,0),variables,2,0)</f>
        <v>9932</v>
      </c>
      <c r="H4541" s="71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67" t="s">
        <v>1429</v>
      </c>
      <c r="B4542" s="66">
        <f t="shared" si="9215"/>
        <v>20</v>
      </c>
      <c r="C4542" s="66">
        <f t="shared" si="9218"/>
        <v>47</v>
      </c>
      <c r="E4542" s="66">
        <f t="shared" ref="E4542" si="9305">plan_id</f>
        <v>1952</v>
      </c>
      <c r="F4542" s="66">
        <f t="shared" ca="1" si="9181"/>
        <v>2018</v>
      </c>
      <c r="G4542" s="66">
        <f t="shared" ref="G4542" ca="1" si="9306">VLOOKUP(INDIRECT(CHAR(39)&amp;$A4542&amp;CHAR(39)&amp;"!r2c"&amp;$C4542,0),variables,2,0)</f>
        <v>9935</v>
      </c>
      <c r="H4542" s="71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67" t="s">
        <v>1429</v>
      </c>
      <c r="B4543" s="66">
        <f t="shared" si="9215"/>
        <v>20</v>
      </c>
      <c r="C4543" s="66">
        <f t="shared" si="9218"/>
        <v>48</v>
      </c>
      <c r="E4543" s="66">
        <f t="shared" ref="E4543" si="9307">plan_id</f>
        <v>1952</v>
      </c>
      <c r="F4543" s="66">
        <f t="shared" ca="1" si="9181"/>
        <v>2018</v>
      </c>
      <c r="G4543" s="66">
        <f t="shared" ref="G4543" ca="1" si="9308">VLOOKUP(INDIRECT(CHAR(39)&amp;$A4543&amp;CHAR(39)&amp;"!r2c"&amp;$C4543,0),variables,2,0)</f>
        <v>9651</v>
      </c>
      <c r="H4543" s="71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67" t="s">
        <v>1429</v>
      </c>
      <c r="B4544" s="66">
        <f t="shared" si="9215"/>
        <v>20</v>
      </c>
      <c r="C4544" s="66">
        <f t="shared" si="9218"/>
        <v>49</v>
      </c>
      <c r="E4544" s="66">
        <f t="shared" ref="E4544" si="9309">plan_id</f>
        <v>1952</v>
      </c>
      <c r="F4544" s="66">
        <f t="shared" ca="1" si="9181"/>
        <v>2018</v>
      </c>
      <c r="G4544" s="66">
        <f t="shared" ref="G4544" ca="1" si="9310">VLOOKUP(INDIRECT(CHAR(39)&amp;$A4544&amp;CHAR(39)&amp;"!r2c"&amp;$C4544,0),variables,2,0)</f>
        <v>9722</v>
      </c>
      <c r="H4544" s="71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67" t="s">
        <v>1429</v>
      </c>
      <c r="B4545" s="66">
        <f t="shared" si="9215"/>
        <v>20</v>
      </c>
      <c r="C4545" s="66">
        <f t="shared" si="9218"/>
        <v>50</v>
      </c>
      <c r="E4545" s="66">
        <f t="shared" ref="E4545" si="9311">plan_id</f>
        <v>1952</v>
      </c>
      <c r="F4545" s="66">
        <f t="shared" ref="F4545:F4608" ca="1" si="9312">INDIRECT(CHAR(39)&amp;$A4545&amp;CHAR(39)&amp;"!r"&amp;$B4545&amp;"c2",0)</f>
        <v>2018</v>
      </c>
      <c r="G4545" s="66">
        <f t="shared" ref="G4545" ca="1" si="9313">VLOOKUP(INDIRECT(CHAR(39)&amp;$A4545&amp;CHAR(39)&amp;"!r2c"&amp;$C4545,0),variables,2,0)</f>
        <v>9848</v>
      </c>
      <c r="H4545" s="71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67" t="s">
        <v>1429</v>
      </c>
      <c r="B4546" s="66">
        <f t="shared" si="9215"/>
        <v>20</v>
      </c>
      <c r="C4546" s="66">
        <f t="shared" si="9218"/>
        <v>51</v>
      </c>
      <c r="E4546" s="66">
        <f t="shared" ref="E4546" si="9314">plan_id</f>
        <v>1952</v>
      </c>
      <c r="F4546" s="66">
        <f t="shared" ca="1" si="9312"/>
        <v>2018</v>
      </c>
      <c r="G4546" s="66">
        <f t="shared" ref="G4546" ca="1" si="9315">VLOOKUP(INDIRECT(CHAR(39)&amp;$A4546&amp;CHAR(39)&amp;"!r2c"&amp;$C4546,0),variables,2,0)</f>
        <v>9866</v>
      </c>
      <c r="H4546" s="71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67" t="s">
        <v>1429</v>
      </c>
      <c r="B4547" s="66">
        <f t="shared" si="9215"/>
        <v>20</v>
      </c>
      <c r="C4547" s="66">
        <f t="shared" si="9218"/>
        <v>52</v>
      </c>
      <c r="E4547" s="66">
        <f t="shared" ref="E4547" si="9316">plan_id</f>
        <v>1952</v>
      </c>
      <c r="F4547" s="66">
        <f t="shared" ca="1" si="9312"/>
        <v>2018</v>
      </c>
      <c r="G4547" s="66">
        <f t="shared" ref="G4547" ca="1" si="9317">VLOOKUP(INDIRECT(CHAR(39)&amp;$A4547&amp;CHAR(39)&amp;"!r2c"&amp;$C4547,0),variables,2,0)</f>
        <v>9899</v>
      </c>
      <c r="H4547" s="71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67" t="s">
        <v>1429</v>
      </c>
      <c r="B4548" s="66">
        <f t="shared" si="9215"/>
        <v>20</v>
      </c>
      <c r="C4548" s="66">
        <f t="shared" si="9218"/>
        <v>53</v>
      </c>
      <c r="E4548" s="66">
        <f t="shared" ref="E4548" si="9318">plan_id</f>
        <v>1952</v>
      </c>
      <c r="F4548" s="66">
        <f t="shared" ca="1" si="9312"/>
        <v>2018</v>
      </c>
      <c r="G4548" s="66">
        <f t="shared" ref="G4548" ca="1" si="9319">VLOOKUP(INDIRECT(CHAR(39)&amp;$A4548&amp;CHAR(39)&amp;"!r2c"&amp;$C4548,0),variables,2,0)</f>
        <v>9905</v>
      </c>
      <c r="H4548" s="71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67" t="s">
        <v>1429</v>
      </c>
      <c r="B4549" s="66">
        <f t="shared" si="9215"/>
        <v>20</v>
      </c>
      <c r="C4549" s="66">
        <f t="shared" si="9218"/>
        <v>54</v>
      </c>
      <c r="E4549" s="66">
        <f t="shared" ref="E4549" si="9320">plan_id</f>
        <v>1952</v>
      </c>
      <c r="F4549" s="66">
        <f t="shared" ca="1" si="9312"/>
        <v>2018</v>
      </c>
      <c r="G4549" s="66">
        <f t="shared" ref="G4549" ca="1" si="9321">VLOOKUP(INDIRECT(CHAR(39)&amp;$A4549&amp;CHAR(39)&amp;"!r2c"&amp;$C4549,0),variables,2,0)</f>
        <v>9929</v>
      </c>
      <c r="H4549" s="71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67" t="s">
        <v>1429</v>
      </c>
      <c r="B4550" s="66">
        <f t="shared" si="9215"/>
        <v>20</v>
      </c>
      <c r="C4550" s="66">
        <f t="shared" si="9218"/>
        <v>55</v>
      </c>
      <c r="E4550" s="66">
        <f t="shared" ref="E4550" si="9322">plan_id</f>
        <v>1952</v>
      </c>
      <c r="F4550" s="66">
        <f t="shared" ca="1" si="9312"/>
        <v>2018</v>
      </c>
      <c r="G4550" s="66">
        <f t="shared" ref="G4550" ca="1" si="9323">VLOOKUP(INDIRECT(CHAR(39)&amp;$A4550&amp;CHAR(39)&amp;"!r2c"&amp;$C4550,0),variables,2,0)</f>
        <v>9654</v>
      </c>
      <c r="H4550" s="71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67" t="s">
        <v>1429</v>
      </c>
      <c r="B4551" s="66">
        <f t="shared" si="9215"/>
        <v>20</v>
      </c>
      <c r="C4551" s="66">
        <f t="shared" si="9218"/>
        <v>56</v>
      </c>
      <c r="E4551" s="66">
        <f t="shared" ref="E4551" si="9324">plan_id</f>
        <v>1952</v>
      </c>
      <c r="F4551" s="66">
        <f t="shared" ca="1" si="9312"/>
        <v>2018</v>
      </c>
      <c r="G4551" s="66">
        <f t="shared" ref="G4551" ca="1" si="9325">VLOOKUP(INDIRECT(CHAR(39)&amp;$A4551&amp;CHAR(39)&amp;"!r2c"&amp;$C4551,0),variables,2,0)</f>
        <v>9707</v>
      </c>
      <c r="H4551" s="71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67" t="s">
        <v>1429</v>
      </c>
      <c r="B4552" s="66">
        <f t="shared" si="9215"/>
        <v>20</v>
      </c>
      <c r="C4552" s="66">
        <f t="shared" si="9218"/>
        <v>57</v>
      </c>
      <c r="E4552" s="66">
        <f t="shared" ref="E4552" si="9326">plan_id</f>
        <v>1952</v>
      </c>
      <c r="F4552" s="66">
        <f t="shared" ca="1" si="9312"/>
        <v>2018</v>
      </c>
      <c r="G4552" s="66">
        <f t="shared" ref="G4552" ca="1" si="9327">VLOOKUP(INDIRECT(CHAR(39)&amp;$A4552&amp;CHAR(39)&amp;"!r2c"&amp;$C4552,0),variables,2,0)</f>
        <v>9669</v>
      </c>
      <c r="H4552" s="71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67" t="s">
        <v>1429</v>
      </c>
      <c r="B4553" s="66">
        <f t="shared" si="9215"/>
        <v>20</v>
      </c>
      <c r="C4553" s="66">
        <f t="shared" si="9218"/>
        <v>58</v>
      </c>
      <c r="E4553" s="66">
        <f t="shared" ref="E4553" si="9328">plan_id</f>
        <v>1952</v>
      </c>
      <c r="F4553" s="66">
        <f t="shared" ca="1" si="9312"/>
        <v>2018</v>
      </c>
      <c r="G4553" s="66">
        <f t="shared" ref="G4553" ca="1" si="9329">VLOOKUP(INDIRECT(CHAR(39)&amp;$A4553&amp;CHAR(39)&amp;"!r2c"&amp;$C4553,0),variables,2,0)</f>
        <v>9851</v>
      </c>
      <c r="H4553" s="71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67" t="s">
        <v>1429</v>
      </c>
      <c r="B4554" s="66">
        <f t="shared" si="9215"/>
        <v>20</v>
      </c>
      <c r="C4554" s="66">
        <f t="shared" si="9218"/>
        <v>59</v>
      </c>
      <c r="E4554" s="66">
        <f t="shared" ref="E4554" si="9330">plan_id</f>
        <v>1952</v>
      </c>
      <c r="F4554" s="66">
        <f t="shared" ca="1" si="9312"/>
        <v>2018</v>
      </c>
      <c r="G4554" s="66">
        <f t="shared" ref="G4554" ca="1" si="9331">VLOOKUP(INDIRECT(CHAR(39)&amp;$A4554&amp;CHAR(39)&amp;"!r2c"&amp;$C4554,0),variables,2,0)</f>
        <v>9890</v>
      </c>
      <c r="H4554" s="71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67" t="s">
        <v>1429</v>
      </c>
      <c r="B4555" s="66">
        <f t="shared" si="9215"/>
        <v>20</v>
      </c>
      <c r="C4555" s="66">
        <f t="shared" si="9218"/>
        <v>60</v>
      </c>
      <c r="E4555" s="66">
        <f t="shared" ref="E4555" si="9332">plan_id</f>
        <v>1952</v>
      </c>
      <c r="F4555" s="66">
        <f t="shared" ca="1" si="9312"/>
        <v>2018</v>
      </c>
      <c r="G4555" s="66">
        <f t="shared" ref="G4555" ca="1" si="9333">VLOOKUP(INDIRECT(CHAR(39)&amp;$A4555&amp;CHAR(39)&amp;"!r2c"&amp;$C4555,0),variables,2,0)</f>
        <v>9893</v>
      </c>
      <c r="H4555" s="71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67" t="s">
        <v>1429</v>
      </c>
      <c r="B4556" s="66">
        <f t="shared" si="9215"/>
        <v>20</v>
      </c>
      <c r="C4556" s="66">
        <f t="shared" si="9218"/>
        <v>61</v>
      </c>
      <c r="E4556" s="66">
        <f t="shared" ref="E4556" si="9334">plan_id</f>
        <v>1952</v>
      </c>
      <c r="F4556" s="66">
        <f t="shared" ca="1" si="9312"/>
        <v>2018</v>
      </c>
      <c r="G4556" s="66">
        <f t="shared" ref="G4556" ca="1" si="9335">VLOOKUP(INDIRECT(CHAR(39)&amp;$A4556&amp;CHAR(39)&amp;"!r2c"&amp;$C4556,0),variables,2,0)</f>
        <v>9896</v>
      </c>
      <c r="H4556" s="71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67" t="s">
        <v>1429</v>
      </c>
      <c r="B4557" s="66">
        <f t="shared" si="9215"/>
        <v>20</v>
      </c>
      <c r="C4557" s="66">
        <f t="shared" si="9218"/>
        <v>62</v>
      </c>
      <c r="E4557" s="66">
        <f t="shared" ref="E4557" si="9336">plan_id</f>
        <v>1952</v>
      </c>
      <c r="F4557" s="66">
        <f t="shared" ca="1" si="9312"/>
        <v>2018</v>
      </c>
      <c r="G4557" s="66">
        <f t="shared" ref="G4557" ca="1" si="9337">VLOOKUP(INDIRECT(CHAR(39)&amp;$A4557&amp;CHAR(39)&amp;"!r2c"&amp;$C4557,0),variables,2,0)</f>
        <v>9660</v>
      </c>
      <c r="H4557" s="71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67" t="s">
        <v>1429</v>
      </c>
      <c r="B4558" s="66">
        <f t="shared" si="9215"/>
        <v>20</v>
      </c>
      <c r="C4558" s="66">
        <f t="shared" si="9218"/>
        <v>63</v>
      </c>
      <c r="E4558" s="66">
        <f t="shared" ref="E4558" si="9338">plan_id</f>
        <v>1952</v>
      </c>
      <c r="F4558" s="66">
        <f t="shared" ca="1" si="9312"/>
        <v>2018</v>
      </c>
      <c r="G4558" s="66">
        <f t="shared" ref="G4558" ca="1" si="9339">VLOOKUP(INDIRECT(CHAR(39)&amp;$A4558&amp;CHAR(39)&amp;"!r2c"&amp;$C4558,0),variables,2,0)</f>
        <v>9701</v>
      </c>
      <c r="H4558" s="71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67" t="s">
        <v>1429</v>
      </c>
      <c r="B4559" s="66">
        <f t="shared" si="9215"/>
        <v>20</v>
      </c>
      <c r="C4559" s="66">
        <f t="shared" si="9218"/>
        <v>64</v>
      </c>
      <c r="E4559" s="66">
        <f t="shared" ref="E4559" si="9340">plan_id</f>
        <v>1952</v>
      </c>
      <c r="F4559" s="66">
        <f t="shared" ca="1" si="9312"/>
        <v>2018</v>
      </c>
      <c r="G4559" s="66">
        <f t="shared" ref="G4559" ca="1" si="9341">VLOOKUP(INDIRECT(CHAR(39)&amp;$A4559&amp;CHAR(39)&amp;"!r2c"&amp;$C4559,0),variables,2,0)</f>
        <v>9728</v>
      </c>
      <c r="H4559" s="71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67" t="s">
        <v>1429</v>
      </c>
      <c r="B4560" s="66">
        <f t="shared" si="9215"/>
        <v>20</v>
      </c>
      <c r="C4560" s="66">
        <f t="shared" si="9218"/>
        <v>65</v>
      </c>
      <c r="E4560" s="66">
        <f t="shared" ref="E4560" si="9342">plan_id</f>
        <v>1952</v>
      </c>
      <c r="F4560" s="66">
        <f t="shared" ca="1" si="9312"/>
        <v>2018</v>
      </c>
      <c r="G4560" s="66">
        <f t="shared" ref="G4560" ca="1" si="9343">VLOOKUP(INDIRECT(CHAR(39)&amp;$A4560&amp;CHAR(39)&amp;"!r2c"&amp;$C4560,0),variables,2,0)</f>
        <v>9731</v>
      </c>
      <c r="H4560" s="71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67" t="s">
        <v>1429</v>
      </c>
      <c r="B4561" s="66">
        <f t="shared" si="9215"/>
        <v>20</v>
      </c>
      <c r="C4561" s="66">
        <f t="shared" si="9218"/>
        <v>66</v>
      </c>
      <c r="E4561" s="66">
        <f t="shared" ref="E4561" si="9344">plan_id</f>
        <v>1952</v>
      </c>
      <c r="F4561" s="66">
        <f t="shared" ca="1" si="9312"/>
        <v>2018</v>
      </c>
      <c r="G4561" s="66">
        <f t="shared" ref="G4561" ca="1" si="9345">VLOOKUP(INDIRECT(CHAR(39)&amp;$A4561&amp;CHAR(39)&amp;"!r2c"&amp;$C4561,0),variables,2,0)</f>
        <v>9737</v>
      </c>
      <c r="H4561" s="71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67" t="s">
        <v>1429</v>
      </c>
      <c r="B4562" s="66">
        <f t="shared" ref="B4562:B4625" si="9346">B4474+1</f>
        <v>20</v>
      </c>
      <c r="C4562" s="66">
        <f t="shared" si="9218"/>
        <v>67</v>
      </c>
      <c r="E4562" s="66">
        <f t="shared" ref="E4562" si="9347">plan_id</f>
        <v>1952</v>
      </c>
      <c r="F4562" s="66">
        <f t="shared" ca="1" si="9312"/>
        <v>2018</v>
      </c>
      <c r="G4562" s="66">
        <f t="shared" ref="G4562" ca="1" si="9348">VLOOKUP(INDIRECT(CHAR(39)&amp;$A4562&amp;CHAR(39)&amp;"!r2c"&amp;$C4562,0),variables,2,0)</f>
        <v>9740</v>
      </c>
      <c r="H4562" s="71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67" t="s">
        <v>1429</v>
      </c>
      <c r="B4563" s="66">
        <f t="shared" si="9346"/>
        <v>20</v>
      </c>
      <c r="C4563" s="66">
        <f t="shared" ref="C4563:C4626" si="9349">C4475</f>
        <v>68</v>
      </c>
      <c r="E4563" s="66">
        <f t="shared" ref="E4563" si="9350">plan_id</f>
        <v>1952</v>
      </c>
      <c r="F4563" s="66">
        <f t="shared" ca="1" si="9312"/>
        <v>2018</v>
      </c>
      <c r="G4563" s="66">
        <f t="shared" ref="G4563" ca="1" si="9351">VLOOKUP(INDIRECT(CHAR(39)&amp;$A4563&amp;CHAR(39)&amp;"!r2c"&amp;$C4563,0),variables,2,0)</f>
        <v>9752</v>
      </c>
      <c r="H4563" s="71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67" t="s">
        <v>1429</v>
      </c>
      <c r="B4564" s="66">
        <f t="shared" si="9346"/>
        <v>20</v>
      </c>
      <c r="C4564" s="66">
        <f t="shared" si="9349"/>
        <v>69</v>
      </c>
      <c r="E4564" s="66">
        <f t="shared" ref="E4564" si="9352">plan_id</f>
        <v>1952</v>
      </c>
      <c r="F4564" s="66">
        <f t="shared" ca="1" si="9312"/>
        <v>2018</v>
      </c>
      <c r="G4564" s="66">
        <f t="shared" ref="G4564" ca="1" si="9353">VLOOKUP(INDIRECT(CHAR(39)&amp;$A4564&amp;CHAR(39)&amp;"!r2c"&amp;$C4564,0),variables,2,0)</f>
        <v>9791</v>
      </c>
      <c r="H4564" s="71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67" t="s">
        <v>1429</v>
      </c>
      <c r="B4565" s="66">
        <f t="shared" si="9346"/>
        <v>20</v>
      </c>
      <c r="C4565" s="66">
        <f t="shared" si="9349"/>
        <v>70</v>
      </c>
      <c r="E4565" s="66">
        <f t="shared" ref="E4565" si="9354">plan_id</f>
        <v>1952</v>
      </c>
      <c r="F4565" s="66">
        <f t="shared" ca="1" si="9312"/>
        <v>2018</v>
      </c>
      <c r="G4565" s="66">
        <f t="shared" ref="G4565" ca="1" si="9355">VLOOKUP(INDIRECT(CHAR(39)&amp;$A4565&amp;CHAR(39)&amp;"!r2c"&amp;$C4565,0),variables,2,0)</f>
        <v>9800</v>
      </c>
      <c r="H4565" s="71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67" t="s">
        <v>1429</v>
      </c>
      <c r="B4566" s="66">
        <f t="shared" si="9346"/>
        <v>20</v>
      </c>
      <c r="C4566" s="66">
        <f t="shared" si="9349"/>
        <v>71</v>
      </c>
      <c r="E4566" s="66">
        <f t="shared" ref="E4566" si="9356">plan_id</f>
        <v>1952</v>
      </c>
      <c r="F4566" s="66">
        <f t="shared" ca="1" si="9312"/>
        <v>2018</v>
      </c>
      <c r="G4566" s="66">
        <f t="shared" ref="G4566" ca="1" si="9357">VLOOKUP(INDIRECT(CHAR(39)&amp;$A4566&amp;CHAR(39)&amp;"!r2c"&amp;$C4566,0),variables,2,0)</f>
        <v>9842</v>
      </c>
      <c r="H4566" s="71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67" t="s">
        <v>1429</v>
      </c>
      <c r="B4567" s="66">
        <f t="shared" si="9346"/>
        <v>20</v>
      </c>
      <c r="C4567" s="66">
        <f t="shared" si="9349"/>
        <v>72</v>
      </c>
      <c r="E4567" s="66">
        <f t="shared" ref="E4567" si="9358">plan_id</f>
        <v>1952</v>
      </c>
      <c r="F4567" s="66">
        <f t="shared" ca="1" si="9312"/>
        <v>2018</v>
      </c>
      <c r="G4567" s="66">
        <f t="shared" ref="G4567" ca="1" si="9359">VLOOKUP(INDIRECT(CHAR(39)&amp;$A4567&amp;CHAR(39)&amp;"!r2c"&amp;$C4567,0),variables,2,0)</f>
        <v>9854</v>
      </c>
      <c r="H4567" s="71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67" t="s">
        <v>1429</v>
      </c>
      <c r="B4568" s="66">
        <f t="shared" si="9346"/>
        <v>20</v>
      </c>
      <c r="C4568" s="66">
        <f t="shared" si="9349"/>
        <v>73</v>
      </c>
      <c r="E4568" s="66">
        <f t="shared" ref="E4568" si="9360">plan_id</f>
        <v>1952</v>
      </c>
      <c r="F4568" s="66">
        <f t="shared" ca="1" si="9312"/>
        <v>2018</v>
      </c>
      <c r="G4568" s="66">
        <f t="shared" ref="G4568" ca="1" si="9361">VLOOKUP(INDIRECT(CHAR(39)&amp;$A4568&amp;CHAR(39)&amp;"!r2c"&amp;$C4568,0),variables,2,0)</f>
        <v>9869</v>
      </c>
      <c r="H4568" s="71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67" t="s">
        <v>1429</v>
      </c>
      <c r="B4569" s="66">
        <f t="shared" si="9346"/>
        <v>20</v>
      </c>
      <c r="C4569" s="66">
        <f t="shared" si="9349"/>
        <v>74</v>
      </c>
      <c r="E4569" s="66">
        <f t="shared" ref="E4569" si="9362">plan_id</f>
        <v>1952</v>
      </c>
      <c r="F4569" s="66">
        <f t="shared" ca="1" si="9312"/>
        <v>2018</v>
      </c>
      <c r="G4569" s="66">
        <f t="shared" ref="G4569" ca="1" si="9363">VLOOKUP(INDIRECT(CHAR(39)&amp;$A4569&amp;CHAR(39)&amp;"!r2c"&amp;$C4569,0),variables,2,0)</f>
        <v>9873</v>
      </c>
      <c r="H4569" s="71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67" t="s">
        <v>1429</v>
      </c>
      <c r="B4570" s="66">
        <f t="shared" si="9346"/>
        <v>20</v>
      </c>
      <c r="C4570" s="66">
        <f t="shared" si="9349"/>
        <v>75</v>
      </c>
      <c r="E4570" s="66">
        <f t="shared" ref="E4570" si="9364">plan_id</f>
        <v>1952</v>
      </c>
      <c r="F4570" s="66">
        <f t="shared" ca="1" si="9312"/>
        <v>2018</v>
      </c>
      <c r="G4570" s="66">
        <f t="shared" ref="G4570" ca="1" si="9365">VLOOKUP(INDIRECT(CHAR(39)&amp;$A4570&amp;CHAR(39)&amp;"!r2c"&amp;$C4570,0),variables,2,0)</f>
        <v>9881</v>
      </c>
      <c r="H4570" s="71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67" t="s">
        <v>1429</v>
      </c>
      <c r="B4571" s="66">
        <f t="shared" si="9346"/>
        <v>20</v>
      </c>
      <c r="C4571" s="66">
        <f t="shared" si="9349"/>
        <v>76</v>
      </c>
      <c r="E4571" s="66">
        <f t="shared" ref="E4571" si="9366">plan_id</f>
        <v>1952</v>
      </c>
      <c r="F4571" s="66">
        <f t="shared" ca="1" si="9312"/>
        <v>2018</v>
      </c>
      <c r="G4571" s="66">
        <f t="shared" ref="G4571" ca="1" si="9367">VLOOKUP(INDIRECT(CHAR(39)&amp;$A4571&amp;CHAR(39)&amp;"!r2c"&amp;$C4571,0),variables,2,0)</f>
        <v>9908</v>
      </c>
      <c r="H4571" s="71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67" t="s">
        <v>1429</v>
      </c>
      <c r="B4572" s="66">
        <f t="shared" si="9346"/>
        <v>20</v>
      </c>
      <c r="C4572" s="66">
        <f t="shared" si="9349"/>
        <v>77</v>
      </c>
      <c r="E4572" s="66">
        <f t="shared" ref="E4572" si="9368">plan_id</f>
        <v>1952</v>
      </c>
      <c r="F4572" s="66">
        <f t="shared" ca="1" si="9312"/>
        <v>2018</v>
      </c>
      <c r="G4572" s="66">
        <f t="shared" ref="G4572" ca="1" si="9369">VLOOKUP(INDIRECT(CHAR(39)&amp;$A4572&amp;CHAR(39)&amp;"!r2c"&amp;$C4572,0),variables,2,0)</f>
        <v>9911</v>
      </c>
      <c r="H4572" s="71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67" t="s">
        <v>1429</v>
      </c>
      <c r="B4573" s="66">
        <f t="shared" si="9346"/>
        <v>20</v>
      </c>
      <c r="C4573" s="66">
        <f t="shared" si="9349"/>
        <v>78</v>
      </c>
      <c r="E4573" s="66">
        <f t="shared" ref="E4573" si="9370">plan_id</f>
        <v>1952</v>
      </c>
      <c r="F4573" s="66">
        <f t="shared" ca="1" si="9312"/>
        <v>2018</v>
      </c>
      <c r="G4573" s="66">
        <f t="shared" ref="G4573" ca="1" si="9371">VLOOKUP(INDIRECT(CHAR(39)&amp;$A4573&amp;CHAR(39)&amp;"!r2c"&amp;$C4573,0),variables,2,0)</f>
        <v>9663</v>
      </c>
      <c r="H4573" s="71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67" t="s">
        <v>1429</v>
      </c>
      <c r="B4574" s="66">
        <f t="shared" si="9346"/>
        <v>20</v>
      </c>
      <c r="C4574" s="66">
        <f t="shared" si="9349"/>
        <v>79</v>
      </c>
      <c r="E4574" s="66">
        <f t="shared" ref="E4574" si="9372">plan_id</f>
        <v>1952</v>
      </c>
      <c r="F4574" s="66">
        <f t="shared" ca="1" si="9312"/>
        <v>2018</v>
      </c>
      <c r="G4574" s="66">
        <f t="shared" ref="G4574" ca="1" si="9373">VLOOKUP(INDIRECT(CHAR(39)&amp;$A4574&amp;CHAR(39)&amp;"!r2c"&amp;$C4574,0),variables,2,0)</f>
        <v>9710</v>
      </c>
      <c r="H4574" s="71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67" t="s">
        <v>1429</v>
      </c>
      <c r="B4575" s="66">
        <f t="shared" si="9346"/>
        <v>20</v>
      </c>
      <c r="C4575" s="66">
        <f t="shared" si="9349"/>
        <v>80</v>
      </c>
      <c r="E4575" s="66">
        <f t="shared" ref="E4575" si="9374">plan_id</f>
        <v>1952</v>
      </c>
      <c r="F4575" s="66">
        <f t="shared" ca="1" si="9312"/>
        <v>2018</v>
      </c>
      <c r="G4575" s="66">
        <f t="shared" ref="G4575" ca="1" si="9375">VLOOKUP(INDIRECT(CHAR(39)&amp;$A4575&amp;CHAR(39)&amp;"!r2c"&amp;$C4575,0),variables,2,0)</f>
        <v>9758</v>
      </c>
      <c r="H4575" s="71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67" t="s">
        <v>1429</v>
      </c>
      <c r="B4576" s="66">
        <f t="shared" si="9346"/>
        <v>20</v>
      </c>
      <c r="C4576" s="66">
        <f t="shared" si="9349"/>
        <v>81</v>
      </c>
      <c r="E4576" s="66">
        <f t="shared" ref="E4576" si="9376">plan_id</f>
        <v>1952</v>
      </c>
      <c r="F4576" s="66">
        <f t="shared" ca="1" si="9312"/>
        <v>2018</v>
      </c>
      <c r="G4576" s="66">
        <f t="shared" ref="G4576" ca="1" si="9377">VLOOKUP(INDIRECT(CHAR(39)&amp;$A4576&amp;CHAR(39)&amp;"!r2c"&amp;$C4576,0),variables,2,0)</f>
        <v>9803</v>
      </c>
      <c r="H4576" s="71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67" t="s">
        <v>1429</v>
      </c>
      <c r="B4577" s="66">
        <f t="shared" si="9346"/>
        <v>20</v>
      </c>
      <c r="C4577" s="66">
        <f t="shared" si="9349"/>
        <v>82</v>
      </c>
      <c r="E4577" s="66">
        <f t="shared" ref="E4577" si="9378">plan_id</f>
        <v>1952</v>
      </c>
      <c r="F4577" s="66">
        <f t="shared" ca="1" si="9312"/>
        <v>2018</v>
      </c>
      <c r="G4577" s="66">
        <f t="shared" ref="G4577" ca="1" si="9379">VLOOKUP(INDIRECT(CHAR(39)&amp;$A4577&amp;CHAR(39)&amp;"!r2c"&amp;$C4577,0),variables,2,0)</f>
        <v>9857</v>
      </c>
      <c r="H4577" s="71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67" t="s">
        <v>1429</v>
      </c>
      <c r="B4578" s="66">
        <f t="shared" si="9346"/>
        <v>20</v>
      </c>
      <c r="C4578" s="66">
        <f t="shared" si="9349"/>
        <v>83</v>
      </c>
      <c r="E4578" s="66">
        <f t="shared" ref="E4578" si="9380">plan_id</f>
        <v>1952</v>
      </c>
      <c r="F4578" s="66">
        <f t="shared" ca="1" si="9312"/>
        <v>2018</v>
      </c>
      <c r="G4578" s="66">
        <f t="shared" ref="G4578" ca="1" si="9381">VLOOKUP(INDIRECT(CHAR(39)&amp;$A4578&amp;CHAR(39)&amp;"!r2c"&amp;$C4578,0),variables,2,0)</f>
        <v>9902</v>
      </c>
      <c r="H4578" s="71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67" t="s">
        <v>1429</v>
      </c>
      <c r="B4579" s="66">
        <f t="shared" si="9346"/>
        <v>20</v>
      </c>
      <c r="C4579" s="66">
        <f t="shared" si="9349"/>
        <v>84</v>
      </c>
      <c r="E4579" s="66">
        <f t="shared" ref="E4579" si="9382">plan_id</f>
        <v>1952</v>
      </c>
      <c r="F4579" s="66">
        <f t="shared" ca="1" si="9312"/>
        <v>2018</v>
      </c>
      <c r="G4579" s="66">
        <f t="shared" ref="G4579" ca="1" si="9383">VLOOKUP(INDIRECT(CHAR(39)&amp;$A4579&amp;CHAR(39)&amp;"!r2c"&amp;$C4579,0),variables,2,0)</f>
        <v>9926</v>
      </c>
      <c r="H4579" s="71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67" t="s">
        <v>1429</v>
      </c>
      <c r="B4580" s="66">
        <f t="shared" si="9346"/>
        <v>20</v>
      </c>
      <c r="C4580" s="66">
        <f t="shared" si="9349"/>
        <v>85</v>
      </c>
      <c r="E4580" s="66">
        <f t="shared" ref="E4580" si="9384">plan_id</f>
        <v>1952</v>
      </c>
      <c r="F4580" s="66">
        <f t="shared" ca="1" si="9312"/>
        <v>2018</v>
      </c>
      <c r="G4580" s="66">
        <f t="shared" ref="G4580" ca="1" si="9385">VLOOKUP(INDIRECT(CHAR(39)&amp;$A4580&amp;CHAR(39)&amp;"!r2c"&amp;$C4580,0),variables,2,0)</f>
        <v>9666</v>
      </c>
      <c r="H4580" s="71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67" t="s">
        <v>1429</v>
      </c>
      <c r="B4581" s="66">
        <f t="shared" si="9346"/>
        <v>20</v>
      </c>
      <c r="C4581" s="66">
        <f t="shared" si="9349"/>
        <v>86</v>
      </c>
      <c r="E4581" s="66">
        <f t="shared" ref="E4581" si="9386">plan_id</f>
        <v>1952</v>
      </c>
      <c r="F4581" s="66">
        <f t="shared" ca="1" si="9312"/>
        <v>2018</v>
      </c>
      <c r="G4581" s="66">
        <f t="shared" ref="G4581" ca="1" si="9387">VLOOKUP(INDIRECT(CHAR(39)&amp;$A4581&amp;CHAR(39)&amp;"!r2c"&amp;$C4581,0),variables,2,0)</f>
        <v>9827</v>
      </c>
      <c r="H4581" s="71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67" t="s">
        <v>1429</v>
      </c>
      <c r="B4582" s="66">
        <f t="shared" si="9346"/>
        <v>20</v>
      </c>
      <c r="C4582" s="66">
        <f t="shared" si="9349"/>
        <v>87</v>
      </c>
      <c r="E4582" s="66">
        <f t="shared" ref="E4582" si="9388">plan_id</f>
        <v>1952</v>
      </c>
      <c r="F4582" s="66">
        <f t="shared" ca="1" si="9312"/>
        <v>2018</v>
      </c>
      <c r="G4582" s="66">
        <f t="shared" ref="G4582" ca="1" si="9389">VLOOKUP(INDIRECT(CHAR(39)&amp;$A4582&amp;CHAR(39)&amp;"!r2c"&amp;$C4582,0),variables,2,0)</f>
        <v>9657</v>
      </c>
      <c r="H4582" s="71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67" t="s">
        <v>1429</v>
      </c>
      <c r="B4583" s="66">
        <f t="shared" si="9346"/>
        <v>20</v>
      </c>
      <c r="C4583" s="66">
        <f t="shared" si="9349"/>
        <v>88</v>
      </c>
      <c r="E4583" s="66">
        <f t="shared" ref="E4583" si="9390">plan_id</f>
        <v>1952</v>
      </c>
      <c r="F4583" s="66">
        <f t="shared" ca="1" si="9312"/>
        <v>2018</v>
      </c>
      <c r="G4583" s="66">
        <f t="shared" ref="G4583" ca="1" si="9391">VLOOKUP(INDIRECT(CHAR(39)&amp;$A4583&amp;CHAR(39)&amp;"!r2c"&amp;$C4583,0),variables,2,0)</f>
        <v>9834</v>
      </c>
      <c r="H4583" s="71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67" t="s">
        <v>1429</v>
      </c>
      <c r="B4584" s="66">
        <f t="shared" si="9346"/>
        <v>20</v>
      </c>
      <c r="C4584" s="66">
        <f t="shared" si="9349"/>
        <v>89</v>
      </c>
      <c r="E4584" s="66">
        <f t="shared" ref="E4584" si="9392">plan_id</f>
        <v>1952</v>
      </c>
      <c r="F4584" s="66">
        <f t="shared" ca="1" si="9312"/>
        <v>2018</v>
      </c>
      <c r="G4584" s="66">
        <f t="shared" ref="G4584" ca="1" si="9393">VLOOKUP(INDIRECT(CHAR(39)&amp;$A4584&amp;CHAR(39)&amp;"!r2c"&amp;$C4584,0),variables,2,0)</f>
        <v>9884</v>
      </c>
      <c r="H4584" s="71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67" t="s">
        <v>1429</v>
      </c>
      <c r="B4585" s="66">
        <f t="shared" si="9346"/>
        <v>20</v>
      </c>
      <c r="C4585" s="66">
        <f t="shared" si="9349"/>
        <v>90</v>
      </c>
      <c r="E4585" s="66">
        <f t="shared" ref="E4585" si="9394">plan_id</f>
        <v>1952</v>
      </c>
      <c r="F4585" s="66">
        <f t="shared" ca="1" si="9312"/>
        <v>2018</v>
      </c>
      <c r="G4585" s="66">
        <f t="shared" ref="G4585" ca="1" si="9395">VLOOKUP(INDIRECT(CHAR(39)&amp;$A4585&amp;CHAR(39)&amp;"!r2c"&amp;$C4585,0),variables,2,0)</f>
        <v>9672</v>
      </c>
      <c r="H4585" s="71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67" t="s">
        <v>1429</v>
      </c>
      <c r="B4586" s="66">
        <f t="shared" si="9346"/>
        <v>21</v>
      </c>
      <c r="C4586" s="66">
        <f t="shared" si="9349"/>
        <v>3</v>
      </c>
      <c r="E4586" s="66">
        <f t="shared" ref="E4586" si="9396">plan_id</f>
        <v>1952</v>
      </c>
      <c r="F4586" s="66">
        <f t="shared" ca="1" si="9312"/>
        <v>2019</v>
      </c>
      <c r="G4586" s="66">
        <f t="shared" ref="G4586" ca="1" si="9397">VLOOKUP(INDIRECT(CHAR(39)&amp;$A4586&amp;CHAR(39)&amp;"!r2c"&amp;$C4586,0),variables,2,0)</f>
        <v>9704</v>
      </c>
      <c r="H4586" s="71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67" t="s">
        <v>1429</v>
      </c>
      <c r="B4587" s="66">
        <f t="shared" si="9346"/>
        <v>21</v>
      </c>
      <c r="C4587" s="66">
        <f t="shared" si="9349"/>
        <v>4</v>
      </c>
      <c r="E4587" s="66">
        <f t="shared" ref="E4587" si="9398">plan_id</f>
        <v>1952</v>
      </c>
      <c r="F4587" s="66">
        <f t="shared" ca="1" si="9312"/>
        <v>2019</v>
      </c>
      <c r="G4587" s="66">
        <f t="shared" ref="G4587" ca="1" si="9399">VLOOKUP(INDIRECT(CHAR(39)&amp;$A4587&amp;CHAR(39)&amp;"!r2c"&amp;$C4587,0),variables,2,0)</f>
        <v>9716</v>
      </c>
      <c r="H4587" s="71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67" t="s">
        <v>1429</v>
      </c>
      <c r="B4588" s="66">
        <f t="shared" si="9346"/>
        <v>21</v>
      </c>
      <c r="C4588" s="66">
        <f t="shared" si="9349"/>
        <v>5</v>
      </c>
      <c r="E4588" s="66">
        <f t="shared" ref="E4588" si="9400">plan_id</f>
        <v>1952</v>
      </c>
      <c r="F4588" s="66">
        <f t="shared" ca="1" si="9312"/>
        <v>2019</v>
      </c>
      <c r="G4588" s="66">
        <f t="shared" ref="G4588" ca="1" si="9401">VLOOKUP(INDIRECT(CHAR(39)&amp;$A4588&amp;CHAR(39)&amp;"!r2c"&amp;$C4588,0),variables,2,0)</f>
        <v>9734</v>
      </c>
      <c r="H4588" s="71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67" t="s">
        <v>1429</v>
      </c>
      <c r="B4589" s="66">
        <f t="shared" si="9346"/>
        <v>21</v>
      </c>
      <c r="C4589" s="66">
        <f t="shared" si="9349"/>
        <v>6</v>
      </c>
      <c r="E4589" s="66">
        <f t="shared" ref="E4589" si="9402">plan_id</f>
        <v>1952</v>
      </c>
      <c r="F4589" s="66">
        <f t="shared" ca="1" si="9312"/>
        <v>2019</v>
      </c>
      <c r="G4589" s="66">
        <f t="shared" ref="G4589" ca="1" si="9403">VLOOKUP(INDIRECT(CHAR(39)&amp;$A4589&amp;CHAR(39)&amp;"!r2c"&amp;$C4589,0),variables,2,0)</f>
        <v>9749</v>
      </c>
      <c r="H4589" s="71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67" t="s">
        <v>1429</v>
      </c>
      <c r="B4590" s="66">
        <f t="shared" si="9346"/>
        <v>21</v>
      </c>
      <c r="C4590" s="66">
        <f t="shared" si="9349"/>
        <v>7</v>
      </c>
      <c r="E4590" s="66">
        <f t="shared" ref="E4590" si="9404">plan_id</f>
        <v>1952</v>
      </c>
      <c r="F4590" s="66">
        <f t="shared" ca="1" si="9312"/>
        <v>2019</v>
      </c>
      <c r="G4590" s="66">
        <f t="shared" ref="G4590" ca="1" si="9405">VLOOKUP(INDIRECT(CHAR(39)&amp;$A4590&amp;CHAR(39)&amp;"!r2c"&amp;$C4590,0),variables,2,0)</f>
        <v>9755</v>
      </c>
      <c r="H4590" s="71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67" t="s">
        <v>1429</v>
      </c>
      <c r="B4591" s="66">
        <f t="shared" si="9346"/>
        <v>21</v>
      </c>
      <c r="C4591" s="66">
        <f t="shared" si="9349"/>
        <v>8</v>
      </c>
      <c r="E4591" s="66">
        <f t="shared" ref="E4591" si="9406">plan_id</f>
        <v>1952</v>
      </c>
      <c r="F4591" s="66">
        <f t="shared" ca="1" si="9312"/>
        <v>2019</v>
      </c>
      <c r="G4591" s="66">
        <f t="shared" ref="G4591" ca="1" si="9407">VLOOKUP(INDIRECT(CHAR(39)&amp;$A4591&amp;CHAR(39)&amp;"!r2c"&amp;$C4591,0),variables,2,0)</f>
        <v>9782</v>
      </c>
      <c r="H4591" s="71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67" t="s">
        <v>1429</v>
      </c>
      <c r="B4592" s="66">
        <f t="shared" si="9346"/>
        <v>21</v>
      </c>
      <c r="C4592" s="66">
        <f t="shared" si="9349"/>
        <v>9</v>
      </c>
      <c r="E4592" s="66">
        <f t="shared" ref="E4592" si="9408">plan_id</f>
        <v>1952</v>
      </c>
      <c r="F4592" s="66">
        <f t="shared" ca="1" si="9312"/>
        <v>2019</v>
      </c>
      <c r="G4592" s="66">
        <f t="shared" ref="G4592" ca="1" si="9409">VLOOKUP(INDIRECT(CHAR(39)&amp;$A4592&amp;CHAR(39)&amp;"!r2c"&amp;$C4592,0),variables,2,0)</f>
        <v>9788</v>
      </c>
      <c r="H4592" s="71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67" t="s">
        <v>1429</v>
      </c>
      <c r="B4593" s="66">
        <f t="shared" si="9346"/>
        <v>21</v>
      </c>
      <c r="C4593" s="66">
        <f t="shared" si="9349"/>
        <v>10</v>
      </c>
      <c r="E4593" s="66">
        <f t="shared" ref="E4593" si="9410">plan_id</f>
        <v>1952</v>
      </c>
      <c r="F4593" s="66">
        <f t="shared" ca="1" si="9312"/>
        <v>2019</v>
      </c>
      <c r="G4593" s="66">
        <f t="shared" ref="G4593" ca="1" si="9411">VLOOKUP(INDIRECT(CHAR(39)&amp;$A4593&amp;CHAR(39)&amp;"!r2c"&amp;$C4593,0),variables,2,0)</f>
        <v>9812</v>
      </c>
      <c r="H4593" s="71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67" t="s">
        <v>1429</v>
      </c>
      <c r="B4594" s="66">
        <f t="shared" si="9346"/>
        <v>21</v>
      </c>
      <c r="C4594" s="66">
        <f t="shared" si="9349"/>
        <v>11</v>
      </c>
      <c r="E4594" s="66">
        <f t="shared" ref="E4594" si="9412">plan_id</f>
        <v>1952</v>
      </c>
      <c r="F4594" s="66">
        <f t="shared" ca="1" si="9312"/>
        <v>2019</v>
      </c>
      <c r="G4594" s="66">
        <f t="shared" ref="G4594" ca="1" si="9413">VLOOKUP(INDIRECT(CHAR(39)&amp;$A4594&amp;CHAR(39)&amp;"!r2c"&amp;$C4594,0),variables,2,0)</f>
        <v>9815</v>
      </c>
      <c r="H4594" s="71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67" t="s">
        <v>1429</v>
      </c>
      <c r="B4595" s="66">
        <f t="shared" si="9346"/>
        <v>21</v>
      </c>
      <c r="C4595" s="66">
        <f t="shared" si="9349"/>
        <v>12</v>
      </c>
      <c r="E4595" s="66">
        <f t="shared" ref="E4595" si="9414">plan_id</f>
        <v>1952</v>
      </c>
      <c r="F4595" s="66">
        <f t="shared" ca="1" si="9312"/>
        <v>2019</v>
      </c>
      <c r="G4595" s="66">
        <f t="shared" ref="G4595" ca="1" si="9415">VLOOKUP(INDIRECT(CHAR(39)&amp;$A4595&amp;CHAR(39)&amp;"!r2c"&amp;$C4595,0),variables,2,0)</f>
        <v>9821</v>
      </c>
      <c r="H4595" s="71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67" t="s">
        <v>1429</v>
      </c>
      <c r="B4596" s="66">
        <f t="shared" si="9346"/>
        <v>21</v>
      </c>
      <c r="C4596" s="66">
        <f t="shared" si="9349"/>
        <v>13</v>
      </c>
      <c r="E4596" s="66">
        <f t="shared" ref="E4596" si="9416">plan_id</f>
        <v>1952</v>
      </c>
      <c r="F4596" s="66">
        <f t="shared" ca="1" si="9312"/>
        <v>2019</v>
      </c>
      <c r="G4596" s="66">
        <f t="shared" ref="G4596" ca="1" si="9417">VLOOKUP(INDIRECT(CHAR(39)&amp;$A4596&amp;CHAR(39)&amp;"!r2c"&amp;$C4596,0),variables,2,0)</f>
        <v>9824</v>
      </c>
      <c r="H4596" s="71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67" t="s">
        <v>1429</v>
      </c>
      <c r="B4597" s="66">
        <f t="shared" si="9346"/>
        <v>21</v>
      </c>
      <c r="C4597" s="66">
        <f t="shared" si="9349"/>
        <v>14</v>
      </c>
      <c r="E4597" s="66">
        <f t="shared" ref="E4597" si="9418">plan_id</f>
        <v>1952</v>
      </c>
      <c r="F4597" s="66">
        <f t="shared" ca="1" si="9312"/>
        <v>2019</v>
      </c>
      <c r="G4597" s="66">
        <f t="shared" ref="G4597" ca="1" si="9419">VLOOKUP(INDIRECT(CHAR(39)&amp;$A4597&amp;CHAR(39)&amp;"!r2c"&amp;$C4597,0),variables,2,0)</f>
        <v>9830</v>
      </c>
      <c r="H4597" s="71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67" t="s">
        <v>1429</v>
      </c>
      <c r="B4598" s="66">
        <f t="shared" si="9346"/>
        <v>21</v>
      </c>
      <c r="C4598" s="66">
        <f t="shared" si="9349"/>
        <v>15</v>
      </c>
      <c r="E4598" s="66">
        <f t="shared" ref="E4598" si="9420">plan_id</f>
        <v>1952</v>
      </c>
      <c r="F4598" s="66">
        <f t="shared" ca="1" si="9312"/>
        <v>2019</v>
      </c>
      <c r="G4598" s="66">
        <f t="shared" ref="G4598" ca="1" si="9421">VLOOKUP(INDIRECT(CHAR(39)&amp;$A4598&amp;CHAR(39)&amp;"!r2c"&amp;$C4598,0),variables,2,0)</f>
        <v>9833</v>
      </c>
      <c r="H4598" s="71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67" t="s">
        <v>1429</v>
      </c>
      <c r="B4599" s="66">
        <f t="shared" si="9346"/>
        <v>21</v>
      </c>
      <c r="C4599" s="66">
        <f t="shared" si="9349"/>
        <v>16</v>
      </c>
      <c r="E4599" s="66">
        <f t="shared" ref="E4599" si="9422">plan_id</f>
        <v>1952</v>
      </c>
      <c r="F4599" s="66">
        <f t="shared" ca="1" si="9312"/>
        <v>2019</v>
      </c>
      <c r="G4599" s="66">
        <f t="shared" ref="G4599" ca="1" si="9423">VLOOKUP(INDIRECT(CHAR(39)&amp;$A4599&amp;CHAR(39)&amp;"!r2c"&amp;$C4599,0),variables,2,0)</f>
        <v>9845</v>
      </c>
      <c r="H4599" s="71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67" t="s">
        <v>1429</v>
      </c>
      <c r="B4600" s="66">
        <f t="shared" si="9346"/>
        <v>21</v>
      </c>
      <c r="C4600" s="66">
        <f t="shared" si="9349"/>
        <v>17</v>
      </c>
      <c r="E4600" s="66">
        <f t="shared" ref="E4600" si="9424">plan_id</f>
        <v>1952</v>
      </c>
      <c r="F4600" s="66">
        <f t="shared" ca="1" si="9312"/>
        <v>2019</v>
      </c>
      <c r="G4600" s="66">
        <f t="shared" ref="G4600" ca="1" si="9425">VLOOKUP(INDIRECT(CHAR(39)&amp;$A4600&amp;CHAR(39)&amp;"!r2c"&amp;$C4600,0),variables,2,0)</f>
        <v>9872</v>
      </c>
      <c r="H4600" s="71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67" t="s">
        <v>1429</v>
      </c>
      <c r="B4601" s="66">
        <f t="shared" si="9346"/>
        <v>21</v>
      </c>
      <c r="C4601" s="66">
        <f t="shared" si="9349"/>
        <v>18</v>
      </c>
      <c r="E4601" s="66">
        <f t="shared" ref="E4601" si="9426">plan_id</f>
        <v>1952</v>
      </c>
      <c r="F4601" s="66">
        <f t="shared" ca="1" si="9312"/>
        <v>2019</v>
      </c>
      <c r="G4601" s="66">
        <f t="shared" ref="G4601" ca="1" si="9427">VLOOKUP(INDIRECT(CHAR(39)&amp;$A4601&amp;CHAR(39)&amp;"!r2c"&amp;$C4601,0),variables,2,0)</f>
        <v>9887</v>
      </c>
      <c r="H4601" s="71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67" t="s">
        <v>1429</v>
      </c>
      <c r="B4602" s="66">
        <f t="shared" si="9346"/>
        <v>21</v>
      </c>
      <c r="C4602" s="66">
        <f t="shared" si="9349"/>
        <v>19</v>
      </c>
      <c r="E4602" s="66">
        <f t="shared" ref="E4602" si="9428">plan_id</f>
        <v>1952</v>
      </c>
      <c r="F4602" s="66">
        <f t="shared" ca="1" si="9312"/>
        <v>2019</v>
      </c>
      <c r="G4602" s="66">
        <f t="shared" ref="G4602" ca="1" si="9429">VLOOKUP(INDIRECT(CHAR(39)&amp;$A4602&amp;CHAR(39)&amp;"!r2c"&amp;$C4602,0),variables,2,0)</f>
        <v>9914</v>
      </c>
      <c r="H4602" s="71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67" t="s">
        <v>1429</v>
      </c>
      <c r="B4603" s="66">
        <f t="shared" si="9346"/>
        <v>21</v>
      </c>
      <c r="C4603" s="66">
        <f t="shared" si="9349"/>
        <v>20</v>
      </c>
      <c r="E4603" s="66">
        <f t="shared" ref="E4603" si="9430">plan_id</f>
        <v>1952</v>
      </c>
      <c r="F4603" s="66">
        <f t="shared" ca="1" si="9312"/>
        <v>2019</v>
      </c>
      <c r="G4603" s="66">
        <f t="shared" ref="G4603" ca="1" si="9431">VLOOKUP(INDIRECT(CHAR(39)&amp;$A4603&amp;CHAR(39)&amp;"!r2c"&amp;$C4603,0),variables,2,0)</f>
        <v>9917</v>
      </c>
      <c r="H4603" s="71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67" t="s">
        <v>1429</v>
      </c>
      <c r="B4604" s="66">
        <f t="shared" si="9346"/>
        <v>21</v>
      </c>
      <c r="C4604" s="66">
        <f t="shared" si="9349"/>
        <v>21</v>
      </c>
      <c r="E4604" s="66">
        <f t="shared" ref="E4604" si="9432">plan_id</f>
        <v>1952</v>
      </c>
      <c r="F4604" s="66">
        <f t="shared" ca="1" si="9312"/>
        <v>2019</v>
      </c>
      <c r="G4604" s="66">
        <f t="shared" ref="G4604" ca="1" si="9433">VLOOKUP(INDIRECT(CHAR(39)&amp;$A4604&amp;CHAR(39)&amp;"!r2c"&amp;$C4604,0),variables,2,0)</f>
        <v>9920</v>
      </c>
      <c r="H4604" s="71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67" t="s">
        <v>1429</v>
      </c>
      <c r="B4605" s="66">
        <f t="shared" si="9346"/>
        <v>21</v>
      </c>
      <c r="C4605" s="66">
        <f t="shared" si="9349"/>
        <v>22</v>
      </c>
      <c r="E4605" s="66">
        <f t="shared" ref="E4605" si="9434">plan_id</f>
        <v>1952</v>
      </c>
      <c r="F4605" s="66">
        <f t="shared" ca="1" si="9312"/>
        <v>2019</v>
      </c>
      <c r="G4605" s="66">
        <f t="shared" ref="G4605" ca="1" si="9435">VLOOKUP(INDIRECT(CHAR(39)&amp;$A4605&amp;CHAR(39)&amp;"!r2c"&amp;$C4605,0),variables,2,0)</f>
        <v>9648</v>
      </c>
      <c r="H4605" s="71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67" t="s">
        <v>1429</v>
      </c>
      <c r="B4606" s="66">
        <f t="shared" si="9346"/>
        <v>21</v>
      </c>
      <c r="C4606" s="66">
        <f t="shared" si="9349"/>
        <v>23</v>
      </c>
      <c r="E4606" s="66">
        <f t="shared" ref="E4606" si="9436">plan_id</f>
        <v>1952</v>
      </c>
      <c r="F4606" s="66">
        <f t="shared" ca="1" si="9312"/>
        <v>2019</v>
      </c>
      <c r="G4606" s="66">
        <f t="shared" ref="G4606" ca="1" si="9437">VLOOKUP(INDIRECT(CHAR(39)&amp;$A4606&amp;CHAR(39)&amp;"!r2c"&amp;$C4606,0),variables,2,0)</f>
        <v>9713</v>
      </c>
      <c r="H4606" s="71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67" t="s">
        <v>1429</v>
      </c>
      <c r="B4607" s="66">
        <f t="shared" si="9346"/>
        <v>21</v>
      </c>
      <c r="C4607" s="66">
        <f t="shared" si="9349"/>
        <v>24</v>
      </c>
      <c r="E4607" s="66">
        <f t="shared" ref="E4607" si="9438">plan_id</f>
        <v>1952</v>
      </c>
      <c r="F4607" s="66">
        <f t="shared" ca="1" si="9312"/>
        <v>2019</v>
      </c>
      <c r="G4607" s="66">
        <f t="shared" ref="G4607" ca="1" si="9439">VLOOKUP(INDIRECT(CHAR(39)&amp;$A4607&amp;CHAR(39)&amp;"!r2c"&amp;$C4607,0),variables,2,0)</f>
        <v>9719</v>
      </c>
      <c r="H4607" s="71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67" t="s">
        <v>1429</v>
      </c>
      <c r="B4608" s="66">
        <f t="shared" si="9346"/>
        <v>21</v>
      </c>
      <c r="C4608" s="66">
        <f t="shared" si="9349"/>
        <v>25</v>
      </c>
      <c r="E4608" s="66">
        <f t="shared" ref="E4608" si="9440">plan_id</f>
        <v>1952</v>
      </c>
      <c r="F4608" s="66">
        <f t="shared" ca="1" si="9312"/>
        <v>2019</v>
      </c>
      <c r="G4608" s="66">
        <f t="shared" ref="G4608" ca="1" si="9441">VLOOKUP(INDIRECT(CHAR(39)&amp;$A4608&amp;CHAR(39)&amp;"!r2c"&amp;$C4608,0),variables,2,0)</f>
        <v>9725</v>
      </c>
      <c r="H4608" s="71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67" t="s">
        <v>1429</v>
      </c>
      <c r="B4609" s="66">
        <f t="shared" si="9346"/>
        <v>21</v>
      </c>
      <c r="C4609" s="66">
        <f t="shared" si="9349"/>
        <v>26</v>
      </c>
      <c r="E4609" s="66">
        <f t="shared" ref="E4609" si="9442">plan_id</f>
        <v>1952</v>
      </c>
      <c r="F4609" s="66">
        <f t="shared" ref="F4609:F4672" ca="1" si="9443">INDIRECT(CHAR(39)&amp;$A4609&amp;CHAR(39)&amp;"!r"&amp;$B4609&amp;"c2",0)</f>
        <v>2019</v>
      </c>
      <c r="G4609" s="66">
        <f t="shared" ref="G4609" ca="1" si="9444">VLOOKUP(INDIRECT(CHAR(39)&amp;$A4609&amp;CHAR(39)&amp;"!r2c"&amp;$C4609,0),variables,2,0)</f>
        <v>9743</v>
      </c>
      <c r="H4609" s="71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67" t="s">
        <v>1429</v>
      </c>
      <c r="B4610" s="66">
        <f t="shared" si="9346"/>
        <v>21</v>
      </c>
      <c r="C4610" s="66">
        <f t="shared" si="9349"/>
        <v>27</v>
      </c>
      <c r="E4610" s="66">
        <f t="shared" ref="E4610" si="9445">plan_id</f>
        <v>1952</v>
      </c>
      <c r="F4610" s="66">
        <f t="shared" ca="1" si="9443"/>
        <v>2019</v>
      </c>
      <c r="G4610" s="66">
        <f t="shared" ref="G4610" ca="1" si="9446">VLOOKUP(INDIRECT(CHAR(39)&amp;$A4610&amp;CHAR(39)&amp;"!r2c"&amp;$C4610,0),variables,2,0)</f>
        <v>9746</v>
      </c>
      <c r="H4610" s="71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67" t="s">
        <v>1429</v>
      </c>
      <c r="B4611" s="66">
        <f t="shared" si="9346"/>
        <v>21</v>
      </c>
      <c r="C4611" s="66">
        <f t="shared" si="9349"/>
        <v>28</v>
      </c>
      <c r="E4611" s="66">
        <f t="shared" ref="E4611" si="9447">plan_id</f>
        <v>1952</v>
      </c>
      <c r="F4611" s="66">
        <f t="shared" ca="1" si="9443"/>
        <v>2019</v>
      </c>
      <c r="G4611" s="66">
        <f t="shared" ref="G4611" ca="1" si="9448">VLOOKUP(INDIRECT(CHAR(39)&amp;$A4611&amp;CHAR(39)&amp;"!r2c"&amp;$C4611,0),variables,2,0)</f>
        <v>9761</v>
      </c>
      <c r="H4611" s="71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67" t="s">
        <v>1429</v>
      </c>
      <c r="B4612" s="66">
        <f t="shared" si="9346"/>
        <v>21</v>
      </c>
      <c r="C4612" s="66">
        <f t="shared" si="9349"/>
        <v>29</v>
      </c>
      <c r="E4612" s="66">
        <f t="shared" ref="E4612" si="9449">plan_id</f>
        <v>1952</v>
      </c>
      <c r="F4612" s="66">
        <f t="shared" ca="1" si="9443"/>
        <v>2019</v>
      </c>
      <c r="G4612" s="66">
        <f t="shared" ref="G4612" ca="1" si="9450">VLOOKUP(INDIRECT(CHAR(39)&amp;$A4612&amp;CHAR(39)&amp;"!r2c"&amp;$C4612,0),variables,2,0)</f>
        <v>9764</v>
      </c>
      <c r="H4612" s="71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67" t="s">
        <v>1429</v>
      </c>
      <c r="B4613" s="66">
        <f t="shared" si="9346"/>
        <v>21</v>
      </c>
      <c r="C4613" s="66">
        <f t="shared" si="9349"/>
        <v>30</v>
      </c>
      <c r="E4613" s="66">
        <f t="shared" ref="E4613" si="9451">plan_id</f>
        <v>1952</v>
      </c>
      <c r="F4613" s="66">
        <f t="shared" ca="1" si="9443"/>
        <v>2019</v>
      </c>
      <c r="G4613" s="66">
        <f t="shared" ref="G4613" ca="1" si="9452">VLOOKUP(INDIRECT(CHAR(39)&amp;$A4613&amp;CHAR(39)&amp;"!r2c"&amp;$C4613,0),variables,2,0)</f>
        <v>9767</v>
      </c>
      <c r="H4613" s="71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67" t="s">
        <v>1429</v>
      </c>
      <c r="B4614" s="66">
        <f t="shared" si="9346"/>
        <v>21</v>
      </c>
      <c r="C4614" s="66">
        <f t="shared" si="9349"/>
        <v>31</v>
      </c>
      <c r="E4614" s="66">
        <f t="shared" ref="E4614" si="9453">plan_id</f>
        <v>1952</v>
      </c>
      <c r="F4614" s="66">
        <f t="shared" ca="1" si="9443"/>
        <v>2019</v>
      </c>
      <c r="G4614" s="66">
        <f t="shared" ref="G4614" ca="1" si="9454">VLOOKUP(INDIRECT(CHAR(39)&amp;$A4614&amp;CHAR(39)&amp;"!r2c"&amp;$C4614,0),variables,2,0)</f>
        <v>9770</v>
      </c>
      <c r="H4614" s="71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67" t="s">
        <v>1429</v>
      </c>
      <c r="B4615" s="66">
        <f t="shared" si="9346"/>
        <v>21</v>
      </c>
      <c r="C4615" s="66">
        <f t="shared" si="9349"/>
        <v>32</v>
      </c>
      <c r="E4615" s="66">
        <f t="shared" ref="E4615" si="9455">plan_id</f>
        <v>1952</v>
      </c>
      <c r="F4615" s="66">
        <f t="shared" ca="1" si="9443"/>
        <v>2019</v>
      </c>
      <c r="G4615" s="66">
        <f t="shared" ref="G4615" ca="1" si="9456">VLOOKUP(INDIRECT(CHAR(39)&amp;$A4615&amp;CHAR(39)&amp;"!r2c"&amp;$C4615,0),variables,2,0)</f>
        <v>9773</v>
      </c>
      <c r="H4615" s="71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67" t="s">
        <v>1429</v>
      </c>
      <c r="B4616" s="66">
        <f t="shared" si="9346"/>
        <v>21</v>
      </c>
      <c r="C4616" s="66">
        <f t="shared" si="9349"/>
        <v>33</v>
      </c>
      <c r="E4616" s="66">
        <f t="shared" ref="E4616" si="9457">plan_id</f>
        <v>1952</v>
      </c>
      <c r="F4616" s="66">
        <f t="shared" ca="1" si="9443"/>
        <v>2019</v>
      </c>
      <c r="G4616" s="66">
        <f t="shared" ref="G4616" ca="1" si="9458">VLOOKUP(INDIRECT(CHAR(39)&amp;$A4616&amp;CHAR(39)&amp;"!r2c"&amp;$C4616,0),variables,2,0)</f>
        <v>9776</v>
      </c>
      <c r="H4616" s="71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67" t="s">
        <v>1429</v>
      </c>
      <c r="B4617" s="66">
        <f t="shared" si="9346"/>
        <v>21</v>
      </c>
      <c r="C4617" s="66">
        <f t="shared" si="9349"/>
        <v>34</v>
      </c>
      <c r="E4617" s="66">
        <f t="shared" ref="E4617" si="9459">plan_id</f>
        <v>1952</v>
      </c>
      <c r="F4617" s="66">
        <f t="shared" ca="1" si="9443"/>
        <v>2019</v>
      </c>
      <c r="G4617" s="66">
        <f t="shared" ref="G4617" ca="1" si="9460">VLOOKUP(INDIRECT(CHAR(39)&amp;$A4617&amp;CHAR(39)&amp;"!r2c"&amp;$C4617,0),variables,2,0)</f>
        <v>9779</v>
      </c>
      <c r="H4617" s="71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67" t="s">
        <v>1429</v>
      </c>
      <c r="B4618" s="66">
        <f t="shared" si="9346"/>
        <v>21</v>
      </c>
      <c r="C4618" s="66">
        <f t="shared" si="9349"/>
        <v>35</v>
      </c>
      <c r="E4618" s="66">
        <f t="shared" ref="E4618" si="9461">plan_id</f>
        <v>1952</v>
      </c>
      <c r="F4618" s="66">
        <f t="shared" ca="1" si="9443"/>
        <v>2019</v>
      </c>
      <c r="G4618" s="66">
        <f t="shared" ref="G4618" ca="1" si="9462">VLOOKUP(INDIRECT(CHAR(39)&amp;$A4618&amp;CHAR(39)&amp;"!r2c"&amp;$C4618,0),variables,2,0)</f>
        <v>9785</v>
      </c>
      <c r="H4618" s="71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67" t="s">
        <v>1429</v>
      </c>
      <c r="B4619" s="66">
        <f t="shared" si="9346"/>
        <v>21</v>
      </c>
      <c r="C4619" s="66">
        <f t="shared" si="9349"/>
        <v>36</v>
      </c>
      <c r="E4619" s="66">
        <f t="shared" ref="E4619" si="9463">plan_id</f>
        <v>1952</v>
      </c>
      <c r="F4619" s="66">
        <f t="shared" ca="1" si="9443"/>
        <v>2019</v>
      </c>
      <c r="G4619" s="66">
        <f t="shared" ref="G4619" ca="1" si="9464">VLOOKUP(INDIRECT(CHAR(39)&amp;$A4619&amp;CHAR(39)&amp;"!r2c"&amp;$C4619,0),variables,2,0)</f>
        <v>9794</v>
      </c>
      <c r="H4619" s="71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67" t="s">
        <v>1429</v>
      </c>
      <c r="B4620" s="66">
        <f t="shared" si="9346"/>
        <v>21</v>
      </c>
      <c r="C4620" s="66">
        <f t="shared" si="9349"/>
        <v>37</v>
      </c>
      <c r="E4620" s="66">
        <f t="shared" ref="E4620" si="9465">plan_id</f>
        <v>1952</v>
      </c>
      <c r="F4620" s="66">
        <f t="shared" ca="1" si="9443"/>
        <v>2019</v>
      </c>
      <c r="G4620" s="66">
        <f t="shared" ref="G4620" ca="1" si="9466">VLOOKUP(INDIRECT(CHAR(39)&amp;$A4620&amp;CHAR(39)&amp;"!r2c"&amp;$C4620,0),variables,2,0)</f>
        <v>9797</v>
      </c>
      <c r="H4620" s="71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67" t="s">
        <v>1429</v>
      </c>
      <c r="B4621" s="66">
        <f t="shared" si="9346"/>
        <v>21</v>
      </c>
      <c r="C4621" s="66">
        <f t="shared" si="9349"/>
        <v>38</v>
      </c>
      <c r="E4621" s="66">
        <f t="shared" ref="E4621" si="9467">plan_id</f>
        <v>1952</v>
      </c>
      <c r="F4621" s="66">
        <f t="shared" ca="1" si="9443"/>
        <v>2019</v>
      </c>
      <c r="G4621" s="66">
        <f t="shared" ref="G4621" ca="1" si="9468">VLOOKUP(INDIRECT(CHAR(39)&amp;$A4621&amp;CHAR(39)&amp;"!r2c"&amp;$C4621,0),variables,2,0)</f>
        <v>9806</v>
      </c>
      <c r="H4621" s="71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67" t="s">
        <v>1429</v>
      </c>
      <c r="B4622" s="66">
        <f t="shared" si="9346"/>
        <v>21</v>
      </c>
      <c r="C4622" s="66">
        <f t="shared" si="9349"/>
        <v>39</v>
      </c>
      <c r="E4622" s="66">
        <f t="shared" ref="E4622" si="9469">plan_id</f>
        <v>1952</v>
      </c>
      <c r="F4622" s="66">
        <f t="shared" ca="1" si="9443"/>
        <v>2019</v>
      </c>
      <c r="G4622" s="66">
        <f t="shared" ref="G4622" ca="1" si="9470">VLOOKUP(INDIRECT(CHAR(39)&amp;$A4622&amp;CHAR(39)&amp;"!r2c"&amp;$C4622,0),variables,2,0)</f>
        <v>9809</v>
      </c>
      <c r="H4622" s="71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67" t="s">
        <v>1429</v>
      </c>
      <c r="B4623" s="66">
        <f t="shared" si="9346"/>
        <v>21</v>
      </c>
      <c r="C4623" s="66">
        <f t="shared" si="9349"/>
        <v>40</v>
      </c>
      <c r="E4623" s="66">
        <f t="shared" ref="E4623" si="9471">plan_id</f>
        <v>1952</v>
      </c>
      <c r="F4623" s="66">
        <f t="shared" ca="1" si="9443"/>
        <v>2019</v>
      </c>
      <c r="G4623" s="66">
        <f t="shared" ref="G4623" ca="1" si="9472">VLOOKUP(INDIRECT(CHAR(39)&amp;$A4623&amp;CHAR(39)&amp;"!r2c"&amp;$C4623,0),variables,2,0)</f>
        <v>9818</v>
      </c>
      <c r="H4623" s="71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67" t="s">
        <v>1429</v>
      </c>
      <c r="B4624" s="66">
        <f t="shared" si="9346"/>
        <v>21</v>
      </c>
      <c r="C4624" s="66">
        <f t="shared" si="9349"/>
        <v>41</v>
      </c>
      <c r="E4624" s="66">
        <f t="shared" ref="E4624" si="9473">plan_id</f>
        <v>1952</v>
      </c>
      <c r="F4624" s="66">
        <f t="shared" ca="1" si="9443"/>
        <v>2019</v>
      </c>
      <c r="G4624" s="66">
        <f t="shared" ref="G4624" ca="1" si="9474">VLOOKUP(INDIRECT(CHAR(39)&amp;$A4624&amp;CHAR(39)&amp;"!r2c"&amp;$C4624,0),variables,2,0)</f>
        <v>9839</v>
      </c>
      <c r="H4624" s="71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67" t="s">
        <v>1429</v>
      </c>
      <c r="B4625" s="66">
        <f t="shared" si="9346"/>
        <v>21</v>
      </c>
      <c r="C4625" s="66">
        <f t="shared" si="9349"/>
        <v>42</v>
      </c>
      <c r="E4625" s="66">
        <f t="shared" ref="E4625" si="9475">plan_id</f>
        <v>1952</v>
      </c>
      <c r="F4625" s="66">
        <f t="shared" ca="1" si="9443"/>
        <v>2019</v>
      </c>
      <c r="G4625" s="66">
        <f t="shared" ref="G4625" ca="1" si="9476">VLOOKUP(INDIRECT(CHAR(39)&amp;$A4625&amp;CHAR(39)&amp;"!r2c"&amp;$C4625,0),variables,2,0)</f>
        <v>9860</v>
      </c>
      <c r="H4625" s="71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67" t="s">
        <v>1429</v>
      </c>
      <c r="B4626" s="66">
        <f t="shared" ref="B4626:B4689" si="9477">B4538+1</f>
        <v>21</v>
      </c>
      <c r="C4626" s="66">
        <f t="shared" si="9349"/>
        <v>43</v>
      </c>
      <c r="E4626" s="66">
        <f t="shared" ref="E4626" si="9478">plan_id</f>
        <v>1952</v>
      </c>
      <c r="F4626" s="66">
        <f t="shared" ca="1" si="9443"/>
        <v>2019</v>
      </c>
      <c r="G4626" s="66">
        <f t="shared" ref="G4626" ca="1" si="9479">VLOOKUP(INDIRECT(CHAR(39)&amp;$A4626&amp;CHAR(39)&amp;"!r2c"&amp;$C4626,0),variables,2,0)</f>
        <v>9863</v>
      </c>
      <c r="H4626" s="71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67" t="s">
        <v>1429</v>
      </c>
      <c r="B4627" s="66">
        <f t="shared" si="9477"/>
        <v>21</v>
      </c>
      <c r="C4627" s="66">
        <f t="shared" ref="C4627:C4690" si="9480">C4539</f>
        <v>44</v>
      </c>
      <c r="E4627" s="66">
        <f t="shared" ref="E4627" si="9481">plan_id</f>
        <v>1952</v>
      </c>
      <c r="F4627" s="66">
        <f t="shared" ca="1" si="9443"/>
        <v>2019</v>
      </c>
      <c r="G4627" s="66">
        <f t="shared" ref="G4627" ca="1" si="9482">VLOOKUP(INDIRECT(CHAR(39)&amp;$A4627&amp;CHAR(39)&amp;"!r2c"&amp;$C4627,0),variables,2,0)</f>
        <v>9878</v>
      </c>
      <c r="H4627" s="71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67" t="s">
        <v>1429</v>
      </c>
      <c r="B4628" s="66">
        <f t="shared" si="9477"/>
        <v>21</v>
      </c>
      <c r="C4628" s="66">
        <f t="shared" si="9480"/>
        <v>45</v>
      </c>
      <c r="E4628" s="66">
        <f t="shared" ref="E4628" si="9483">plan_id</f>
        <v>1952</v>
      </c>
      <c r="F4628" s="66">
        <f t="shared" ca="1" si="9443"/>
        <v>2019</v>
      </c>
      <c r="G4628" s="66">
        <f t="shared" ref="G4628" ca="1" si="9484">VLOOKUP(INDIRECT(CHAR(39)&amp;$A4628&amp;CHAR(39)&amp;"!r2c"&amp;$C4628,0),variables,2,0)</f>
        <v>9923</v>
      </c>
      <c r="H4628" s="71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67" t="s">
        <v>1429</v>
      </c>
      <c r="B4629" s="66">
        <f t="shared" si="9477"/>
        <v>21</v>
      </c>
      <c r="C4629" s="66">
        <f t="shared" si="9480"/>
        <v>46</v>
      </c>
      <c r="E4629" s="66">
        <f t="shared" ref="E4629" si="9485">plan_id</f>
        <v>1952</v>
      </c>
      <c r="F4629" s="66">
        <f t="shared" ca="1" si="9443"/>
        <v>2019</v>
      </c>
      <c r="G4629" s="66">
        <f t="shared" ref="G4629" ca="1" si="9486">VLOOKUP(INDIRECT(CHAR(39)&amp;$A4629&amp;CHAR(39)&amp;"!r2c"&amp;$C4629,0),variables,2,0)</f>
        <v>9932</v>
      </c>
      <c r="H4629" s="71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67" t="s">
        <v>1429</v>
      </c>
      <c r="B4630" s="66">
        <f t="shared" si="9477"/>
        <v>21</v>
      </c>
      <c r="C4630" s="66">
        <f t="shared" si="9480"/>
        <v>47</v>
      </c>
      <c r="E4630" s="66">
        <f t="shared" ref="E4630" si="9487">plan_id</f>
        <v>1952</v>
      </c>
      <c r="F4630" s="66">
        <f t="shared" ca="1" si="9443"/>
        <v>2019</v>
      </c>
      <c r="G4630" s="66">
        <f t="shared" ref="G4630" ca="1" si="9488">VLOOKUP(INDIRECT(CHAR(39)&amp;$A4630&amp;CHAR(39)&amp;"!r2c"&amp;$C4630,0),variables,2,0)</f>
        <v>9935</v>
      </c>
      <c r="H4630" s="71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67" t="s">
        <v>1429</v>
      </c>
      <c r="B4631" s="66">
        <f t="shared" si="9477"/>
        <v>21</v>
      </c>
      <c r="C4631" s="66">
        <f t="shared" si="9480"/>
        <v>48</v>
      </c>
      <c r="E4631" s="66">
        <f t="shared" ref="E4631" si="9489">plan_id</f>
        <v>1952</v>
      </c>
      <c r="F4631" s="66">
        <f t="shared" ca="1" si="9443"/>
        <v>2019</v>
      </c>
      <c r="G4631" s="66">
        <f t="shared" ref="G4631" ca="1" si="9490">VLOOKUP(INDIRECT(CHAR(39)&amp;$A4631&amp;CHAR(39)&amp;"!r2c"&amp;$C4631,0),variables,2,0)</f>
        <v>9651</v>
      </c>
      <c r="H4631" s="71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67" t="s">
        <v>1429</v>
      </c>
      <c r="B4632" s="66">
        <f t="shared" si="9477"/>
        <v>21</v>
      </c>
      <c r="C4632" s="66">
        <f t="shared" si="9480"/>
        <v>49</v>
      </c>
      <c r="E4632" s="66">
        <f t="shared" ref="E4632" si="9491">plan_id</f>
        <v>1952</v>
      </c>
      <c r="F4632" s="66">
        <f t="shared" ca="1" si="9443"/>
        <v>2019</v>
      </c>
      <c r="G4632" s="66">
        <f t="shared" ref="G4632" ca="1" si="9492">VLOOKUP(INDIRECT(CHAR(39)&amp;$A4632&amp;CHAR(39)&amp;"!r2c"&amp;$C4632,0),variables,2,0)</f>
        <v>9722</v>
      </c>
      <c r="H4632" s="71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67" t="s">
        <v>1429</v>
      </c>
      <c r="B4633" s="66">
        <f t="shared" si="9477"/>
        <v>21</v>
      </c>
      <c r="C4633" s="66">
        <f t="shared" si="9480"/>
        <v>50</v>
      </c>
      <c r="E4633" s="66">
        <f t="shared" ref="E4633" si="9493">plan_id</f>
        <v>1952</v>
      </c>
      <c r="F4633" s="66">
        <f t="shared" ca="1" si="9443"/>
        <v>2019</v>
      </c>
      <c r="G4633" s="66">
        <f t="shared" ref="G4633" ca="1" si="9494">VLOOKUP(INDIRECT(CHAR(39)&amp;$A4633&amp;CHAR(39)&amp;"!r2c"&amp;$C4633,0),variables,2,0)</f>
        <v>9848</v>
      </c>
      <c r="H4633" s="71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67" t="s">
        <v>1429</v>
      </c>
      <c r="B4634" s="66">
        <f t="shared" si="9477"/>
        <v>21</v>
      </c>
      <c r="C4634" s="66">
        <f t="shared" si="9480"/>
        <v>51</v>
      </c>
      <c r="E4634" s="66">
        <f t="shared" ref="E4634" si="9495">plan_id</f>
        <v>1952</v>
      </c>
      <c r="F4634" s="66">
        <f t="shared" ca="1" si="9443"/>
        <v>2019</v>
      </c>
      <c r="G4634" s="66">
        <f t="shared" ref="G4634" ca="1" si="9496">VLOOKUP(INDIRECT(CHAR(39)&amp;$A4634&amp;CHAR(39)&amp;"!r2c"&amp;$C4634,0),variables,2,0)</f>
        <v>9866</v>
      </c>
      <c r="H4634" s="71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67" t="s">
        <v>1429</v>
      </c>
      <c r="B4635" s="66">
        <f t="shared" si="9477"/>
        <v>21</v>
      </c>
      <c r="C4635" s="66">
        <f t="shared" si="9480"/>
        <v>52</v>
      </c>
      <c r="E4635" s="66">
        <f t="shared" ref="E4635" si="9497">plan_id</f>
        <v>1952</v>
      </c>
      <c r="F4635" s="66">
        <f t="shared" ca="1" si="9443"/>
        <v>2019</v>
      </c>
      <c r="G4635" s="66">
        <f t="shared" ref="G4635" ca="1" si="9498">VLOOKUP(INDIRECT(CHAR(39)&amp;$A4635&amp;CHAR(39)&amp;"!r2c"&amp;$C4635,0),variables,2,0)</f>
        <v>9899</v>
      </c>
      <c r="H4635" s="71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67" t="s">
        <v>1429</v>
      </c>
      <c r="B4636" s="66">
        <f t="shared" si="9477"/>
        <v>21</v>
      </c>
      <c r="C4636" s="66">
        <f t="shared" si="9480"/>
        <v>53</v>
      </c>
      <c r="E4636" s="66">
        <f t="shared" ref="E4636" si="9499">plan_id</f>
        <v>1952</v>
      </c>
      <c r="F4636" s="66">
        <f t="shared" ca="1" si="9443"/>
        <v>2019</v>
      </c>
      <c r="G4636" s="66">
        <f t="shared" ref="G4636" ca="1" si="9500">VLOOKUP(INDIRECT(CHAR(39)&amp;$A4636&amp;CHAR(39)&amp;"!r2c"&amp;$C4636,0),variables,2,0)</f>
        <v>9905</v>
      </c>
      <c r="H4636" s="71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67" t="s">
        <v>1429</v>
      </c>
      <c r="B4637" s="66">
        <f t="shared" si="9477"/>
        <v>21</v>
      </c>
      <c r="C4637" s="66">
        <f t="shared" si="9480"/>
        <v>54</v>
      </c>
      <c r="E4637" s="66">
        <f t="shared" ref="E4637" si="9501">plan_id</f>
        <v>1952</v>
      </c>
      <c r="F4637" s="66">
        <f t="shared" ca="1" si="9443"/>
        <v>2019</v>
      </c>
      <c r="G4637" s="66">
        <f t="shared" ref="G4637" ca="1" si="9502">VLOOKUP(INDIRECT(CHAR(39)&amp;$A4637&amp;CHAR(39)&amp;"!r2c"&amp;$C4637,0),variables,2,0)</f>
        <v>9929</v>
      </c>
      <c r="H4637" s="71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67" t="s">
        <v>1429</v>
      </c>
      <c r="B4638" s="66">
        <f t="shared" si="9477"/>
        <v>21</v>
      </c>
      <c r="C4638" s="66">
        <f t="shared" si="9480"/>
        <v>55</v>
      </c>
      <c r="E4638" s="66">
        <f t="shared" ref="E4638" si="9503">plan_id</f>
        <v>1952</v>
      </c>
      <c r="F4638" s="66">
        <f t="shared" ca="1" si="9443"/>
        <v>2019</v>
      </c>
      <c r="G4638" s="66">
        <f t="shared" ref="G4638" ca="1" si="9504">VLOOKUP(INDIRECT(CHAR(39)&amp;$A4638&amp;CHAR(39)&amp;"!r2c"&amp;$C4638,0),variables,2,0)</f>
        <v>9654</v>
      </c>
      <c r="H4638" s="71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67" t="s">
        <v>1429</v>
      </c>
      <c r="B4639" s="66">
        <f t="shared" si="9477"/>
        <v>21</v>
      </c>
      <c r="C4639" s="66">
        <f t="shared" si="9480"/>
        <v>56</v>
      </c>
      <c r="E4639" s="66">
        <f t="shared" ref="E4639" si="9505">plan_id</f>
        <v>1952</v>
      </c>
      <c r="F4639" s="66">
        <f t="shared" ca="1" si="9443"/>
        <v>2019</v>
      </c>
      <c r="G4639" s="66">
        <f t="shared" ref="G4639" ca="1" si="9506">VLOOKUP(INDIRECT(CHAR(39)&amp;$A4639&amp;CHAR(39)&amp;"!r2c"&amp;$C4639,0),variables,2,0)</f>
        <v>9707</v>
      </c>
      <c r="H4639" s="71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67" t="s">
        <v>1429</v>
      </c>
      <c r="B4640" s="66">
        <f t="shared" si="9477"/>
        <v>21</v>
      </c>
      <c r="C4640" s="66">
        <f t="shared" si="9480"/>
        <v>57</v>
      </c>
      <c r="E4640" s="66">
        <f t="shared" ref="E4640" si="9507">plan_id</f>
        <v>1952</v>
      </c>
      <c r="F4640" s="66">
        <f t="shared" ca="1" si="9443"/>
        <v>2019</v>
      </c>
      <c r="G4640" s="66">
        <f t="shared" ref="G4640" ca="1" si="9508">VLOOKUP(INDIRECT(CHAR(39)&amp;$A4640&amp;CHAR(39)&amp;"!r2c"&amp;$C4640,0),variables,2,0)</f>
        <v>9669</v>
      </c>
      <c r="H4640" s="71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67" t="s">
        <v>1429</v>
      </c>
      <c r="B4641" s="66">
        <f t="shared" si="9477"/>
        <v>21</v>
      </c>
      <c r="C4641" s="66">
        <f t="shared" si="9480"/>
        <v>58</v>
      </c>
      <c r="E4641" s="66">
        <f t="shared" ref="E4641" si="9509">plan_id</f>
        <v>1952</v>
      </c>
      <c r="F4641" s="66">
        <f t="shared" ca="1" si="9443"/>
        <v>2019</v>
      </c>
      <c r="G4641" s="66">
        <f t="shared" ref="G4641" ca="1" si="9510">VLOOKUP(INDIRECT(CHAR(39)&amp;$A4641&amp;CHAR(39)&amp;"!r2c"&amp;$C4641,0),variables,2,0)</f>
        <v>9851</v>
      </c>
      <c r="H4641" s="71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67" t="s">
        <v>1429</v>
      </c>
      <c r="B4642" s="66">
        <f t="shared" si="9477"/>
        <v>21</v>
      </c>
      <c r="C4642" s="66">
        <f t="shared" si="9480"/>
        <v>59</v>
      </c>
      <c r="E4642" s="66">
        <f t="shared" ref="E4642" si="9511">plan_id</f>
        <v>1952</v>
      </c>
      <c r="F4642" s="66">
        <f t="shared" ca="1" si="9443"/>
        <v>2019</v>
      </c>
      <c r="G4642" s="66">
        <f t="shared" ref="G4642" ca="1" si="9512">VLOOKUP(INDIRECT(CHAR(39)&amp;$A4642&amp;CHAR(39)&amp;"!r2c"&amp;$C4642,0),variables,2,0)</f>
        <v>9890</v>
      </c>
      <c r="H4642" s="71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67" t="s">
        <v>1429</v>
      </c>
      <c r="B4643" s="66">
        <f t="shared" si="9477"/>
        <v>21</v>
      </c>
      <c r="C4643" s="66">
        <f t="shared" si="9480"/>
        <v>60</v>
      </c>
      <c r="E4643" s="66">
        <f t="shared" ref="E4643" si="9513">plan_id</f>
        <v>1952</v>
      </c>
      <c r="F4643" s="66">
        <f t="shared" ca="1" si="9443"/>
        <v>2019</v>
      </c>
      <c r="G4643" s="66">
        <f t="shared" ref="G4643" ca="1" si="9514">VLOOKUP(INDIRECT(CHAR(39)&amp;$A4643&amp;CHAR(39)&amp;"!r2c"&amp;$C4643,0),variables,2,0)</f>
        <v>9893</v>
      </c>
      <c r="H4643" s="71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67" t="s">
        <v>1429</v>
      </c>
      <c r="B4644" s="66">
        <f t="shared" si="9477"/>
        <v>21</v>
      </c>
      <c r="C4644" s="66">
        <f t="shared" si="9480"/>
        <v>61</v>
      </c>
      <c r="E4644" s="66">
        <f t="shared" ref="E4644" si="9515">plan_id</f>
        <v>1952</v>
      </c>
      <c r="F4644" s="66">
        <f t="shared" ca="1" si="9443"/>
        <v>2019</v>
      </c>
      <c r="G4644" s="66">
        <f t="shared" ref="G4644" ca="1" si="9516">VLOOKUP(INDIRECT(CHAR(39)&amp;$A4644&amp;CHAR(39)&amp;"!r2c"&amp;$C4644,0),variables,2,0)</f>
        <v>9896</v>
      </c>
      <c r="H4644" s="71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67" t="s">
        <v>1429</v>
      </c>
      <c r="B4645" s="66">
        <f t="shared" si="9477"/>
        <v>21</v>
      </c>
      <c r="C4645" s="66">
        <f t="shared" si="9480"/>
        <v>62</v>
      </c>
      <c r="E4645" s="66">
        <f t="shared" ref="E4645" si="9517">plan_id</f>
        <v>1952</v>
      </c>
      <c r="F4645" s="66">
        <f t="shared" ca="1" si="9443"/>
        <v>2019</v>
      </c>
      <c r="G4645" s="66">
        <f t="shared" ref="G4645" ca="1" si="9518">VLOOKUP(INDIRECT(CHAR(39)&amp;$A4645&amp;CHAR(39)&amp;"!r2c"&amp;$C4645,0),variables,2,0)</f>
        <v>9660</v>
      </c>
      <c r="H4645" s="71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67" t="s">
        <v>1429</v>
      </c>
      <c r="B4646" s="66">
        <f t="shared" si="9477"/>
        <v>21</v>
      </c>
      <c r="C4646" s="66">
        <f t="shared" si="9480"/>
        <v>63</v>
      </c>
      <c r="E4646" s="66">
        <f t="shared" ref="E4646" si="9519">plan_id</f>
        <v>1952</v>
      </c>
      <c r="F4646" s="66">
        <f t="shared" ca="1" si="9443"/>
        <v>2019</v>
      </c>
      <c r="G4646" s="66">
        <f t="shared" ref="G4646" ca="1" si="9520">VLOOKUP(INDIRECT(CHAR(39)&amp;$A4646&amp;CHAR(39)&amp;"!r2c"&amp;$C4646,0),variables,2,0)</f>
        <v>9701</v>
      </c>
      <c r="H4646" s="71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67" t="s">
        <v>1429</v>
      </c>
      <c r="B4647" s="66">
        <f t="shared" si="9477"/>
        <v>21</v>
      </c>
      <c r="C4647" s="66">
        <f t="shared" si="9480"/>
        <v>64</v>
      </c>
      <c r="E4647" s="66">
        <f t="shared" ref="E4647" si="9521">plan_id</f>
        <v>1952</v>
      </c>
      <c r="F4647" s="66">
        <f t="shared" ca="1" si="9443"/>
        <v>2019</v>
      </c>
      <c r="G4647" s="66">
        <f t="shared" ref="G4647" ca="1" si="9522">VLOOKUP(INDIRECT(CHAR(39)&amp;$A4647&amp;CHAR(39)&amp;"!r2c"&amp;$C4647,0),variables,2,0)</f>
        <v>9728</v>
      </c>
      <c r="H4647" s="71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67" t="s">
        <v>1429</v>
      </c>
      <c r="B4648" s="66">
        <f t="shared" si="9477"/>
        <v>21</v>
      </c>
      <c r="C4648" s="66">
        <f t="shared" si="9480"/>
        <v>65</v>
      </c>
      <c r="E4648" s="66">
        <f t="shared" ref="E4648" si="9523">plan_id</f>
        <v>1952</v>
      </c>
      <c r="F4648" s="66">
        <f t="shared" ca="1" si="9443"/>
        <v>2019</v>
      </c>
      <c r="G4648" s="66">
        <f t="shared" ref="G4648" ca="1" si="9524">VLOOKUP(INDIRECT(CHAR(39)&amp;$A4648&amp;CHAR(39)&amp;"!r2c"&amp;$C4648,0),variables,2,0)</f>
        <v>9731</v>
      </c>
      <c r="H4648" s="71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67" t="s">
        <v>1429</v>
      </c>
      <c r="B4649" s="66">
        <f t="shared" si="9477"/>
        <v>21</v>
      </c>
      <c r="C4649" s="66">
        <f t="shared" si="9480"/>
        <v>66</v>
      </c>
      <c r="E4649" s="66">
        <f t="shared" ref="E4649" si="9525">plan_id</f>
        <v>1952</v>
      </c>
      <c r="F4649" s="66">
        <f t="shared" ca="1" si="9443"/>
        <v>2019</v>
      </c>
      <c r="G4649" s="66">
        <f t="shared" ref="G4649" ca="1" si="9526">VLOOKUP(INDIRECT(CHAR(39)&amp;$A4649&amp;CHAR(39)&amp;"!r2c"&amp;$C4649,0),variables,2,0)</f>
        <v>9737</v>
      </c>
      <c r="H4649" s="71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67" t="s">
        <v>1429</v>
      </c>
      <c r="B4650" s="66">
        <f t="shared" si="9477"/>
        <v>21</v>
      </c>
      <c r="C4650" s="66">
        <f t="shared" si="9480"/>
        <v>67</v>
      </c>
      <c r="E4650" s="66">
        <f t="shared" ref="E4650" si="9527">plan_id</f>
        <v>1952</v>
      </c>
      <c r="F4650" s="66">
        <f t="shared" ca="1" si="9443"/>
        <v>2019</v>
      </c>
      <c r="G4650" s="66">
        <f t="shared" ref="G4650" ca="1" si="9528">VLOOKUP(INDIRECT(CHAR(39)&amp;$A4650&amp;CHAR(39)&amp;"!r2c"&amp;$C4650,0),variables,2,0)</f>
        <v>9740</v>
      </c>
      <c r="H4650" s="71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67" t="s">
        <v>1429</v>
      </c>
      <c r="B4651" s="66">
        <f t="shared" si="9477"/>
        <v>21</v>
      </c>
      <c r="C4651" s="66">
        <f t="shared" si="9480"/>
        <v>68</v>
      </c>
      <c r="E4651" s="66">
        <f t="shared" ref="E4651" si="9529">plan_id</f>
        <v>1952</v>
      </c>
      <c r="F4651" s="66">
        <f t="shared" ca="1" si="9443"/>
        <v>2019</v>
      </c>
      <c r="G4651" s="66">
        <f t="shared" ref="G4651" ca="1" si="9530">VLOOKUP(INDIRECT(CHAR(39)&amp;$A4651&amp;CHAR(39)&amp;"!r2c"&amp;$C4651,0),variables,2,0)</f>
        <v>9752</v>
      </c>
      <c r="H4651" s="71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67" t="s">
        <v>1429</v>
      </c>
      <c r="B4652" s="66">
        <f t="shared" si="9477"/>
        <v>21</v>
      </c>
      <c r="C4652" s="66">
        <f t="shared" si="9480"/>
        <v>69</v>
      </c>
      <c r="E4652" s="66">
        <f t="shared" ref="E4652" si="9531">plan_id</f>
        <v>1952</v>
      </c>
      <c r="F4652" s="66">
        <f t="shared" ca="1" si="9443"/>
        <v>2019</v>
      </c>
      <c r="G4652" s="66">
        <f t="shared" ref="G4652" ca="1" si="9532">VLOOKUP(INDIRECT(CHAR(39)&amp;$A4652&amp;CHAR(39)&amp;"!r2c"&amp;$C4652,0),variables,2,0)</f>
        <v>9791</v>
      </c>
      <c r="H4652" s="71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67" t="s">
        <v>1429</v>
      </c>
      <c r="B4653" s="66">
        <f t="shared" si="9477"/>
        <v>21</v>
      </c>
      <c r="C4653" s="66">
        <f t="shared" si="9480"/>
        <v>70</v>
      </c>
      <c r="E4653" s="66">
        <f t="shared" ref="E4653" si="9533">plan_id</f>
        <v>1952</v>
      </c>
      <c r="F4653" s="66">
        <f t="shared" ca="1" si="9443"/>
        <v>2019</v>
      </c>
      <c r="G4653" s="66">
        <f t="shared" ref="G4653" ca="1" si="9534">VLOOKUP(INDIRECT(CHAR(39)&amp;$A4653&amp;CHAR(39)&amp;"!r2c"&amp;$C4653,0),variables,2,0)</f>
        <v>9800</v>
      </c>
      <c r="H4653" s="71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67" t="s">
        <v>1429</v>
      </c>
      <c r="B4654" s="66">
        <f t="shared" si="9477"/>
        <v>21</v>
      </c>
      <c r="C4654" s="66">
        <f t="shared" si="9480"/>
        <v>71</v>
      </c>
      <c r="E4654" s="66">
        <f t="shared" ref="E4654" si="9535">plan_id</f>
        <v>1952</v>
      </c>
      <c r="F4654" s="66">
        <f t="shared" ca="1" si="9443"/>
        <v>2019</v>
      </c>
      <c r="G4654" s="66">
        <f t="shared" ref="G4654" ca="1" si="9536">VLOOKUP(INDIRECT(CHAR(39)&amp;$A4654&amp;CHAR(39)&amp;"!r2c"&amp;$C4654,0),variables,2,0)</f>
        <v>9842</v>
      </c>
      <c r="H4654" s="71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67" t="s">
        <v>1429</v>
      </c>
      <c r="B4655" s="66">
        <f t="shared" si="9477"/>
        <v>21</v>
      </c>
      <c r="C4655" s="66">
        <f t="shared" si="9480"/>
        <v>72</v>
      </c>
      <c r="E4655" s="66">
        <f t="shared" ref="E4655" si="9537">plan_id</f>
        <v>1952</v>
      </c>
      <c r="F4655" s="66">
        <f t="shared" ca="1" si="9443"/>
        <v>2019</v>
      </c>
      <c r="G4655" s="66">
        <f t="shared" ref="G4655" ca="1" si="9538">VLOOKUP(INDIRECT(CHAR(39)&amp;$A4655&amp;CHAR(39)&amp;"!r2c"&amp;$C4655,0),variables,2,0)</f>
        <v>9854</v>
      </c>
      <c r="H4655" s="71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67" t="s">
        <v>1429</v>
      </c>
      <c r="B4656" s="66">
        <f t="shared" si="9477"/>
        <v>21</v>
      </c>
      <c r="C4656" s="66">
        <f t="shared" si="9480"/>
        <v>73</v>
      </c>
      <c r="E4656" s="66">
        <f t="shared" ref="E4656" si="9539">plan_id</f>
        <v>1952</v>
      </c>
      <c r="F4656" s="66">
        <f t="shared" ca="1" si="9443"/>
        <v>2019</v>
      </c>
      <c r="G4656" s="66">
        <f t="shared" ref="G4656" ca="1" si="9540">VLOOKUP(INDIRECT(CHAR(39)&amp;$A4656&amp;CHAR(39)&amp;"!r2c"&amp;$C4656,0),variables,2,0)</f>
        <v>9869</v>
      </c>
      <c r="H4656" s="71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67" t="s">
        <v>1429</v>
      </c>
      <c r="B4657" s="66">
        <f t="shared" si="9477"/>
        <v>21</v>
      </c>
      <c r="C4657" s="66">
        <f t="shared" si="9480"/>
        <v>74</v>
      </c>
      <c r="E4657" s="66">
        <f t="shared" ref="E4657" si="9541">plan_id</f>
        <v>1952</v>
      </c>
      <c r="F4657" s="66">
        <f t="shared" ca="1" si="9443"/>
        <v>2019</v>
      </c>
      <c r="G4657" s="66">
        <f t="shared" ref="G4657" ca="1" si="9542">VLOOKUP(INDIRECT(CHAR(39)&amp;$A4657&amp;CHAR(39)&amp;"!r2c"&amp;$C4657,0),variables,2,0)</f>
        <v>9873</v>
      </c>
      <c r="H4657" s="71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67" t="s">
        <v>1429</v>
      </c>
      <c r="B4658" s="66">
        <f t="shared" si="9477"/>
        <v>21</v>
      </c>
      <c r="C4658" s="66">
        <f t="shared" si="9480"/>
        <v>75</v>
      </c>
      <c r="E4658" s="66">
        <f t="shared" ref="E4658" si="9543">plan_id</f>
        <v>1952</v>
      </c>
      <c r="F4658" s="66">
        <f t="shared" ca="1" si="9443"/>
        <v>2019</v>
      </c>
      <c r="G4658" s="66">
        <f t="shared" ref="G4658" ca="1" si="9544">VLOOKUP(INDIRECT(CHAR(39)&amp;$A4658&amp;CHAR(39)&amp;"!r2c"&amp;$C4658,0),variables,2,0)</f>
        <v>9881</v>
      </c>
      <c r="H4658" s="71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67" t="s">
        <v>1429</v>
      </c>
      <c r="B4659" s="66">
        <f t="shared" si="9477"/>
        <v>21</v>
      </c>
      <c r="C4659" s="66">
        <f t="shared" si="9480"/>
        <v>76</v>
      </c>
      <c r="E4659" s="66">
        <f t="shared" ref="E4659" si="9545">plan_id</f>
        <v>1952</v>
      </c>
      <c r="F4659" s="66">
        <f t="shared" ca="1" si="9443"/>
        <v>2019</v>
      </c>
      <c r="G4659" s="66">
        <f t="shared" ref="G4659" ca="1" si="9546">VLOOKUP(INDIRECT(CHAR(39)&amp;$A4659&amp;CHAR(39)&amp;"!r2c"&amp;$C4659,0),variables,2,0)</f>
        <v>9908</v>
      </c>
      <c r="H4659" s="71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67" t="s">
        <v>1429</v>
      </c>
      <c r="B4660" s="66">
        <f t="shared" si="9477"/>
        <v>21</v>
      </c>
      <c r="C4660" s="66">
        <f t="shared" si="9480"/>
        <v>77</v>
      </c>
      <c r="E4660" s="66">
        <f t="shared" ref="E4660" si="9547">plan_id</f>
        <v>1952</v>
      </c>
      <c r="F4660" s="66">
        <f t="shared" ca="1" si="9443"/>
        <v>2019</v>
      </c>
      <c r="G4660" s="66">
        <f t="shared" ref="G4660" ca="1" si="9548">VLOOKUP(INDIRECT(CHAR(39)&amp;$A4660&amp;CHAR(39)&amp;"!r2c"&amp;$C4660,0),variables,2,0)</f>
        <v>9911</v>
      </c>
      <c r="H4660" s="71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67" t="s">
        <v>1429</v>
      </c>
      <c r="B4661" s="66">
        <f t="shared" si="9477"/>
        <v>21</v>
      </c>
      <c r="C4661" s="66">
        <f t="shared" si="9480"/>
        <v>78</v>
      </c>
      <c r="E4661" s="66">
        <f t="shared" ref="E4661" si="9549">plan_id</f>
        <v>1952</v>
      </c>
      <c r="F4661" s="66">
        <f t="shared" ca="1" si="9443"/>
        <v>2019</v>
      </c>
      <c r="G4661" s="66">
        <f t="shared" ref="G4661" ca="1" si="9550">VLOOKUP(INDIRECT(CHAR(39)&amp;$A4661&amp;CHAR(39)&amp;"!r2c"&amp;$C4661,0),variables,2,0)</f>
        <v>9663</v>
      </c>
      <c r="H4661" s="71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67" t="s">
        <v>1429</v>
      </c>
      <c r="B4662" s="66">
        <f t="shared" si="9477"/>
        <v>21</v>
      </c>
      <c r="C4662" s="66">
        <f t="shared" si="9480"/>
        <v>79</v>
      </c>
      <c r="E4662" s="66">
        <f t="shared" ref="E4662" si="9551">plan_id</f>
        <v>1952</v>
      </c>
      <c r="F4662" s="66">
        <f t="shared" ca="1" si="9443"/>
        <v>2019</v>
      </c>
      <c r="G4662" s="66">
        <f t="shared" ref="G4662" ca="1" si="9552">VLOOKUP(INDIRECT(CHAR(39)&amp;$A4662&amp;CHAR(39)&amp;"!r2c"&amp;$C4662,0),variables,2,0)</f>
        <v>9710</v>
      </c>
      <c r="H4662" s="71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67" t="s">
        <v>1429</v>
      </c>
      <c r="B4663" s="66">
        <f t="shared" si="9477"/>
        <v>21</v>
      </c>
      <c r="C4663" s="66">
        <f t="shared" si="9480"/>
        <v>80</v>
      </c>
      <c r="E4663" s="66">
        <f t="shared" ref="E4663" si="9553">plan_id</f>
        <v>1952</v>
      </c>
      <c r="F4663" s="66">
        <f t="shared" ca="1" si="9443"/>
        <v>2019</v>
      </c>
      <c r="G4663" s="66">
        <f t="shared" ref="G4663" ca="1" si="9554">VLOOKUP(INDIRECT(CHAR(39)&amp;$A4663&amp;CHAR(39)&amp;"!r2c"&amp;$C4663,0),variables,2,0)</f>
        <v>9758</v>
      </c>
      <c r="H4663" s="71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67" t="s">
        <v>1429</v>
      </c>
      <c r="B4664" s="66">
        <f t="shared" si="9477"/>
        <v>21</v>
      </c>
      <c r="C4664" s="66">
        <f t="shared" si="9480"/>
        <v>81</v>
      </c>
      <c r="E4664" s="66">
        <f t="shared" ref="E4664" si="9555">plan_id</f>
        <v>1952</v>
      </c>
      <c r="F4664" s="66">
        <f t="shared" ca="1" si="9443"/>
        <v>2019</v>
      </c>
      <c r="G4664" s="66">
        <f t="shared" ref="G4664" ca="1" si="9556">VLOOKUP(INDIRECT(CHAR(39)&amp;$A4664&amp;CHAR(39)&amp;"!r2c"&amp;$C4664,0),variables,2,0)</f>
        <v>9803</v>
      </c>
      <c r="H4664" s="71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67" t="s">
        <v>1429</v>
      </c>
      <c r="B4665" s="66">
        <f t="shared" si="9477"/>
        <v>21</v>
      </c>
      <c r="C4665" s="66">
        <f t="shared" si="9480"/>
        <v>82</v>
      </c>
      <c r="E4665" s="66">
        <f t="shared" ref="E4665" si="9557">plan_id</f>
        <v>1952</v>
      </c>
      <c r="F4665" s="66">
        <f t="shared" ca="1" si="9443"/>
        <v>2019</v>
      </c>
      <c r="G4665" s="66">
        <f t="shared" ref="G4665" ca="1" si="9558">VLOOKUP(INDIRECT(CHAR(39)&amp;$A4665&amp;CHAR(39)&amp;"!r2c"&amp;$C4665,0),variables,2,0)</f>
        <v>9857</v>
      </c>
      <c r="H4665" s="71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67" t="s">
        <v>1429</v>
      </c>
      <c r="B4666" s="66">
        <f t="shared" si="9477"/>
        <v>21</v>
      </c>
      <c r="C4666" s="66">
        <f t="shared" si="9480"/>
        <v>83</v>
      </c>
      <c r="E4666" s="66">
        <f t="shared" ref="E4666" si="9559">plan_id</f>
        <v>1952</v>
      </c>
      <c r="F4666" s="66">
        <f t="shared" ca="1" si="9443"/>
        <v>2019</v>
      </c>
      <c r="G4666" s="66">
        <f t="shared" ref="G4666" ca="1" si="9560">VLOOKUP(INDIRECT(CHAR(39)&amp;$A4666&amp;CHAR(39)&amp;"!r2c"&amp;$C4666,0),variables,2,0)</f>
        <v>9902</v>
      </c>
      <c r="H4666" s="71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67" t="s">
        <v>1429</v>
      </c>
      <c r="B4667" s="66">
        <f t="shared" si="9477"/>
        <v>21</v>
      </c>
      <c r="C4667" s="66">
        <f t="shared" si="9480"/>
        <v>84</v>
      </c>
      <c r="E4667" s="66">
        <f t="shared" ref="E4667" si="9561">plan_id</f>
        <v>1952</v>
      </c>
      <c r="F4667" s="66">
        <f t="shared" ca="1" si="9443"/>
        <v>2019</v>
      </c>
      <c r="G4667" s="66">
        <f t="shared" ref="G4667" ca="1" si="9562">VLOOKUP(INDIRECT(CHAR(39)&amp;$A4667&amp;CHAR(39)&amp;"!r2c"&amp;$C4667,0),variables,2,0)</f>
        <v>9926</v>
      </c>
      <c r="H4667" s="71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67" t="s">
        <v>1429</v>
      </c>
      <c r="B4668" s="66">
        <f t="shared" si="9477"/>
        <v>21</v>
      </c>
      <c r="C4668" s="66">
        <f t="shared" si="9480"/>
        <v>85</v>
      </c>
      <c r="E4668" s="66">
        <f t="shared" ref="E4668" si="9563">plan_id</f>
        <v>1952</v>
      </c>
      <c r="F4668" s="66">
        <f t="shared" ca="1" si="9443"/>
        <v>2019</v>
      </c>
      <c r="G4668" s="66">
        <f t="shared" ref="G4668" ca="1" si="9564">VLOOKUP(INDIRECT(CHAR(39)&amp;$A4668&amp;CHAR(39)&amp;"!r2c"&amp;$C4668,0),variables,2,0)</f>
        <v>9666</v>
      </c>
      <c r="H4668" s="71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67" t="s">
        <v>1429</v>
      </c>
      <c r="B4669" s="66">
        <f t="shared" si="9477"/>
        <v>21</v>
      </c>
      <c r="C4669" s="66">
        <f t="shared" si="9480"/>
        <v>86</v>
      </c>
      <c r="E4669" s="66">
        <f t="shared" ref="E4669" si="9565">plan_id</f>
        <v>1952</v>
      </c>
      <c r="F4669" s="66">
        <f t="shared" ca="1" si="9443"/>
        <v>2019</v>
      </c>
      <c r="G4669" s="66">
        <f t="shared" ref="G4669" ca="1" si="9566">VLOOKUP(INDIRECT(CHAR(39)&amp;$A4669&amp;CHAR(39)&amp;"!r2c"&amp;$C4669,0),variables,2,0)</f>
        <v>9827</v>
      </c>
      <c r="H4669" s="71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67" t="s">
        <v>1429</v>
      </c>
      <c r="B4670" s="66">
        <f t="shared" si="9477"/>
        <v>21</v>
      </c>
      <c r="C4670" s="66">
        <f t="shared" si="9480"/>
        <v>87</v>
      </c>
      <c r="E4670" s="66">
        <f t="shared" ref="E4670" si="9567">plan_id</f>
        <v>1952</v>
      </c>
      <c r="F4670" s="66">
        <f t="shared" ca="1" si="9443"/>
        <v>2019</v>
      </c>
      <c r="G4670" s="66">
        <f t="shared" ref="G4670" ca="1" si="9568">VLOOKUP(INDIRECT(CHAR(39)&amp;$A4670&amp;CHAR(39)&amp;"!r2c"&amp;$C4670,0),variables,2,0)</f>
        <v>9657</v>
      </c>
      <c r="H4670" s="71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67" t="s">
        <v>1429</v>
      </c>
      <c r="B4671" s="66">
        <f t="shared" si="9477"/>
        <v>21</v>
      </c>
      <c r="C4671" s="66">
        <f t="shared" si="9480"/>
        <v>88</v>
      </c>
      <c r="E4671" s="66">
        <f t="shared" ref="E4671" si="9569">plan_id</f>
        <v>1952</v>
      </c>
      <c r="F4671" s="66">
        <f t="shared" ca="1" si="9443"/>
        <v>2019</v>
      </c>
      <c r="G4671" s="66">
        <f t="shared" ref="G4671" ca="1" si="9570">VLOOKUP(INDIRECT(CHAR(39)&amp;$A4671&amp;CHAR(39)&amp;"!r2c"&amp;$C4671,0),variables,2,0)</f>
        <v>9834</v>
      </c>
      <c r="H4671" s="71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67" t="s">
        <v>1429</v>
      </c>
      <c r="B4672" s="66">
        <f t="shared" si="9477"/>
        <v>21</v>
      </c>
      <c r="C4672" s="66">
        <f t="shared" si="9480"/>
        <v>89</v>
      </c>
      <c r="E4672" s="66">
        <f t="shared" ref="E4672" si="9571">plan_id</f>
        <v>1952</v>
      </c>
      <c r="F4672" s="66">
        <f t="shared" ca="1" si="9443"/>
        <v>2019</v>
      </c>
      <c r="G4672" s="66">
        <f t="shared" ref="G4672" ca="1" si="9572">VLOOKUP(INDIRECT(CHAR(39)&amp;$A4672&amp;CHAR(39)&amp;"!r2c"&amp;$C4672,0),variables,2,0)</f>
        <v>9884</v>
      </c>
      <c r="H4672" s="71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67" t="s">
        <v>1429</v>
      </c>
      <c r="B4673" s="66">
        <f t="shared" si="9477"/>
        <v>21</v>
      </c>
      <c r="C4673" s="66">
        <f t="shared" si="9480"/>
        <v>90</v>
      </c>
      <c r="E4673" s="66">
        <f t="shared" ref="E4673" si="9573">plan_id</f>
        <v>1952</v>
      </c>
      <c r="F4673" s="66">
        <f t="shared" ref="F4673:F4736" ca="1" si="9574">INDIRECT(CHAR(39)&amp;$A4673&amp;CHAR(39)&amp;"!r"&amp;$B4673&amp;"c2",0)</f>
        <v>2019</v>
      </c>
      <c r="G4673" s="66">
        <f t="shared" ref="G4673" ca="1" si="9575">VLOOKUP(INDIRECT(CHAR(39)&amp;$A4673&amp;CHAR(39)&amp;"!r2c"&amp;$C4673,0),variables,2,0)</f>
        <v>9672</v>
      </c>
      <c r="H4673" s="71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67" t="s">
        <v>1429</v>
      </c>
      <c r="B4674" s="66">
        <f t="shared" si="9477"/>
        <v>22</v>
      </c>
      <c r="C4674" s="66">
        <f t="shared" si="9480"/>
        <v>3</v>
      </c>
      <c r="E4674" s="66">
        <f t="shared" ref="E4674" si="9576">plan_id</f>
        <v>1952</v>
      </c>
      <c r="F4674" s="66">
        <f t="shared" ca="1" si="9574"/>
        <v>2020</v>
      </c>
      <c r="G4674" s="66">
        <f t="shared" ref="G4674" ca="1" si="9577">VLOOKUP(INDIRECT(CHAR(39)&amp;$A4674&amp;CHAR(39)&amp;"!r2c"&amp;$C4674,0),variables,2,0)</f>
        <v>9704</v>
      </c>
      <c r="H4674" s="71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67" t="s">
        <v>1429</v>
      </c>
      <c r="B4675" s="66">
        <f t="shared" si="9477"/>
        <v>22</v>
      </c>
      <c r="C4675" s="66">
        <f t="shared" si="9480"/>
        <v>4</v>
      </c>
      <c r="E4675" s="66">
        <f t="shared" ref="E4675" si="9578">plan_id</f>
        <v>1952</v>
      </c>
      <c r="F4675" s="66">
        <f t="shared" ca="1" si="9574"/>
        <v>2020</v>
      </c>
      <c r="G4675" s="66">
        <f t="shared" ref="G4675" ca="1" si="9579">VLOOKUP(INDIRECT(CHAR(39)&amp;$A4675&amp;CHAR(39)&amp;"!r2c"&amp;$C4675,0),variables,2,0)</f>
        <v>9716</v>
      </c>
      <c r="H4675" s="71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67" t="s">
        <v>1429</v>
      </c>
      <c r="B4676" s="66">
        <f t="shared" si="9477"/>
        <v>22</v>
      </c>
      <c r="C4676" s="66">
        <f t="shared" si="9480"/>
        <v>5</v>
      </c>
      <c r="E4676" s="66">
        <f t="shared" ref="E4676" si="9580">plan_id</f>
        <v>1952</v>
      </c>
      <c r="F4676" s="66">
        <f t="shared" ca="1" si="9574"/>
        <v>2020</v>
      </c>
      <c r="G4676" s="66">
        <f t="shared" ref="G4676" ca="1" si="9581">VLOOKUP(INDIRECT(CHAR(39)&amp;$A4676&amp;CHAR(39)&amp;"!r2c"&amp;$C4676,0),variables,2,0)</f>
        <v>9734</v>
      </c>
      <c r="H4676" s="71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67" t="s">
        <v>1429</v>
      </c>
      <c r="B4677" s="66">
        <f t="shared" si="9477"/>
        <v>22</v>
      </c>
      <c r="C4677" s="66">
        <f t="shared" si="9480"/>
        <v>6</v>
      </c>
      <c r="E4677" s="66">
        <f t="shared" ref="E4677" si="9582">plan_id</f>
        <v>1952</v>
      </c>
      <c r="F4677" s="66">
        <f t="shared" ca="1" si="9574"/>
        <v>2020</v>
      </c>
      <c r="G4677" s="66">
        <f t="shared" ref="G4677" ca="1" si="9583">VLOOKUP(INDIRECT(CHAR(39)&amp;$A4677&amp;CHAR(39)&amp;"!r2c"&amp;$C4677,0),variables,2,0)</f>
        <v>9749</v>
      </c>
      <c r="H4677" s="71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67" t="s">
        <v>1429</v>
      </c>
      <c r="B4678" s="66">
        <f t="shared" si="9477"/>
        <v>22</v>
      </c>
      <c r="C4678" s="66">
        <f t="shared" si="9480"/>
        <v>7</v>
      </c>
      <c r="E4678" s="66">
        <f t="shared" ref="E4678" si="9584">plan_id</f>
        <v>1952</v>
      </c>
      <c r="F4678" s="66">
        <f t="shared" ca="1" si="9574"/>
        <v>2020</v>
      </c>
      <c r="G4678" s="66">
        <f t="shared" ref="G4678" ca="1" si="9585">VLOOKUP(INDIRECT(CHAR(39)&amp;$A4678&amp;CHAR(39)&amp;"!r2c"&amp;$C4678,0),variables,2,0)</f>
        <v>9755</v>
      </c>
      <c r="H4678" s="71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67" t="s">
        <v>1429</v>
      </c>
      <c r="B4679" s="66">
        <f t="shared" si="9477"/>
        <v>22</v>
      </c>
      <c r="C4679" s="66">
        <f t="shared" si="9480"/>
        <v>8</v>
      </c>
      <c r="E4679" s="66">
        <f t="shared" ref="E4679" si="9586">plan_id</f>
        <v>1952</v>
      </c>
      <c r="F4679" s="66">
        <f t="shared" ca="1" si="9574"/>
        <v>2020</v>
      </c>
      <c r="G4679" s="66">
        <f t="shared" ref="G4679" ca="1" si="9587">VLOOKUP(INDIRECT(CHAR(39)&amp;$A4679&amp;CHAR(39)&amp;"!r2c"&amp;$C4679,0),variables,2,0)</f>
        <v>9782</v>
      </c>
      <c r="H4679" s="71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67" t="s">
        <v>1429</v>
      </c>
      <c r="B4680" s="66">
        <f t="shared" si="9477"/>
        <v>22</v>
      </c>
      <c r="C4680" s="66">
        <f t="shared" si="9480"/>
        <v>9</v>
      </c>
      <c r="E4680" s="66">
        <f t="shared" ref="E4680" si="9588">plan_id</f>
        <v>1952</v>
      </c>
      <c r="F4680" s="66">
        <f t="shared" ca="1" si="9574"/>
        <v>2020</v>
      </c>
      <c r="G4680" s="66">
        <f t="shared" ref="G4680" ca="1" si="9589">VLOOKUP(INDIRECT(CHAR(39)&amp;$A4680&amp;CHAR(39)&amp;"!r2c"&amp;$C4680,0),variables,2,0)</f>
        <v>9788</v>
      </c>
      <c r="H4680" s="71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67" t="s">
        <v>1429</v>
      </c>
      <c r="B4681" s="66">
        <f t="shared" si="9477"/>
        <v>22</v>
      </c>
      <c r="C4681" s="66">
        <f t="shared" si="9480"/>
        <v>10</v>
      </c>
      <c r="E4681" s="66">
        <f t="shared" ref="E4681" si="9590">plan_id</f>
        <v>1952</v>
      </c>
      <c r="F4681" s="66">
        <f t="shared" ca="1" si="9574"/>
        <v>2020</v>
      </c>
      <c r="G4681" s="66">
        <f t="shared" ref="G4681" ca="1" si="9591">VLOOKUP(INDIRECT(CHAR(39)&amp;$A4681&amp;CHAR(39)&amp;"!r2c"&amp;$C4681,0),variables,2,0)</f>
        <v>9812</v>
      </c>
      <c r="H4681" s="71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67" t="s">
        <v>1429</v>
      </c>
      <c r="B4682" s="66">
        <f t="shared" si="9477"/>
        <v>22</v>
      </c>
      <c r="C4682" s="66">
        <f t="shared" si="9480"/>
        <v>11</v>
      </c>
      <c r="E4682" s="66">
        <f t="shared" ref="E4682" si="9592">plan_id</f>
        <v>1952</v>
      </c>
      <c r="F4682" s="66">
        <f t="shared" ca="1" si="9574"/>
        <v>2020</v>
      </c>
      <c r="G4682" s="66">
        <f t="shared" ref="G4682" ca="1" si="9593">VLOOKUP(INDIRECT(CHAR(39)&amp;$A4682&amp;CHAR(39)&amp;"!r2c"&amp;$C4682,0),variables,2,0)</f>
        <v>9815</v>
      </c>
      <c r="H4682" s="71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67" t="s">
        <v>1429</v>
      </c>
      <c r="B4683" s="66">
        <f t="shared" si="9477"/>
        <v>22</v>
      </c>
      <c r="C4683" s="66">
        <f t="shared" si="9480"/>
        <v>12</v>
      </c>
      <c r="E4683" s="66">
        <f t="shared" ref="E4683" si="9594">plan_id</f>
        <v>1952</v>
      </c>
      <c r="F4683" s="66">
        <f t="shared" ca="1" si="9574"/>
        <v>2020</v>
      </c>
      <c r="G4683" s="66">
        <f t="shared" ref="G4683" ca="1" si="9595">VLOOKUP(INDIRECT(CHAR(39)&amp;$A4683&amp;CHAR(39)&amp;"!r2c"&amp;$C4683,0),variables,2,0)</f>
        <v>9821</v>
      </c>
      <c r="H4683" s="71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67" t="s">
        <v>1429</v>
      </c>
      <c r="B4684" s="66">
        <f t="shared" si="9477"/>
        <v>22</v>
      </c>
      <c r="C4684" s="66">
        <f t="shared" si="9480"/>
        <v>13</v>
      </c>
      <c r="E4684" s="66">
        <f t="shared" ref="E4684" si="9596">plan_id</f>
        <v>1952</v>
      </c>
      <c r="F4684" s="66">
        <f t="shared" ca="1" si="9574"/>
        <v>2020</v>
      </c>
      <c r="G4684" s="66">
        <f t="shared" ref="G4684" ca="1" si="9597">VLOOKUP(INDIRECT(CHAR(39)&amp;$A4684&amp;CHAR(39)&amp;"!r2c"&amp;$C4684,0),variables,2,0)</f>
        <v>9824</v>
      </c>
      <c r="H4684" s="71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67" t="s">
        <v>1429</v>
      </c>
      <c r="B4685" s="66">
        <f t="shared" si="9477"/>
        <v>22</v>
      </c>
      <c r="C4685" s="66">
        <f t="shared" si="9480"/>
        <v>14</v>
      </c>
      <c r="E4685" s="66">
        <f t="shared" ref="E4685" si="9598">plan_id</f>
        <v>1952</v>
      </c>
      <c r="F4685" s="66">
        <f t="shared" ca="1" si="9574"/>
        <v>2020</v>
      </c>
      <c r="G4685" s="66">
        <f t="shared" ref="G4685" ca="1" si="9599">VLOOKUP(INDIRECT(CHAR(39)&amp;$A4685&amp;CHAR(39)&amp;"!r2c"&amp;$C4685,0),variables,2,0)</f>
        <v>9830</v>
      </c>
      <c r="H4685" s="71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67" t="s">
        <v>1429</v>
      </c>
      <c r="B4686" s="66">
        <f t="shared" si="9477"/>
        <v>22</v>
      </c>
      <c r="C4686" s="66">
        <f t="shared" si="9480"/>
        <v>15</v>
      </c>
      <c r="E4686" s="66">
        <f t="shared" ref="E4686" si="9600">plan_id</f>
        <v>1952</v>
      </c>
      <c r="F4686" s="66">
        <f t="shared" ca="1" si="9574"/>
        <v>2020</v>
      </c>
      <c r="G4686" s="66">
        <f t="shared" ref="G4686" ca="1" si="9601">VLOOKUP(INDIRECT(CHAR(39)&amp;$A4686&amp;CHAR(39)&amp;"!r2c"&amp;$C4686,0),variables,2,0)</f>
        <v>9833</v>
      </c>
      <c r="H4686" s="71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67" t="s">
        <v>1429</v>
      </c>
      <c r="B4687" s="66">
        <f t="shared" si="9477"/>
        <v>22</v>
      </c>
      <c r="C4687" s="66">
        <f t="shared" si="9480"/>
        <v>16</v>
      </c>
      <c r="E4687" s="66">
        <f t="shared" ref="E4687" si="9602">plan_id</f>
        <v>1952</v>
      </c>
      <c r="F4687" s="66">
        <f t="shared" ca="1" si="9574"/>
        <v>2020</v>
      </c>
      <c r="G4687" s="66">
        <f t="shared" ref="G4687" ca="1" si="9603">VLOOKUP(INDIRECT(CHAR(39)&amp;$A4687&amp;CHAR(39)&amp;"!r2c"&amp;$C4687,0),variables,2,0)</f>
        <v>9845</v>
      </c>
      <c r="H4687" s="71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67" t="s">
        <v>1429</v>
      </c>
      <c r="B4688" s="66">
        <f t="shared" si="9477"/>
        <v>22</v>
      </c>
      <c r="C4688" s="66">
        <f t="shared" si="9480"/>
        <v>17</v>
      </c>
      <c r="E4688" s="66">
        <f t="shared" ref="E4688" si="9604">plan_id</f>
        <v>1952</v>
      </c>
      <c r="F4688" s="66">
        <f t="shared" ca="1" si="9574"/>
        <v>2020</v>
      </c>
      <c r="G4688" s="66">
        <f t="shared" ref="G4688" ca="1" si="9605">VLOOKUP(INDIRECT(CHAR(39)&amp;$A4688&amp;CHAR(39)&amp;"!r2c"&amp;$C4688,0),variables,2,0)</f>
        <v>9872</v>
      </c>
      <c r="H4688" s="71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67" t="s">
        <v>1429</v>
      </c>
      <c r="B4689" s="66">
        <f t="shared" si="9477"/>
        <v>22</v>
      </c>
      <c r="C4689" s="66">
        <f t="shared" si="9480"/>
        <v>18</v>
      </c>
      <c r="E4689" s="66">
        <f t="shared" ref="E4689" si="9606">plan_id</f>
        <v>1952</v>
      </c>
      <c r="F4689" s="66">
        <f t="shared" ca="1" si="9574"/>
        <v>2020</v>
      </c>
      <c r="G4689" s="66">
        <f t="shared" ref="G4689" ca="1" si="9607">VLOOKUP(INDIRECT(CHAR(39)&amp;$A4689&amp;CHAR(39)&amp;"!r2c"&amp;$C4689,0),variables,2,0)</f>
        <v>9887</v>
      </c>
      <c r="H4689" s="71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67" t="s">
        <v>1429</v>
      </c>
      <c r="B4690" s="66">
        <f t="shared" ref="B4690:B4753" si="9608">B4602+1</f>
        <v>22</v>
      </c>
      <c r="C4690" s="66">
        <f t="shared" si="9480"/>
        <v>19</v>
      </c>
      <c r="E4690" s="66">
        <f t="shared" ref="E4690" si="9609">plan_id</f>
        <v>1952</v>
      </c>
      <c r="F4690" s="66">
        <f t="shared" ca="1" si="9574"/>
        <v>2020</v>
      </c>
      <c r="G4690" s="66">
        <f t="shared" ref="G4690" ca="1" si="9610">VLOOKUP(INDIRECT(CHAR(39)&amp;$A4690&amp;CHAR(39)&amp;"!r2c"&amp;$C4690,0),variables,2,0)</f>
        <v>9914</v>
      </c>
      <c r="H4690" s="71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67" t="s">
        <v>1429</v>
      </c>
      <c r="B4691" s="66">
        <f t="shared" si="9608"/>
        <v>22</v>
      </c>
      <c r="C4691" s="66">
        <f t="shared" ref="C4691:C4754" si="9611">C4603</f>
        <v>20</v>
      </c>
      <c r="E4691" s="66">
        <f t="shared" ref="E4691" si="9612">plan_id</f>
        <v>1952</v>
      </c>
      <c r="F4691" s="66">
        <f t="shared" ca="1" si="9574"/>
        <v>2020</v>
      </c>
      <c r="G4691" s="66">
        <f t="shared" ref="G4691" ca="1" si="9613">VLOOKUP(INDIRECT(CHAR(39)&amp;$A4691&amp;CHAR(39)&amp;"!r2c"&amp;$C4691,0),variables,2,0)</f>
        <v>9917</v>
      </c>
      <c r="H4691" s="71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67" t="s">
        <v>1429</v>
      </c>
      <c r="B4692" s="66">
        <f t="shared" si="9608"/>
        <v>22</v>
      </c>
      <c r="C4692" s="66">
        <f t="shared" si="9611"/>
        <v>21</v>
      </c>
      <c r="E4692" s="66">
        <f t="shared" ref="E4692" si="9614">plan_id</f>
        <v>1952</v>
      </c>
      <c r="F4692" s="66">
        <f t="shared" ca="1" si="9574"/>
        <v>2020</v>
      </c>
      <c r="G4692" s="66">
        <f t="shared" ref="G4692" ca="1" si="9615">VLOOKUP(INDIRECT(CHAR(39)&amp;$A4692&amp;CHAR(39)&amp;"!r2c"&amp;$C4692,0),variables,2,0)</f>
        <v>9920</v>
      </c>
      <c r="H4692" s="71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67" t="s">
        <v>1429</v>
      </c>
      <c r="B4693" s="66">
        <f t="shared" si="9608"/>
        <v>22</v>
      </c>
      <c r="C4693" s="66">
        <f t="shared" si="9611"/>
        <v>22</v>
      </c>
      <c r="E4693" s="66">
        <f t="shared" ref="E4693" si="9616">plan_id</f>
        <v>1952</v>
      </c>
      <c r="F4693" s="66">
        <f t="shared" ca="1" si="9574"/>
        <v>2020</v>
      </c>
      <c r="G4693" s="66">
        <f t="shared" ref="G4693" ca="1" si="9617">VLOOKUP(INDIRECT(CHAR(39)&amp;$A4693&amp;CHAR(39)&amp;"!r2c"&amp;$C4693,0),variables,2,0)</f>
        <v>9648</v>
      </c>
      <c r="H4693" s="71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67" t="s">
        <v>1429</v>
      </c>
      <c r="B4694" s="66">
        <f t="shared" si="9608"/>
        <v>22</v>
      </c>
      <c r="C4694" s="66">
        <f t="shared" si="9611"/>
        <v>23</v>
      </c>
      <c r="E4694" s="66">
        <f t="shared" ref="E4694" si="9618">plan_id</f>
        <v>1952</v>
      </c>
      <c r="F4694" s="66">
        <f t="shared" ca="1" si="9574"/>
        <v>2020</v>
      </c>
      <c r="G4694" s="66">
        <f t="shared" ref="G4694" ca="1" si="9619">VLOOKUP(INDIRECT(CHAR(39)&amp;$A4694&amp;CHAR(39)&amp;"!r2c"&amp;$C4694,0),variables,2,0)</f>
        <v>9713</v>
      </c>
      <c r="H4694" s="71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67" t="s">
        <v>1429</v>
      </c>
      <c r="B4695" s="66">
        <f t="shared" si="9608"/>
        <v>22</v>
      </c>
      <c r="C4695" s="66">
        <f t="shared" si="9611"/>
        <v>24</v>
      </c>
      <c r="E4695" s="66">
        <f t="shared" ref="E4695" si="9620">plan_id</f>
        <v>1952</v>
      </c>
      <c r="F4695" s="66">
        <f t="shared" ca="1" si="9574"/>
        <v>2020</v>
      </c>
      <c r="G4695" s="66">
        <f t="shared" ref="G4695" ca="1" si="9621">VLOOKUP(INDIRECT(CHAR(39)&amp;$A4695&amp;CHAR(39)&amp;"!r2c"&amp;$C4695,0),variables,2,0)</f>
        <v>9719</v>
      </c>
      <c r="H4695" s="71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67" t="s">
        <v>1429</v>
      </c>
      <c r="B4696" s="66">
        <f t="shared" si="9608"/>
        <v>22</v>
      </c>
      <c r="C4696" s="66">
        <f t="shared" si="9611"/>
        <v>25</v>
      </c>
      <c r="E4696" s="66">
        <f t="shared" ref="E4696" si="9622">plan_id</f>
        <v>1952</v>
      </c>
      <c r="F4696" s="66">
        <f t="shared" ca="1" si="9574"/>
        <v>2020</v>
      </c>
      <c r="G4696" s="66">
        <f t="shared" ref="G4696" ca="1" si="9623">VLOOKUP(INDIRECT(CHAR(39)&amp;$A4696&amp;CHAR(39)&amp;"!r2c"&amp;$C4696,0),variables,2,0)</f>
        <v>9725</v>
      </c>
      <c r="H4696" s="71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67" t="s">
        <v>1429</v>
      </c>
      <c r="B4697" s="66">
        <f t="shared" si="9608"/>
        <v>22</v>
      </c>
      <c r="C4697" s="66">
        <f t="shared" si="9611"/>
        <v>26</v>
      </c>
      <c r="E4697" s="66">
        <f t="shared" ref="E4697" si="9624">plan_id</f>
        <v>1952</v>
      </c>
      <c r="F4697" s="66">
        <f t="shared" ca="1" si="9574"/>
        <v>2020</v>
      </c>
      <c r="G4697" s="66">
        <f t="shared" ref="G4697" ca="1" si="9625">VLOOKUP(INDIRECT(CHAR(39)&amp;$A4697&amp;CHAR(39)&amp;"!r2c"&amp;$C4697,0),variables,2,0)</f>
        <v>9743</v>
      </c>
      <c r="H4697" s="71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67" t="s">
        <v>1429</v>
      </c>
      <c r="B4698" s="66">
        <f t="shared" si="9608"/>
        <v>22</v>
      </c>
      <c r="C4698" s="66">
        <f t="shared" si="9611"/>
        <v>27</v>
      </c>
      <c r="E4698" s="66">
        <f t="shared" ref="E4698" si="9626">plan_id</f>
        <v>1952</v>
      </c>
      <c r="F4698" s="66">
        <f t="shared" ca="1" si="9574"/>
        <v>2020</v>
      </c>
      <c r="G4698" s="66">
        <f t="shared" ref="G4698" ca="1" si="9627">VLOOKUP(INDIRECT(CHAR(39)&amp;$A4698&amp;CHAR(39)&amp;"!r2c"&amp;$C4698,0),variables,2,0)</f>
        <v>9746</v>
      </c>
      <c r="H4698" s="71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67" t="s">
        <v>1429</v>
      </c>
      <c r="B4699" s="66">
        <f t="shared" si="9608"/>
        <v>22</v>
      </c>
      <c r="C4699" s="66">
        <f t="shared" si="9611"/>
        <v>28</v>
      </c>
      <c r="E4699" s="66">
        <f t="shared" ref="E4699" si="9628">plan_id</f>
        <v>1952</v>
      </c>
      <c r="F4699" s="66">
        <f t="shared" ca="1" si="9574"/>
        <v>2020</v>
      </c>
      <c r="G4699" s="66">
        <f t="shared" ref="G4699" ca="1" si="9629">VLOOKUP(INDIRECT(CHAR(39)&amp;$A4699&amp;CHAR(39)&amp;"!r2c"&amp;$C4699,0),variables,2,0)</f>
        <v>9761</v>
      </c>
      <c r="H4699" s="71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67" t="s">
        <v>1429</v>
      </c>
      <c r="B4700" s="66">
        <f t="shared" si="9608"/>
        <v>22</v>
      </c>
      <c r="C4700" s="66">
        <f t="shared" si="9611"/>
        <v>29</v>
      </c>
      <c r="E4700" s="66">
        <f t="shared" ref="E4700" si="9630">plan_id</f>
        <v>1952</v>
      </c>
      <c r="F4700" s="66">
        <f t="shared" ca="1" si="9574"/>
        <v>2020</v>
      </c>
      <c r="G4700" s="66">
        <f t="shared" ref="G4700" ca="1" si="9631">VLOOKUP(INDIRECT(CHAR(39)&amp;$A4700&amp;CHAR(39)&amp;"!r2c"&amp;$C4700,0),variables,2,0)</f>
        <v>9764</v>
      </c>
      <c r="H4700" s="71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67" t="s">
        <v>1429</v>
      </c>
      <c r="B4701" s="66">
        <f t="shared" si="9608"/>
        <v>22</v>
      </c>
      <c r="C4701" s="66">
        <f t="shared" si="9611"/>
        <v>30</v>
      </c>
      <c r="E4701" s="66">
        <f t="shared" ref="E4701" si="9632">plan_id</f>
        <v>1952</v>
      </c>
      <c r="F4701" s="66">
        <f t="shared" ca="1" si="9574"/>
        <v>2020</v>
      </c>
      <c r="G4701" s="66">
        <f t="shared" ref="G4701" ca="1" si="9633">VLOOKUP(INDIRECT(CHAR(39)&amp;$A4701&amp;CHAR(39)&amp;"!r2c"&amp;$C4701,0),variables,2,0)</f>
        <v>9767</v>
      </c>
      <c r="H4701" s="71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67" t="s">
        <v>1429</v>
      </c>
      <c r="B4702" s="66">
        <f t="shared" si="9608"/>
        <v>22</v>
      </c>
      <c r="C4702" s="66">
        <f t="shared" si="9611"/>
        <v>31</v>
      </c>
      <c r="E4702" s="66">
        <f t="shared" ref="E4702" si="9634">plan_id</f>
        <v>1952</v>
      </c>
      <c r="F4702" s="66">
        <f t="shared" ca="1" si="9574"/>
        <v>2020</v>
      </c>
      <c r="G4702" s="66">
        <f t="shared" ref="G4702" ca="1" si="9635">VLOOKUP(INDIRECT(CHAR(39)&amp;$A4702&amp;CHAR(39)&amp;"!r2c"&amp;$C4702,0),variables,2,0)</f>
        <v>9770</v>
      </c>
      <c r="H4702" s="71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67" t="s">
        <v>1429</v>
      </c>
      <c r="B4703" s="66">
        <f t="shared" si="9608"/>
        <v>22</v>
      </c>
      <c r="C4703" s="66">
        <f t="shared" si="9611"/>
        <v>32</v>
      </c>
      <c r="E4703" s="66">
        <f t="shared" ref="E4703" si="9636">plan_id</f>
        <v>1952</v>
      </c>
      <c r="F4703" s="66">
        <f t="shared" ca="1" si="9574"/>
        <v>2020</v>
      </c>
      <c r="G4703" s="66">
        <f t="shared" ref="G4703" ca="1" si="9637">VLOOKUP(INDIRECT(CHAR(39)&amp;$A4703&amp;CHAR(39)&amp;"!r2c"&amp;$C4703,0),variables,2,0)</f>
        <v>9773</v>
      </c>
      <c r="H4703" s="71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67" t="s">
        <v>1429</v>
      </c>
      <c r="B4704" s="66">
        <f t="shared" si="9608"/>
        <v>22</v>
      </c>
      <c r="C4704" s="66">
        <f t="shared" si="9611"/>
        <v>33</v>
      </c>
      <c r="E4704" s="66">
        <f t="shared" ref="E4704" si="9638">plan_id</f>
        <v>1952</v>
      </c>
      <c r="F4704" s="66">
        <f t="shared" ca="1" si="9574"/>
        <v>2020</v>
      </c>
      <c r="G4704" s="66">
        <f t="shared" ref="G4704" ca="1" si="9639">VLOOKUP(INDIRECT(CHAR(39)&amp;$A4704&amp;CHAR(39)&amp;"!r2c"&amp;$C4704,0),variables,2,0)</f>
        <v>9776</v>
      </c>
      <c r="H4704" s="71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67" t="s">
        <v>1429</v>
      </c>
      <c r="B4705" s="66">
        <f t="shared" si="9608"/>
        <v>22</v>
      </c>
      <c r="C4705" s="66">
        <f t="shared" si="9611"/>
        <v>34</v>
      </c>
      <c r="E4705" s="66">
        <f t="shared" ref="E4705" si="9640">plan_id</f>
        <v>1952</v>
      </c>
      <c r="F4705" s="66">
        <f t="shared" ca="1" si="9574"/>
        <v>2020</v>
      </c>
      <c r="G4705" s="66">
        <f t="shared" ref="G4705" ca="1" si="9641">VLOOKUP(INDIRECT(CHAR(39)&amp;$A4705&amp;CHAR(39)&amp;"!r2c"&amp;$C4705,0),variables,2,0)</f>
        <v>9779</v>
      </c>
      <c r="H4705" s="71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67" t="s">
        <v>1429</v>
      </c>
      <c r="B4706" s="66">
        <f t="shared" si="9608"/>
        <v>22</v>
      </c>
      <c r="C4706" s="66">
        <f t="shared" si="9611"/>
        <v>35</v>
      </c>
      <c r="E4706" s="66">
        <f t="shared" ref="E4706" si="9642">plan_id</f>
        <v>1952</v>
      </c>
      <c r="F4706" s="66">
        <f t="shared" ca="1" si="9574"/>
        <v>2020</v>
      </c>
      <c r="G4706" s="66">
        <f t="shared" ref="G4706" ca="1" si="9643">VLOOKUP(INDIRECT(CHAR(39)&amp;$A4706&amp;CHAR(39)&amp;"!r2c"&amp;$C4706,0),variables,2,0)</f>
        <v>9785</v>
      </c>
      <c r="H4706" s="71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67" t="s">
        <v>1429</v>
      </c>
      <c r="B4707" s="66">
        <f t="shared" si="9608"/>
        <v>22</v>
      </c>
      <c r="C4707" s="66">
        <f t="shared" si="9611"/>
        <v>36</v>
      </c>
      <c r="E4707" s="66">
        <f t="shared" ref="E4707" si="9644">plan_id</f>
        <v>1952</v>
      </c>
      <c r="F4707" s="66">
        <f t="shared" ca="1" si="9574"/>
        <v>2020</v>
      </c>
      <c r="G4707" s="66">
        <f t="shared" ref="G4707" ca="1" si="9645">VLOOKUP(INDIRECT(CHAR(39)&amp;$A4707&amp;CHAR(39)&amp;"!r2c"&amp;$C4707,0),variables,2,0)</f>
        <v>9794</v>
      </c>
      <c r="H4707" s="71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67" t="s">
        <v>1429</v>
      </c>
      <c r="B4708" s="66">
        <f t="shared" si="9608"/>
        <v>22</v>
      </c>
      <c r="C4708" s="66">
        <f t="shared" si="9611"/>
        <v>37</v>
      </c>
      <c r="E4708" s="66">
        <f t="shared" ref="E4708" si="9646">plan_id</f>
        <v>1952</v>
      </c>
      <c r="F4708" s="66">
        <f t="shared" ca="1" si="9574"/>
        <v>2020</v>
      </c>
      <c r="G4708" s="66">
        <f t="shared" ref="G4708" ca="1" si="9647">VLOOKUP(INDIRECT(CHAR(39)&amp;$A4708&amp;CHAR(39)&amp;"!r2c"&amp;$C4708,0),variables,2,0)</f>
        <v>9797</v>
      </c>
      <c r="H4708" s="71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67" t="s">
        <v>1429</v>
      </c>
      <c r="B4709" s="66">
        <f t="shared" si="9608"/>
        <v>22</v>
      </c>
      <c r="C4709" s="66">
        <f t="shared" si="9611"/>
        <v>38</v>
      </c>
      <c r="E4709" s="66">
        <f t="shared" ref="E4709" si="9648">plan_id</f>
        <v>1952</v>
      </c>
      <c r="F4709" s="66">
        <f t="shared" ca="1" si="9574"/>
        <v>2020</v>
      </c>
      <c r="G4709" s="66">
        <f t="shared" ref="G4709" ca="1" si="9649">VLOOKUP(INDIRECT(CHAR(39)&amp;$A4709&amp;CHAR(39)&amp;"!r2c"&amp;$C4709,0),variables,2,0)</f>
        <v>9806</v>
      </c>
      <c r="H4709" s="71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67" t="s">
        <v>1429</v>
      </c>
      <c r="B4710" s="66">
        <f t="shared" si="9608"/>
        <v>22</v>
      </c>
      <c r="C4710" s="66">
        <f t="shared" si="9611"/>
        <v>39</v>
      </c>
      <c r="E4710" s="66">
        <f t="shared" ref="E4710" si="9650">plan_id</f>
        <v>1952</v>
      </c>
      <c r="F4710" s="66">
        <f t="shared" ca="1" si="9574"/>
        <v>2020</v>
      </c>
      <c r="G4710" s="66">
        <f t="shared" ref="G4710" ca="1" si="9651">VLOOKUP(INDIRECT(CHAR(39)&amp;$A4710&amp;CHAR(39)&amp;"!r2c"&amp;$C4710,0),variables,2,0)</f>
        <v>9809</v>
      </c>
      <c r="H4710" s="71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67" t="s">
        <v>1429</v>
      </c>
      <c r="B4711" s="66">
        <f t="shared" si="9608"/>
        <v>22</v>
      </c>
      <c r="C4711" s="66">
        <f t="shared" si="9611"/>
        <v>40</v>
      </c>
      <c r="E4711" s="66">
        <f t="shared" ref="E4711" si="9652">plan_id</f>
        <v>1952</v>
      </c>
      <c r="F4711" s="66">
        <f t="shared" ca="1" si="9574"/>
        <v>2020</v>
      </c>
      <c r="G4711" s="66">
        <f t="shared" ref="G4711" ca="1" si="9653">VLOOKUP(INDIRECT(CHAR(39)&amp;$A4711&amp;CHAR(39)&amp;"!r2c"&amp;$C4711,0),variables,2,0)</f>
        <v>9818</v>
      </c>
      <c r="H4711" s="71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67" t="s">
        <v>1429</v>
      </c>
      <c r="B4712" s="66">
        <f t="shared" si="9608"/>
        <v>22</v>
      </c>
      <c r="C4712" s="66">
        <f t="shared" si="9611"/>
        <v>41</v>
      </c>
      <c r="E4712" s="66">
        <f t="shared" ref="E4712" si="9654">plan_id</f>
        <v>1952</v>
      </c>
      <c r="F4712" s="66">
        <f t="shared" ca="1" si="9574"/>
        <v>2020</v>
      </c>
      <c r="G4712" s="66">
        <f t="shared" ref="G4712" ca="1" si="9655">VLOOKUP(INDIRECT(CHAR(39)&amp;$A4712&amp;CHAR(39)&amp;"!r2c"&amp;$C4712,0),variables,2,0)</f>
        <v>9839</v>
      </c>
      <c r="H4712" s="71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67" t="s">
        <v>1429</v>
      </c>
      <c r="B4713" s="66">
        <f t="shared" si="9608"/>
        <v>22</v>
      </c>
      <c r="C4713" s="66">
        <f t="shared" si="9611"/>
        <v>42</v>
      </c>
      <c r="E4713" s="66">
        <f t="shared" ref="E4713" si="9656">plan_id</f>
        <v>1952</v>
      </c>
      <c r="F4713" s="66">
        <f t="shared" ca="1" si="9574"/>
        <v>2020</v>
      </c>
      <c r="G4713" s="66">
        <f t="shared" ref="G4713" ca="1" si="9657">VLOOKUP(INDIRECT(CHAR(39)&amp;$A4713&amp;CHAR(39)&amp;"!r2c"&amp;$C4713,0),variables,2,0)</f>
        <v>9860</v>
      </c>
      <c r="H4713" s="71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67" t="s">
        <v>1429</v>
      </c>
      <c r="B4714" s="66">
        <f t="shared" si="9608"/>
        <v>22</v>
      </c>
      <c r="C4714" s="66">
        <f t="shared" si="9611"/>
        <v>43</v>
      </c>
      <c r="E4714" s="66">
        <f t="shared" ref="E4714" si="9658">plan_id</f>
        <v>1952</v>
      </c>
      <c r="F4714" s="66">
        <f t="shared" ca="1" si="9574"/>
        <v>2020</v>
      </c>
      <c r="G4714" s="66">
        <f t="shared" ref="G4714" ca="1" si="9659">VLOOKUP(INDIRECT(CHAR(39)&amp;$A4714&amp;CHAR(39)&amp;"!r2c"&amp;$C4714,0),variables,2,0)</f>
        <v>9863</v>
      </c>
      <c r="H4714" s="71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67" t="s">
        <v>1429</v>
      </c>
      <c r="B4715" s="66">
        <f t="shared" si="9608"/>
        <v>22</v>
      </c>
      <c r="C4715" s="66">
        <f t="shared" si="9611"/>
        <v>44</v>
      </c>
      <c r="E4715" s="66">
        <f t="shared" ref="E4715" si="9660">plan_id</f>
        <v>1952</v>
      </c>
      <c r="F4715" s="66">
        <f t="shared" ca="1" si="9574"/>
        <v>2020</v>
      </c>
      <c r="G4715" s="66">
        <f t="shared" ref="G4715" ca="1" si="9661">VLOOKUP(INDIRECT(CHAR(39)&amp;$A4715&amp;CHAR(39)&amp;"!r2c"&amp;$C4715,0),variables,2,0)</f>
        <v>9878</v>
      </c>
      <c r="H4715" s="71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67" t="s">
        <v>1429</v>
      </c>
      <c r="B4716" s="66">
        <f t="shared" si="9608"/>
        <v>22</v>
      </c>
      <c r="C4716" s="66">
        <f t="shared" si="9611"/>
        <v>45</v>
      </c>
      <c r="E4716" s="66">
        <f t="shared" ref="E4716" si="9662">plan_id</f>
        <v>1952</v>
      </c>
      <c r="F4716" s="66">
        <f t="shared" ca="1" si="9574"/>
        <v>2020</v>
      </c>
      <c r="G4716" s="66">
        <f t="shared" ref="G4716" ca="1" si="9663">VLOOKUP(INDIRECT(CHAR(39)&amp;$A4716&amp;CHAR(39)&amp;"!r2c"&amp;$C4716,0),variables,2,0)</f>
        <v>9923</v>
      </c>
      <c r="H4716" s="71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67" t="s">
        <v>1429</v>
      </c>
      <c r="B4717" s="66">
        <f t="shared" si="9608"/>
        <v>22</v>
      </c>
      <c r="C4717" s="66">
        <f t="shared" si="9611"/>
        <v>46</v>
      </c>
      <c r="E4717" s="66">
        <f t="shared" ref="E4717" si="9664">plan_id</f>
        <v>1952</v>
      </c>
      <c r="F4717" s="66">
        <f t="shared" ca="1" si="9574"/>
        <v>2020</v>
      </c>
      <c r="G4717" s="66">
        <f t="shared" ref="G4717" ca="1" si="9665">VLOOKUP(INDIRECT(CHAR(39)&amp;$A4717&amp;CHAR(39)&amp;"!r2c"&amp;$C4717,0),variables,2,0)</f>
        <v>9932</v>
      </c>
      <c r="H4717" s="71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67" t="s">
        <v>1429</v>
      </c>
      <c r="B4718" s="66">
        <f t="shared" si="9608"/>
        <v>22</v>
      </c>
      <c r="C4718" s="66">
        <f t="shared" si="9611"/>
        <v>47</v>
      </c>
      <c r="E4718" s="66">
        <f t="shared" ref="E4718" si="9666">plan_id</f>
        <v>1952</v>
      </c>
      <c r="F4718" s="66">
        <f t="shared" ca="1" si="9574"/>
        <v>2020</v>
      </c>
      <c r="G4718" s="66">
        <f t="shared" ref="G4718" ca="1" si="9667">VLOOKUP(INDIRECT(CHAR(39)&amp;$A4718&amp;CHAR(39)&amp;"!r2c"&amp;$C4718,0),variables,2,0)</f>
        <v>9935</v>
      </c>
      <c r="H4718" s="71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67" t="s">
        <v>1429</v>
      </c>
      <c r="B4719" s="66">
        <f t="shared" si="9608"/>
        <v>22</v>
      </c>
      <c r="C4719" s="66">
        <f t="shared" si="9611"/>
        <v>48</v>
      </c>
      <c r="E4719" s="66">
        <f t="shared" ref="E4719" si="9668">plan_id</f>
        <v>1952</v>
      </c>
      <c r="F4719" s="66">
        <f t="shared" ca="1" si="9574"/>
        <v>2020</v>
      </c>
      <c r="G4719" s="66">
        <f t="shared" ref="G4719" ca="1" si="9669">VLOOKUP(INDIRECT(CHAR(39)&amp;$A4719&amp;CHAR(39)&amp;"!r2c"&amp;$C4719,0),variables,2,0)</f>
        <v>9651</v>
      </c>
      <c r="H4719" s="71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67" t="s">
        <v>1429</v>
      </c>
      <c r="B4720" s="66">
        <f t="shared" si="9608"/>
        <v>22</v>
      </c>
      <c r="C4720" s="66">
        <f t="shared" si="9611"/>
        <v>49</v>
      </c>
      <c r="E4720" s="66">
        <f t="shared" ref="E4720" si="9670">plan_id</f>
        <v>1952</v>
      </c>
      <c r="F4720" s="66">
        <f t="shared" ca="1" si="9574"/>
        <v>2020</v>
      </c>
      <c r="G4720" s="66">
        <f t="shared" ref="G4720" ca="1" si="9671">VLOOKUP(INDIRECT(CHAR(39)&amp;$A4720&amp;CHAR(39)&amp;"!r2c"&amp;$C4720,0),variables,2,0)</f>
        <v>9722</v>
      </c>
      <c r="H4720" s="71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67" t="s">
        <v>1429</v>
      </c>
      <c r="B4721" s="66">
        <f t="shared" si="9608"/>
        <v>22</v>
      </c>
      <c r="C4721" s="66">
        <f t="shared" si="9611"/>
        <v>50</v>
      </c>
      <c r="E4721" s="66">
        <f t="shared" ref="E4721" si="9672">plan_id</f>
        <v>1952</v>
      </c>
      <c r="F4721" s="66">
        <f t="shared" ca="1" si="9574"/>
        <v>2020</v>
      </c>
      <c r="G4721" s="66">
        <f t="shared" ref="G4721" ca="1" si="9673">VLOOKUP(INDIRECT(CHAR(39)&amp;$A4721&amp;CHAR(39)&amp;"!r2c"&amp;$C4721,0),variables,2,0)</f>
        <v>9848</v>
      </c>
      <c r="H4721" s="71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67" t="s">
        <v>1429</v>
      </c>
      <c r="B4722" s="66">
        <f t="shared" si="9608"/>
        <v>22</v>
      </c>
      <c r="C4722" s="66">
        <f t="shared" si="9611"/>
        <v>51</v>
      </c>
      <c r="E4722" s="66">
        <f t="shared" ref="E4722" si="9674">plan_id</f>
        <v>1952</v>
      </c>
      <c r="F4722" s="66">
        <f t="shared" ca="1" si="9574"/>
        <v>2020</v>
      </c>
      <c r="G4722" s="66">
        <f t="shared" ref="G4722" ca="1" si="9675">VLOOKUP(INDIRECT(CHAR(39)&amp;$A4722&amp;CHAR(39)&amp;"!r2c"&amp;$C4722,0),variables,2,0)</f>
        <v>9866</v>
      </c>
      <c r="H4722" s="71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67" t="s">
        <v>1429</v>
      </c>
      <c r="B4723" s="66">
        <f t="shared" si="9608"/>
        <v>22</v>
      </c>
      <c r="C4723" s="66">
        <f t="shared" si="9611"/>
        <v>52</v>
      </c>
      <c r="E4723" s="66">
        <f t="shared" ref="E4723" si="9676">plan_id</f>
        <v>1952</v>
      </c>
      <c r="F4723" s="66">
        <f t="shared" ca="1" si="9574"/>
        <v>2020</v>
      </c>
      <c r="G4723" s="66">
        <f t="shared" ref="G4723" ca="1" si="9677">VLOOKUP(INDIRECT(CHAR(39)&amp;$A4723&amp;CHAR(39)&amp;"!r2c"&amp;$C4723,0),variables,2,0)</f>
        <v>9899</v>
      </c>
      <c r="H4723" s="71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67" t="s">
        <v>1429</v>
      </c>
      <c r="B4724" s="66">
        <f t="shared" si="9608"/>
        <v>22</v>
      </c>
      <c r="C4724" s="66">
        <f t="shared" si="9611"/>
        <v>53</v>
      </c>
      <c r="E4724" s="66">
        <f t="shared" ref="E4724" si="9678">plan_id</f>
        <v>1952</v>
      </c>
      <c r="F4724" s="66">
        <f t="shared" ca="1" si="9574"/>
        <v>2020</v>
      </c>
      <c r="G4724" s="66">
        <f t="shared" ref="G4724" ca="1" si="9679">VLOOKUP(INDIRECT(CHAR(39)&amp;$A4724&amp;CHAR(39)&amp;"!r2c"&amp;$C4724,0),variables,2,0)</f>
        <v>9905</v>
      </c>
      <c r="H4724" s="71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67" t="s">
        <v>1429</v>
      </c>
      <c r="B4725" s="66">
        <f t="shared" si="9608"/>
        <v>22</v>
      </c>
      <c r="C4725" s="66">
        <f t="shared" si="9611"/>
        <v>54</v>
      </c>
      <c r="E4725" s="66">
        <f t="shared" ref="E4725" si="9680">plan_id</f>
        <v>1952</v>
      </c>
      <c r="F4725" s="66">
        <f t="shared" ca="1" si="9574"/>
        <v>2020</v>
      </c>
      <c r="G4725" s="66">
        <f t="shared" ref="G4725" ca="1" si="9681">VLOOKUP(INDIRECT(CHAR(39)&amp;$A4725&amp;CHAR(39)&amp;"!r2c"&amp;$C4725,0),variables,2,0)</f>
        <v>9929</v>
      </c>
      <c r="H4725" s="71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67" t="s">
        <v>1429</v>
      </c>
      <c r="B4726" s="66">
        <f t="shared" si="9608"/>
        <v>22</v>
      </c>
      <c r="C4726" s="66">
        <f t="shared" si="9611"/>
        <v>55</v>
      </c>
      <c r="E4726" s="66">
        <f t="shared" ref="E4726" si="9682">plan_id</f>
        <v>1952</v>
      </c>
      <c r="F4726" s="66">
        <f t="shared" ca="1" si="9574"/>
        <v>2020</v>
      </c>
      <c r="G4726" s="66">
        <f t="shared" ref="G4726" ca="1" si="9683">VLOOKUP(INDIRECT(CHAR(39)&amp;$A4726&amp;CHAR(39)&amp;"!r2c"&amp;$C4726,0),variables,2,0)</f>
        <v>9654</v>
      </c>
      <c r="H4726" s="71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67" t="s">
        <v>1429</v>
      </c>
      <c r="B4727" s="66">
        <f t="shared" si="9608"/>
        <v>22</v>
      </c>
      <c r="C4727" s="66">
        <f t="shared" si="9611"/>
        <v>56</v>
      </c>
      <c r="E4727" s="66">
        <f t="shared" ref="E4727" si="9684">plan_id</f>
        <v>1952</v>
      </c>
      <c r="F4727" s="66">
        <f t="shared" ca="1" si="9574"/>
        <v>2020</v>
      </c>
      <c r="G4727" s="66">
        <f t="shared" ref="G4727" ca="1" si="9685">VLOOKUP(INDIRECT(CHAR(39)&amp;$A4727&amp;CHAR(39)&amp;"!r2c"&amp;$C4727,0),variables,2,0)</f>
        <v>9707</v>
      </c>
      <c r="H4727" s="71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67" t="s">
        <v>1429</v>
      </c>
      <c r="B4728" s="66">
        <f t="shared" si="9608"/>
        <v>22</v>
      </c>
      <c r="C4728" s="66">
        <f t="shared" si="9611"/>
        <v>57</v>
      </c>
      <c r="E4728" s="66">
        <f t="shared" ref="E4728" si="9686">plan_id</f>
        <v>1952</v>
      </c>
      <c r="F4728" s="66">
        <f t="shared" ca="1" si="9574"/>
        <v>2020</v>
      </c>
      <c r="G4728" s="66">
        <f t="shared" ref="G4728" ca="1" si="9687">VLOOKUP(INDIRECT(CHAR(39)&amp;$A4728&amp;CHAR(39)&amp;"!r2c"&amp;$C4728,0),variables,2,0)</f>
        <v>9669</v>
      </c>
      <c r="H4728" s="71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67" t="s">
        <v>1429</v>
      </c>
      <c r="B4729" s="66">
        <f t="shared" si="9608"/>
        <v>22</v>
      </c>
      <c r="C4729" s="66">
        <f t="shared" si="9611"/>
        <v>58</v>
      </c>
      <c r="E4729" s="66">
        <f t="shared" ref="E4729" si="9688">plan_id</f>
        <v>1952</v>
      </c>
      <c r="F4729" s="66">
        <f t="shared" ca="1" si="9574"/>
        <v>2020</v>
      </c>
      <c r="G4729" s="66">
        <f t="shared" ref="G4729" ca="1" si="9689">VLOOKUP(INDIRECT(CHAR(39)&amp;$A4729&amp;CHAR(39)&amp;"!r2c"&amp;$C4729,0),variables,2,0)</f>
        <v>9851</v>
      </c>
      <c r="H4729" s="71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67" t="s">
        <v>1429</v>
      </c>
      <c r="B4730" s="66">
        <f t="shared" si="9608"/>
        <v>22</v>
      </c>
      <c r="C4730" s="66">
        <f t="shared" si="9611"/>
        <v>59</v>
      </c>
      <c r="E4730" s="66">
        <f t="shared" ref="E4730" si="9690">plan_id</f>
        <v>1952</v>
      </c>
      <c r="F4730" s="66">
        <f t="shared" ca="1" si="9574"/>
        <v>2020</v>
      </c>
      <c r="G4730" s="66">
        <f t="shared" ref="G4730" ca="1" si="9691">VLOOKUP(INDIRECT(CHAR(39)&amp;$A4730&amp;CHAR(39)&amp;"!r2c"&amp;$C4730,0),variables,2,0)</f>
        <v>9890</v>
      </c>
      <c r="H4730" s="71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67" t="s">
        <v>1429</v>
      </c>
      <c r="B4731" s="66">
        <f t="shared" si="9608"/>
        <v>22</v>
      </c>
      <c r="C4731" s="66">
        <f t="shared" si="9611"/>
        <v>60</v>
      </c>
      <c r="E4731" s="66">
        <f t="shared" ref="E4731" si="9692">plan_id</f>
        <v>1952</v>
      </c>
      <c r="F4731" s="66">
        <f t="shared" ca="1" si="9574"/>
        <v>2020</v>
      </c>
      <c r="G4731" s="66">
        <f t="shared" ref="G4731" ca="1" si="9693">VLOOKUP(INDIRECT(CHAR(39)&amp;$A4731&amp;CHAR(39)&amp;"!r2c"&amp;$C4731,0),variables,2,0)</f>
        <v>9893</v>
      </c>
      <c r="H4731" s="71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67" t="s">
        <v>1429</v>
      </c>
      <c r="B4732" s="66">
        <f t="shared" si="9608"/>
        <v>22</v>
      </c>
      <c r="C4732" s="66">
        <f t="shared" si="9611"/>
        <v>61</v>
      </c>
      <c r="E4732" s="66">
        <f t="shared" ref="E4732" si="9694">plan_id</f>
        <v>1952</v>
      </c>
      <c r="F4732" s="66">
        <f t="shared" ca="1" si="9574"/>
        <v>2020</v>
      </c>
      <c r="G4732" s="66">
        <f t="shared" ref="G4732" ca="1" si="9695">VLOOKUP(INDIRECT(CHAR(39)&amp;$A4732&amp;CHAR(39)&amp;"!r2c"&amp;$C4732,0),variables,2,0)</f>
        <v>9896</v>
      </c>
      <c r="H4732" s="71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67" t="s">
        <v>1429</v>
      </c>
      <c r="B4733" s="66">
        <f t="shared" si="9608"/>
        <v>22</v>
      </c>
      <c r="C4733" s="66">
        <f t="shared" si="9611"/>
        <v>62</v>
      </c>
      <c r="E4733" s="66">
        <f t="shared" ref="E4733" si="9696">plan_id</f>
        <v>1952</v>
      </c>
      <c r="F4733" s="66">
        <f t="shared" ca="1" si="9574"/>
        <v>2020</v>
      </c>
      <c r="G4733" s="66">
        <f t="shared" ref="G4733" ca="1" si="9697">VLOOKUP(INDIRECT(CHAR(39)&amp;$A4733&amp;CHAR(39)&amp;"!r2c"&amp;$C4733,0),variables,2,0)</f>
        <v>9660</v>
      </c>
      <c r="H4733" s="71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67" t="s">
        <v>1429</v>
      </c>
      <c r="B4734" s="66">
        <f t="shared" si="9608"/>
        <v>22</v>
      </c>
      <c r="C4734" s="66">
        <f t="shared" si="9611"/>
        <v>63</v>
      </c>
      <c r="E4734" s="66">
        <f t="shared" ref="E4734" si="9698">plan_id</f>
        <v>1952</v>
      </c>
      <c r="F4734" s="66">
        <f t="shared" ca="1" si="9574"/>
        <v>2020</v>
      </c>
      <c r="G4734" s="66">
        <f t="shared" ref="G4734" ca="1" si="9699">VLOOKUP(INDIRECT(CHAR(39)&amp;$A4734&amp;CHAR(39)&amp;"!r2c"&amp;$C4734,0),variables,2,0)</f>
        <v>9701</v>
      </c>
      <c r="H4734" s="71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67" t="s">
        <v>1429</v>
      </c>
      <c r="B4735" s="66">
        <f t="shared" si="9608"/>
        <v>22</v>
      </c>
      <c r="C4735" s="66">
        <f t="shared" si="9611"/>
        <v>64</v>
      </c>
      <c r="E4735" s="66">
        <f t="shared" ref="E4735" si="9700">plan_id</f>
        <v>1952</v>
      </c>
      <c r="F4735" s="66">
        <f t="shared" ca="1" si="9574"/>
        <v>2020</v>
      </c>
      <c r="G4735" s="66">
        <f t="shared" ref="G4735" ca="1" si="9701">VLOOKUP(INDIRECT(CHAR(39)&amp;$A4735&amp;CHAR(39)&amp;"!r2c"&amp;$C4735,0),variables,2,0)</f>
        <v>9728</v>
      </c>
      <c r="H4735" s="71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67" t="s">
        <v>1429</v>
      </c>
      <c r="B4736" s="66">
        <f t="shared" si="9608"/>
        <v>22</v>
      </c>
      <c r="C4736" s="66">
        <f t="shared" si="9611"/>
        <v>65</v>
      </c>
      <c r="E4736" s="66">
        <f t="shared" ref="E4736" si="9702">plan_id</f>
        <v>1952</v>
      </c>
      <c r="F4736" s="66">
        <f t="shared" ca="1" si="9574"/>
        <v>2020</v>
      </c>
      <c r="G4736" s="66">
        <f t="shared" ref="G4736" ca="1" si="9703">VLOOKUP(INDIRECT(CHAR(39)&amp;$A4736&amp;CHAR(39)&amp;"!r2c"&amp;$C4736,0),variables,2,0)</f>
        <v>9731</v>
      </c>
      <c r="H4736" s="71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67" t="s">
        <v>1429</v>
      </c>
      <c r="B4737" s="66">
        <f t="shared" si="9608"/>
        <v>22</v>
      </c>
      <c r="C4737" s="66">
        <f t="shared" si="9611"/>
        <v>66</v>
      </c>
      <c r="E4737" s="66">
        <f t="shared" ref="E4737" si="9704">plan_id</f>
        <v>1952</v>
      </c>
      <c r="F4737" s="66">
        <f t="shared" ref="F4737:F4800" ca="1" si="9705">INDIRECT(CHAR(39)&amp;$A4737&amp;CHAR(39)&amp;"!r"&amp;$B4737&amp;"c2",0)</f>
        <v>2020</v>
      </c>
      <c r="G4737" s="66">
        <f t="shared" ref="G4737" ca="1" si="9706">VLOOKUP(INDIRECT(CHAR(39)&amp;$A4737&amp;CHAR(39)&amp;"!r2c"&amp;$C4737,0),variables,2,0)</f>
        <v>9737</v>
      </c>
      <c r="H4737" s="71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67" t="s">
        <v>1429</v>
      </c>
      <c r="B4738" s="66">
        <f t="shared" si="9608"/>
        <v>22</v>
      </c>
      <c r="C4738" s="66">
        <f t="shared" si="9611"/>
        <v>67</v>
      </c>
      <c r="E4738" s="66">
        <f t="shared" ref="E4738" si="9707">plan_id</f>
        <v>1952</v>
      </c>
      <c r="F4738" s="66">
        <f t="shared" ca="1" si="9705"/>
        <v>2020</v>
      </c>
      <c r="G4738" s="66">
        <f t="shared" ref="G4738" ca="1" si="9708">VLOOKUP(INDIRECT(CHAR(39)&amp;$A4738&amp;CHAR(39)&amp;"!r2c"&amp;$C4738,0),variables,2,0)</f>
        <v>9740</v>
      </c>
      <c r="H4738" s="71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67" t="s">
        <v>1429</v>
      </c>
      <c r="B4739" s="66">
        <f t="shared" si="9608"/>
        <v>22</v>
      </c>
      <c r="C4739" s="66">
        <f t="shared" si="9611"/>
        <v>68</v>
      </c>
      <c r="E4739" s="66">
        <f t="shared" ref="E4739" si="9709">plan_id</f>
        <v>1952</v>
      </c>
      <c r="F4739" s="66">
        <f t="shared" ca="1" si="9705"/>
        <v>2020</v>
      </c>
      <c r="G4739" s="66">
        <f t="shared" ref="G4739" ca="1" si="9710">VLOOKUP(INDIRECT(CHAR(39)&amp;$A4739&amp;CHAR(39)&amp;"!r2c"&amp;$C4739,0),variables,2,0)</f>
        <v>9752</v>
      </c>
      <c r="H4739" s="71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67" t="s">
        <v>1429</v>
      </c>
      <c r="B4740" s="66">
        <f t="shared" si="9608"/>
        <v>22</v>
      </c>
      <c r="C4740" s="66">
        <f t="shared" si="9611"/>
        <v>69</v>
      </c>
      <c r="E4740" s="66">
        <f t="shared" ref="E4740" si="9711">plan_id</f>
        <v>1952</v>
      </c>
      <c r="F4740" s="66">
        <f t="shared" ca="1" si="9705"/>
        <v>2020</v>
      </c>
      <c r="G4740" s="66">
        <f t="shared" ref="G4740" ca="1" si="9712">VLOOKUP(INDIRECT(CHAR(39)&amp;$A4740&amp;CHAR(39)&amp;"!r2c"&amp;$C4740,0),variables,2,0)</f>
        <v>9791</v>
      </c>
      <c r="H4740" s="71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67" t="s">
        <v>1429</v>
      </c>
      <c r="B4741" s="66">
        <f t="shared" si="9608"/>
        <v>22</v>
      </c>
      <c r="C4741" s="66">
        <f t="shared" si="9611"/>
        <v>70</v>
      </c>
      <c r="E4741" s="66">
        <f t="shared" ref="E4741" si="9713">plan_id</f>
        <v>1952</v>
      </c>
      <c r="F4741" s="66">
        <f t="shared" ca="1" si="9705"/>
        <v>2020</v>
      </c>
      <c r="G4741" s="66">
        <f t="shared" ref="G4741" ca="1" si="9714">VLOOKUP(INDIRECT(CHAR(39)&amp;$A4741&amp;CHAR(39)&amp;"!r2c"&amp;$C4741,0),variables,2,0)</f>
        <v>9800</v>
      </c>
      <c r="H4741" s="71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67" t="s">
        <v>1429</v>
      </c>
      <c r="B4742" s="66">
        <f t="shared" si="9608"/>
        <v>22</v>
      </c>
      <c r="C4742" s="66">
        <f t="shared" si="9611"/>
        <v>71</v>
      </c>
      <c r="E4742" s="66">
        <f t="shared" ref="E4742" si="9715">plan_id</f>
        <v>1952</v>
      </c>
      <c r="F4742" s="66">
        <f t="shared" ca="1" si="9705"/>
        <v>2020</v>
      </c>
      <c r="G4742" s="66">
        <f t="shared" ref="G4742" ca="1" si="9716">VLOOKUP(INDIRECT(CHAR(39)&amp;$A4742&amp;CHAR(39)&amp;"!r2c"&amp;$C4742,0),variables,2,0)</f>
        <v>9842</v>
      </c>
      <c r="H4742" s="71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67" t="s">
        <v>1429</v>
      </c>
      <c r="B4743" s="66">
        <f t="shared" si="9608"/>
        <v>22</v>
      </c>
      <c r="C4743" s="66">
        <f t="shared" si="9611"/>
        <v>72</v>
      </c>
      <c r="E4743" s="66">
        <f t="shared" ref="E4743" si="9717">plan_id</f>
        <v>1952</v>
      </c>
      <c r="F4743" s="66">
        <f t="shared" ca="1" si="9705"/>
        <v>2020</v>
      </c>
      <c r="G4743" s="66">
        <f t="shared" ref="G4743" ca="1" si="9718">VLOOKUP(INDIRECT(CHAR(39)&amp;$A4743&amp;CHAR(39)&amp;"!r2c"&amp;$C4743,0),variables,2,0)</f>
        <v>9854</v>
      </c>
      <c r="H4743" s="71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67" t="s">
        <v>1429</v>
      </c>
      <c r="B4744" s="66">
        <f t="shared" si="9608"/>
        <v>22</v>
      </c>
      <c r="C4744" s="66">
        <f t="shared" si="9611"/>
        <v>73</v>
      </c>
      <c r="E4744" s="66">
        <f t="shared" ref="E4744" si="9719">plan_id</f>
        <v>1952</v>
      </c>
      <c r="F4744" s="66">
        <f t="shared" ca="1" si="9705"/>
        <v>2020</v>
      </c>
      <c r="G4744" s="66">
        <f t="shared" ref="G4744" ca="1" si="9720">VLOOKUP(INDIRECT(CHAR(39)&amp;$A4744&amp;CHAR(39)&amp;"!r2c"&amp;$C4744,0),variables,2,0)</f>
        <v>9869</v>
      </c>
      <c r="H4744" s="71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67" t="s">
        <v>1429</v>
      </c>
      <c r="B4745" s="66">
        <f t="shared" si="9608"/>
        <v>22</v>
      </c>
      <c r="C4745" s="66">
        <f t="shared" si="9611"/>
        <v>74</v>
      </c>
      <c r="E4745" s="66">
        <f t="shared" ref="E4745" si="9721">plan_id</f>
        <v>1952</v>
      </c>
      <c r="F4745" s="66">
        <f t="shared" ca="1" si="9705"/>
        <v>2020</v>
      </c>
      <c r="G4745" s="66">
        <f t="shared" ref="G4745" ca="1" si="9722">VLOOKUP(INDIRECT(CHAR(39)&amp;$A4745&amp;CHAR(39)&amp;"!r2c"&amp;$C4745,0),variables,2,0)</f>
        <v>9873</v>
      </c>
      <c r="H4745" s="71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67" t="s">
        <v>1429</v>
      </c>
      <c r="B4746" s="66">
        <f t="shared" si="9608"/>
        <v>22</v>
      </c>
      <c r="C4746" s="66">
        <f t="shared" si="9611"/>
        <v>75</v>
      </c>
      <c r="E4746" s="66">
        <f t="shared" ref="E4746" si="9723">plan_id</f>
        <v>1952</v>
      </c>
      <c r="F4746" s="66">
        <f t="shared" ca="1" si="9705"/>
        <v>2020</v>
      </c>
      <c r="G4746" s="66">
        <f t="shared" ref="G4746" ca="1" si="9724">VLOOKUP(INDIRECT(CHAR(39)&amp;$A4746&amp;CHAR(39)&amp;"!r2c"&amp;$C4746,0),variables,2,0)</f>
        <v>9881</v>
      </c>
      <c r="H4746" s="71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67" t="s">
        <v>1429</v>
      </c>
      <c r="B4747" s="66">
        <f t="shared" si="9608"/>
        <v>22</v>
      </c>
      <c r="C4747" s="66">
        <f t="shared" si="9611"/>
        <v>76</v>
      </c>
      <c r="E4747" s="66">
        <f t="shared" ref="E4747" si="9725">plan_id</f>
        <v>1952</v>
      </c>
      <c r="F4747" s="66">
        <f t="shared" ca="1" si="9705"/>
        <v>2020</v>
      </c>
      <c r="G4747" s="66">
        <f t="shared" ref="G4747" ca="1" si="9726">VLOOKUP(INDIRECT(CHAR(39)&amp;$A4747&amp;CHAR(39)&amp;"!r2c"&amp;$C4747,0),variables,2,0)</f>
        <v>9908</v>
      </c>
      <c r="H4747" s="71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67" t="s">
        <v>1429</v>
      </c>
      <c r="B4748" s="66">
        <f t="shared" si="9608"/>
        <v>22</v>
      </c>
      <c r="C4748" s="66">
        <f t="shared" si="9611"/>
        <v>77</v>
      </c>
      <c r="E4748" s="66">
        <f t="shared" ref="E4748" si="9727">plan_id</f>
        <v>1952</v>
      </c>
      <c r="F4748" s="66">
        <f t="shared" ca="1" si="9705"/>
        <v>2020</v>
      </c>
      <c r="G4748" s="66">
        <f t="shared" ref="G4748" ca="1" si="9728">VLOOKUP(INDIRECT(CHAR(39)&amp;$A4748&amp;CHAR(39)&amp;"!r2c"&amp;$C4748,0),variables,2,0)</f>
        <v>9911</v>
      </c>
      <c r="H4748" s="71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67" t="s">
        <v>1429</v>
      </c>
      <c r="B4749" s="66">
        <f t="shared" si="9608"/>
        <v>22</v>
      </c>
      <c r="C4749" s="66">
        <f t="shared" si="9611"/>
        <v>78</v>
      </c>
      <c r="E4749" s="66">
        <f t="shared" ref="E4749" si="9729">plan_id</f>
        <v>1952</v>
      </c>
      <c r="F4749" s="66">
        <f t="shared" ca="1" si="9705"/>
        <v>2020</v>
      </c>
      <c r="G4749" s="66">
        <f t="shared" ref="G4749" ca="1" si="9730">VLOOKUP(INDIRECT(CHAR(39)&amp;$A4749&amp;CHAR(39)&amp;"!r2c"&amp;$C4749,0),variables,2,0)</f>
        <v>9663</v>
      </c>
      <c r="H4749" s="71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67" t="s">
        <v>1429</v>
      </c>
      <c r="B4750" s="66">
        <f t="shared" si="9608"/>
        <v>22</v>
      </c>
      <c r="C4750" s="66">
        <f t="shared" si="9611"/>
        <v>79</v>
      </c>
      <c r="E4750" s="66">
        <f t="shared" ref="E4750" si="9731">plan_id</f>
        <v>1952</v>
      </c>
      <c r="F4750" s="66">
        <f t="shared" ca="1" si="9705"/>
        <v>2020</v>
      </c>
      <c r="G4750" s="66">
        <f t="shared" ref="G4750" ca="1" si="9732">VLOOKUP(INDIRECT(CHAR(39)&amp;$A4750&amp;CHAR(39)&amp;"!r2c"&amp;$C4750,0),variables,2,0)</f>
        <v>9710</v>
      </c>
      <c r="H4750" s="71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67" t="s">
        <v>1429</v>
      </c>
      <c r="B4751" s="66">
        <f t="shared" si="9608"/>
        <v>22</v>
      </c>
      <c r="C4751" s="66">
        <f t="shared" si="9611"/>
        <v>80</v>
      </c>
      <c r="E4751" s="66">
        <f t="shared" ref="E4751" si="9733">plan_id</f>
        <v>1952</v>
      </c>
      <c r="F4751" s="66">
        <f t="shared" ca="1" si="9705"/>
        <v>2020</v>
      </c>
      <c r="G4751" s="66">
        <f t="shared" ref="G4751" ca="1" si="9734">VLOOKUP(INDIRECT(CHAR(39)&amp;$A4751&amp;CHAR(39)&amp;"!r2c"&amp;$C4751,0),variables,2,0)</f>
        <v>9758</v>
      </c>
      <c r="H4751" s="71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67" t="s">
        <v>1429</v>
      </c>
      <c r="B4752" s="66">
        <f t="shared" si="9608"/>
        <v>22</v>
      </c>
      <c r="C4752" s="66">
        <f t="shared" si="9611"/>
        <v>81</v>
      </c>
      <c r="E4752" s="66">
        <f t="shared" ref="E4752" si="9735">plan_id</f>
        <v>1952</v>
      </c>
      <c r="F4752" s="66">
        <f t="shared" ca="1" si="9705"/>
        <v>2020</v>
      </c>
      <c r="G4752" s="66">
        <f t="shared" ref="G4752" ca="1" si="9736">VLOOKUP(INDIRECT(CHAR(39)&amp;$A4752&amp;CHAR(39)&amp;"!r2c"&amp;$C4752,0),variables,2,0)</f>
        <v>9803</v>
      </c>
      <c r="H4752" s="71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67" t="s">
        <v>1429</v>
      </c>
      <c r="B4753" s="66">
        <f t="shared" si="9608"/>
        <v>22</v>
      </c>
      <c r="C4753" s="66">
        <f t="shared" si="9611"/>
        <v>82</v>
      </c>
      <c r="E4753" s="66">
        <f t="shared" ref="E4753" si="9737">plan_id</f>
        <v>1952</v>
      </c>
      <c r="F4753" s="66">
        <f t="shared" ca="1" si="9705"/>
        <v>2020</v>
      </c>
      <c r="G4753" s="66">
        <f t="shared" ref="G4753" ca="1" si="9738">VLOOKUP(INDIRECT(CHAR(39)&amp;$A4753&amp;CHAR(39)&amp;"!r2c"&amp;$C4753,0),variables,2,0)</f>
        <v>9857</v>
      </c>
      <c r="H4753" s="71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67" t="s">
        <v>1429</v>
      </c>
      <c r="B4754" s="66">
        <f t="shared" ref="B4754:B4817" si="9739">B4666+1</f>
        <v>22</v>
      </c>
      <c r="C4754" s="66">
        <f t="shared" si="9611"/>
        <v>83</v>
      </c>
      <c r="E4754" s="66">
        <f t="shared" ref="E4754" si="9740">plan_id</f>
        <v>1952</v>
      </c>
      <c r="F4754" s="66">
        <f t="shared" ca="1" si="9705"/>
        <v>2020</v>
      </c>
      <c r="G4754" s="66">
        <f t="shared" ref="G4754" ca="1" si="9741">VLOOKUP(INDIRECT(CHAR(39)&amp;$A4754&amp;CHAR(39)&amp;"!r2c"&amp;$C4754,0),variables,2,0)</f>
        <v>9902</v>
      </c>
      <c r="H4754" s="71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67" t="s">
        <v>1429</v>
      </c>
      <c r="B4755" s="66">
        <f t="shared" si="9739"/>
        <v>22</v>
      </c>
      <c r="C4755" s="66">
        <f t="shared" ref="C4755:C4818" si="9742">C4667</f>
        <v>84</v>
      </c>
      <c r="E4755" s="66">
        <f t="shared" ref="E4755" si="9743">plan_id</f>
        <v>1952</v>
      </c>
      <c r="F4755" s="66">
        <f t="shared" ca="1" si="9705"/>
        <v>2020</v>
      </c>
      <c r="G4755" s="66">
        <f t="shared" ref="G4755" ca="1" si="9744">VLOOKUP(INDIRECT(CHAR(39)&amp;$A4755&amp;CHAR(39)&amp;"!r2c"&amp;$C4755,0),variables,2,0)</f>
        <v>9926</v>
      </c>
      <c r="H4755" s="71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67" t="s">
        <v>1429</v>
      </c>
      <c r="B4756" s="66">
        <f t="shared" si="9739"/>
        <v>22</v>
      </c>
      <c r="C4756" s="66">
        <f t="shared" si="9742"/>
        <v>85</v>
      </c>
      <c r="E4756" s="66">
        <f t="shared" ref="E4756" si="9745">plan_id</f>
        <v>1952</v>
      </c>
      <c r="F4756" s="66">
        <f t="shared" ca="1" si="9705"/>
        <v>2020</v>
      </c>
      <c r="G4756" s="66">
        <f t="shared" ref="G4756" ca="1" si="9746">VLOOKUP(INDIRECT(CHAR(39)&amp;$A4756&amp;CHAR(39)&amp;"!r2c"&amp;$C4756,0),variables,2,0)</f>
        <v>9666</v>
      </c>
      <c r="H4756" s="71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67" t="s">
        <v>1429</v>
      </c>
      <c r="B4757" s="66">
        <f t="shared" si="9739"/>
        <v>22</v>
      </c>
      <c r="C4757" s="66">
        <f t="shared" si="9742"/>
        <v>86</v>
      </c>
      <c r="E4757" s="66">
        <f t="shared" ref="E4757" si="9747">plan_id</f>
        <v>1952</v>
      </c>
      <c r="F4757" s="66">
        <f t="shared" ca="1" si="9705"/>
        <v>2020</v>
      </c>
      <c r="G4757" s="66">
        <f t="shared" ref="G4757" ca="1" si="9748">VLOOKUP(INDIRECT(CHAR(39)&amp;$A4757&amp;CHAR(39)&amp;"!r2c"&amp;$C4757,0),variables,2,0)</f>
        <v>9827</v>
      </c>
      <c r="H4757" s="71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67" t="s">
        <v>1429</v>
      </c>
      <c r="B4758" s="66">
        <f t="shared" si="9739"/>
        <v>22</v>
      </c>
      <c r="C4758" s="66">
        <f t="shared" si="9742"/>
        <v>87</v>
      </c>
      <c r="E4758" s="66">
        <f t="shared" ref="E4758" si="9749">plan_id</f>
        <v>1952</v>
      </c>
      <c r="F4758" s="66">
        <f t="shared" ca="1" si="9705"/>
        <v>2020</v>
      </c>
      <c r="G4758" s="66">
        <f t="shared" ref="G4758" ca="1" si="9750">VLOOKUP(INDIRECT(CHAR(39)&amp;$A4758&amp;CHAR(39)&amp;"!r2c"&amp;$C4758,0),variables,2,0)</f>
        <v>9657</v>
      </c>
      <c r="H4758" s="71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67" t="s">
        <v>1429</v>
      </c>
      <c r="B4759" s="66">
        <f t="shared" si="9739"/>
        <v>22</v>
      </c>
      <c r="C4759" s="66">
        <f t="shared" si="9742"/>
        <v>88</v>
      </c>
      <c r="E4759" s="66">
        <f t="shared" ref="E4759" si="9751">plan_id</f>
        <v>1952</v>
      </c>
      <c r="F4759" s="66">
        <f t="shared" ca="1" si="9705"/>
        <v>2020</v>
      </c>
      <c r="G4759" s="66">
        <f t="shared" ref="G4759" ca="1" si="9752">VLOOKUP(INDIRECT(CHAR(39)&amp;$A4759&amp;CHAR(39)&amp;"!r2c"&amp;$C4759,0),variables,2,0)</f>
        <v>9834</v>
      </c>
      <c r="H4759" s="71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67" t="s">
        <v>1429</v>
      </c>
      <c r="B4760" s="66">
        <f t="shared" si="9739"/>
        <v>22</v>
      </c>
      <c r="C4760" s="66">
        <f t="shared" si="9742"/>
        <v>89</v>
      </c>
      <c r="E4760" s="66">
        <f t="shared" ref="E4760" si="9753">plan_id</f>
        <v>1952</v>
      </c>
      <c r="F4760" s="66">
        <f t="shared" ca="1" si="9705"/>
        <v>2020</v>
      </c>
      <c r="G4760" s="66">
        <f t="shared" ref="G4760" ca="1" si="9754">VLOOKUP(INDIRECT(CHAR(39)&amp;$A4760&amp;CHAR(39)&amp;"!r2c"&amp;$C4760,0),variables,2,0)</f>
        <v>9884</v>
      </c>
      <c r="H4760" s="71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67" t="s">
        <v>1429</v>
      </c>
      <c r="B4761" s="66">
        <f t="shared" si="9739"/>
        <v>22</v>
      </c>
      <c r="C4761" s="66">
        <f t="shared" si="9742"/>
        <v>90</v>
      </c>
      <c r="E4761" s="66">
        <f t="shared" ref="E4761" si="9755">plan_id</f>
        <v>1952</v>
      </c>
      <c r="F4761" s="66">
        <f t="shared" ca="1" si="9705"/>
        <v>2020</v>
      </c>
      <c r="G4761" s="66">
        <f t="shared" ref="G4761" ca="1" si="9756">VLOOKUP(INDIRECT(CHAR(39)&amp;$A4761&amp;CHAR(39)&amp;"!r2c"&amp;$C4761,0),variables,2,0)</f>
        <v>9672</v>
      </c>
      <c r="H4761" s="71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67" t="s">
        <v>1429</v>
      </c>
      <c r="B4762" s="66">
        <f t="shared" si="9739"/>
        <v>23</v>
      </c>
      <c r="C4762" s="66">
        <f t="shared" si="9742"/>
        <v>3</v>
      </c>
      <c r="E4762" s="66">
        <f t="shared" ref="E4762" si="9757">plan_id</f>
        <v>1952</v>
      </c>
      <c r="F4762" s="66">
        <f t="shared" ca="1" si="9705"/>
        <v>2021</v>
      </c>
      <c r="G4762" s="66">
        <f t="shared" ref="G4762" ca="1" si="9758">VLOOKUP(INDIRECT(CHAR(39)&amp;$A4762&amp;CHAR(39)&amp;"!r2c"&amp;$C4762,0),variables,2,0)</f>
        <v>9704</v>
      </c>
      <c r="H4762" s="71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67" t="s">
        <v>1429</v>
      </c>
      <c r="B4763" s="66">
        <f t="shared" si="9739"/>
        <v>23</v>
      </c>
      <c r="C4763" s="66">
        <f t="shared" si="9742"/>
        <v>4</v>
      </c>
      <c r="E4763" s="66">
        <f t="shared" ref="E4763" si="9759">plan_id</f>
        <v>1952</v>
      </c>
      <c r="F4763" s="66">
        <f t="shared" ca="1" si="9705"/>
        <v>2021</v>
      </c>
      <c r="G4763" s="66">
        <f t="shared" ref="G4763" ca="1" si="9760">VLOOKUP(INDIRECT(CHAR(39)&amp;$A4763&amp;CHAR(39)&amp;"!r2c"&amp;$C4763,0),variables,2,0)</f>
        <v>9716</v>
      </c>
      <c r="H4763" s="71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67" t="s">
        <v>1429</v>
      </c>
      <c r="B4764" s="66">
        <f t="shared" si="9739"/>
        <v>23</v>
      </c>
      <c r="C4764" s="66">
        <f t="shared" si="9742"/>
        <v>5</v>
      </c>
      <c r="E4764" s="66">
        <f t="shared" ref="E4764" si="9761">plan_id</f>
        <v>1952</v>
      </c>
      <c r="F4764" s="66">
        <f t="shared" ca="1" si="9705"/>
        <v>2021</v>
      </c>
      <c r="G4764" s="66">
        <f t="shared" ref="G4764" ca="1" si="9762">VLOOKUP(INDIRECT(CHAR(39)&amp;$A4764&amp;CHAR(39)&amp;"!r2c"&amp;$C4764,0),variables,2,0)</f>
        <v>9734</v>
      </c>
      <c r="H4764" s="71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67" t="s">
        <v>1429</v>
      </c>
      <c r="B4765" s="66">
        <f t="shared" si="9739"/>
        <v>23</v>
      </c>
      <c r="C4765" s="66">
        <f t="shared" si="9742"/>
        <v>6</v>
      </c>
      <c r="E4765" s="66">
        <f t="shared" ref="E4765" si="9763">plan_id</f>
        <v>1952</v>
      </c>
      <c r="F4765" s="66">
        <f t="shared" ca="1" si="9705"/>
        <v>2021</v>
      </c>
      <c r="G4765" s="66">
        <f t="shared" ref="G4765" ca="1" si="9764">VLOOKUP(INDIRECT(CHAR(39)&amp;$A4765&amp;CHAR(39)&amp;"!r2c"&amp;$C4765,0),variables,2,0)</f>
        <v>9749</v>
      </c>
      <c r="H4765" s="71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67" t="s">
        <v>1429</v>
      </c>
      <c r="B4766" s="66">
        <f t="shared" si="9739"/>
        <v>23</v>
      </c>
      <c r="C4766" s="66">
        <f t="shared" si="9742"/>
        <v>7</v>
      </c>
      <c r="E4766" s="66">
        <f t="shared" ref="E4766" si="9765">plan_id</f>
        <v>1952</v>
      </c>
      <c r="F4766" s="66">
        <f t="shared" ca="1" si="9705"/>
        <v>2021</v>
      </c>
      <c r="G4766" s="66">
        <f t="shared" ref="G4766" ca="1" si="9766">VLOOKUP(INDIRECT(CHAR(39)&amp;$A4766&amp;CHAR(39)&amp;"!r2c"&amp;$C4766,0),variables,2,0)</f>
        <v>9755</v>
      </c>
      <c r="H4766" s="71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67" t="s">
        <v>1429</v>
      </c>
      <c r="B4767" s="66">
        <f t="shared" si="9739"/>
        <v>23</v>
      </c>
      <c r="C4767" s="66">
        <f t="shared" si="9742"/>
        <v>8</v>
      </c>
      <c r="E4767" s="66">
        <f t="shared" ref="E4767" si="9767">plan_id</f>
        <v>1952</v>
      </c>
      <c r="F4767" s="66">
        <f t="shared" ca="1" si="9705"/>
        <v>2021</v>
      </c>
      <c r="G4767" s="66">
        <f t="shared" ref="G4767" ca="1" si="9768">VLOOKUP(INDIRECT(CHAR(39)&amp;$A4767&amp;CHAR(39)&amp;"!r2c"&amp;$C4767,0),variables,2,0)</f>
        <v>9782</v>
      </c>
      <c r="H4767" s="71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67" t="s">
        <v>1429</v>
      </c>
      <c r="B4768" s="66">
        <f t="shared" si="9739"/>
        <v>23</v>
      </c>
      <c r="C4768" s="66">
        <f t="shared" si="9742"/>
        <v>9</v>
      </c>
      <c r="E4768" s="66">
        <f t="shared" ref="E4768" si="9769">plan_id</f>
        <v>1952</v>
      </c>
      <c r="F4768" s="66">
        <f t="shared" ca="1" si="9705"/>
        <v>2021</v>
      </c>
      <c r="G4768" s="66">
        <f t="shared" ref="G4768" ca="1" si="9770">VLOOKUP(INDIRECT(CHAR(39)&amp;$A4768&amp;CHAR(39)&amp;"!r2c"&amp;$C4768,0),variables,2,0)</f>
        <v>9788</v>
      </c>
      <c r="H4768" s="71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67" t="s">
        <v>1429</v>
      </c>
      <c r="B4769" s="66">
        <f t="shared" si="9739"/>
        <v>23</v>
      </c>
      <c r="C4769" s="66">
        <f t="shared" si="9742"/>
        <v>10</v>
      </c>
      <c r="E4769" s="66">
        <f t="shared" ref="E4769" si="9771">plan_id</f>
        <v>1952</v>
      </c>
      <c r="F4769" s="66">
        <f t="shared" ca="1" si="9705"/>
        <v>2021</v>
      </c>
      <c r="G4769" s="66">
        <f t="shared" ref="G4769" ca="1" si="9772">VLOOKUP(INDIRECT(CHAR(39)&amp;$A4769&amp;CHAR(39)&amp;"!r2c"&amp;$C4769,0),variables,2,0)</f>
        <v>9812</v>
      </c>
      <c r="H4769" s="71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67" t="s">
        <v>1429</v>
      </c>
      <c r="B4770" s="66">
        <f t="shared" si="9739"/>
        <v>23</v>
      </c>
      <c r="C4770" s="66">
        <f t="shared" si="9742"/>
        <v>11</v>
      </c>
      <c r="E4770" s="66">
        <f t="shared" ref="E4770" si="9773">plan_id</f>
        <v>1952</v>
      </c>
      <c r="F4770" s="66">
        <f t="shared" ca="1" si="9705"/>
        <v>2021</v>
      </c>
      <c r="G4770" s="66">
        <f t="shared" ref="G4770" ca="1" si="9774">VLOOKUP(INDIRECT(CHAR(39)&amp;$A4770&amp;CHAR(39)&amp;"!r2c"&amp;$C4770,0),variables,2,0)</f>
        <v>9815</v>
      </c>
      <c r="H4770" s="71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67" t="s">
        <v>1429</v>
      </c>
      <c r="B4771" s="66">
        <f t="shared" si="9739"/>
        <v>23</v>
      </c>
      <c r="C4771" s="66">
        <f t="shared" si="9742"/>
        <v>12</v>
      </c>
      <c r="E4771" s="66">
        <f t="shared" ref="E4771" si="9775">plan_id</f>
        <v>1952</v>
      </c>
      <c r="F4771" s="66">
        <f t="shared" ca="1" si="9705"/>
        <v>2021</v>
      </c>
      <c r="G4771" s="66">
        <f t="shared" ref="G4771" ca="1" si="9776">VLOOKUP(INDIRECT(CHAR(39)&amp;$A4771&amp;CHAR(39)&amp;"!r2c"&amp;$C4771,0),variables,2,0)</f>
        <v>9821</v>
      </c>
      <c r="H4771" s="71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67" t="s">
        <v>1429</v>
      </c>
      <c r="B4772" s="66">
        <f t="shared" si="9739"/>
        <v>23</v>
      </c>
      <c r="C4772" s="66">
        <f t="shared" si="9742"/>
        <v>13</v>
      </c>
      <c r="E4772" s="66">
        <f t="shared" ref="E4772" si="9777">plan_id</f>
        <v>1952</v>
      </c>
      <c r="F4772" s="66">
        <f t="shared" ca="1" si="9705"/>
        <v>2021</v>
      </c>
      <c r="G4772" s="66">
        <f t="shared" ref="G4772" ca="1" si="9778">VLOOKUP(INDIRECT(CHAR(39)&amp;$A4772&amp;CHAR(39)&amp;"!r2c"&amp;$C4772,0),variables,2,0)</f>
        <v>9824</v>
      </c>
      <c r="H4772" s="71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67" t="s">
        <v>1429</v>
      </c>
      <c r="B4773" s="66">
        <f t="shared" si="9739"/>
        <v>23</v>
      </c>
      <c r="C4773" s="66">
        <f t="shared" si="9742"/>
        <v>14</v>
      </c>
      <c r="E4773" s="66">
        <f t="shared" ref="E4773" si="9779">plan_id</f>
        <v>1952</v>
      </c>
      <c r="F4773" s="66">
        <f t="shared" ca="1" si="9705"/>
        <v>2021</v>
      </c>
      <c r="G4773" s="66">
        <f t="shared" ref="G4773" ca="1" si="9780">VLOOKUP(INDIRECT(CHAR(39)&amp;$A4773&amp;CHAR(39)&amp;"!r2c"&amp;$C4773,0),variables,2,0)</f>
        <v>9830</v>
      </c>
      <c r="H4773" s="71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67" t="s">
        <v>1429</v>
      </c>
      <c r="B4774" s="66">
        <f t="shared" si="9739"/>
        <v>23</v>
      </c>
      <c r="C4774" s="66">
        <f t="shared" si="9742"/>
        <v>15</v>
      </c>
      <c r="E4774" s="66">
        <f t="shared" ref="E4774" si="9781">plan_id</f>
        <v>1952</v>
      </c>
      <c r="F4774" s="66">
        <f t="shared" ca="1" si="9705"/>
        <v>2021</v>
      </c>
      <c r="G4774" s="66">
        <f t="shared" ref="G4774" ca="1" si="9782">VLOOKUP(INDIRECT(CHAR(39)&amp;$A4774&amp;CHAR(39)&amp;"!r2c"&amp;$C4774,0),variables,2,0)</f>
        <v>9833</v>
      </c>
      <c r="H4774" s="71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67" t="s">
        <v>1429</v>
      </c>
      <c r="B4775" s="66">
        <f t="shared" si="9739"/>
        <v>23</v>
      </c>
      <c r="C4775" s="66">
        <f t="shared" si="9742"/>
        <v>16</v>
      </c>
      <c r="E4775" s="66">
        <f t="shared" ref="E4775" si="9783">plan_id</f>
        <v>1952</v>
      </c>
      <c r="F4775" s="66">
        <f t="shared" ca="1" si="9705"/>
        <v>2021</v>
      </c>
      <c r="G4775" s="66">
        <f t="shared" ref="G4775" ca="1" si="9784">VLOOKUP(INDIRECT(CHAR(39)&amp;$A4775&amp;CHAR(39)&amp;"!r2c"&amp;$C4775,0),variables,2,0)</f>
        <v>9845</v>
      </c>
      <c r="H4775" s="71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67" t="s">
        <v>1429</v>
      </c>
      <c r="B4776" s="66">
        <f t="shared" si="9739"/>
        <v>23</v>
      </c>
      <c r="C4776" s="66">
        <f t="shared" si="9742"/>
        <v>17</v>
      </c>
      <c r="E4776" s="66">
        <f t="shared" ref="E4776" si="9785">plan_id</f>
        <v>1952</v>
      </c>
      <c r="F4776" s="66">
        <f t="shared" ca="1" si="9705"/>
        <v>2021</v>
      </c>
      <c r="G4776" s="66">
        <f t="shared" ref="G4776" ca="1" si="9786">VLOOKUP(INDIRECT(CHAR(39)&amp;$A4776&amp;CHAR(39)&amp;"!r2c"&amp;$C4776,0),variables,2,0)</f>
        <v>9872</v>
      </c>
      <c r="H4776" s="71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67" t="s">
        <v>1429</v>
      </c>
      <c r="B4777" s="66">
        <f t="shared" si="9739"/>
        <v>23</v>
      </c>
      <c r="C4777" s="66">
        <f t="shared" si="9742"/>
        <v>18</v>
      </c>
      <c r="E4777" s="66">
        <f t="shared" ref="E4777" si="9787">plan_id</f>
        <v>1952</v>
      </c>
      <c r="F4777" s="66">
        <f t="shared" ca="1" si="9705"/>
        <v>2021</v>
      </c>
      <c r="G4777" s="66">
        <f t="shared" ref="G4777" ca="1" si="9788">VLOOKUP(INDIRECT(CHAR(39)&amp;$A4777&amp;CHAR(39)&amp;"!r2c"&amp;$C4777,0),variables,2,0)</f>
        <v>9887</v>
      </c>
      <c r="H4777" s="71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67" t="s">
        <v>1429</v>
      </c>
      <c r="B4778" s="66">
        <f t="shared" si="9739"/>
        <v>23</v>
      </c>
      <c r="C4778" s="66">
        <f t="shared" si="9742"/>
        <v>19</v>
      </c>
      <c r="E4778" s="66">
        <f t="shared" ref="E4778" si="9789">plan_id</f>
        <v>1952</v>
      </c>
      <c r="F4778" s="66">
        <f t="shared" ca="1" si="9705"/>
        <v>2021</v>
      </c>
      <c r="G4778" s="66">
        <f t="shared" ref="G4778" ca="1" si="9790">VLOOKUP(INDIRECT(CHAR(39)&amp;$A4778&amp;CHAR(39)&amp;"!r2c"&amp;$C4778,0),variables,2,0)</f>
        <v>9914</v>
      </c>
      <c r="H4778" s="71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67" t="s">
        <v>1429</v>
      </c>
      <c r="B4779" s="66">
        <f t="shared" si="9739"/>
        <v>23</v>
      </c>
      <c r="C4779" s="66">
        <f t="shared" si="9742"/>
        <v>20</v>
      </c>
      <c r="E4779" s="66">
        <f t="shared" ref="E4779" si="9791">plan_id</f>
        <v>1952</v>
      </c>
      <c r="F4779" s="66">
        <f t="shared" ca="1" si="9705"/>
        <v>2021</v>
      </c>
      <c r="G4779" s="66">
        <f t="shared" ref="G4779" ca="1" si="9792">VLOOKUP(INDIRECT(CHAR(39)&amp;$A4779&amp;CHAR(39)&amp;"!r2c"&amp;$C4779,0),variables,2,0)</f>
        <v>9917</v>
      </c>
      <c r="H4779" s="71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67" t="s">
        <v>1429</v>
      </c>
      <c r="B4780" s="66">
        <f t="shared" si="9739"/>
        <v>23</v>
      </c>
      <c r="C4780" s="66">
        <f t="shared" si="9742"/>
        <v>21</v>
      </c>
      <c r="E4780" s="66">
        <f t="shared" ref="E4780" si="9793">plan_id</f>
        <v>1952</v>
      </c>
      <c r="F4780" s="66">
        <f t="shared" ca="1" si="9705"/>
        <v>2021</v>
      </c>
      <c r="G4780" s="66">
        <f t="shared" ref="G4780" ca="1" si="9794">VLOOKUP(INDIRECT(CHAR(39)&amp;$A4780&amp;CHAR(39)&amp;"!r2c"&amp;$C4780,0),variables,2,0)</f>
        <v>9920</v>
      </c>
      <c r="H4780" s="71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67" t="s">
        <v>1429</v>
      </c>
      <c r="B4781" s="66">
        <f t="shared" si="9739"/>
        <v>23</v>
      </c>
      <c r="C4781" s="66">
        <f t="shared" si="9742"/>
        <v>22</v>
      </c>
      <c r="E4781" s="66">
        <f t="shared" ref="E4781" si="9795">plan_id</f>
        <v>1952</v>
      </c>
      <c r="F4781" s="66">
        <f t="shared" ca="1" si="9705"/>
        <v>2021</v>
      </c>
      <c r="G4781" s="66">
        <f t="shared" ref="G4781" ca="1" si="9796">VLOOKUP(INDIRECT(CHAR(39)&amp;$A4781&amp;CHAR(39)&amp;"!r2c"&amp;$C4781,0),variables,2,0)</f>
        <v>9648</v>
      </c>
      <c r="H4781" s="71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67" t="s">
        <v>1429</v>
      </c>
      <c r="B4782" s="66">
        <f t="shared" si="9739"/>
        <v>23</v>
      </c>
      <c r="C4782" s="66">
        <f t="shared" si="9742"/>
        <v>23</v>
      </c>
      <c r="E4782" s="66">
        <f t="shared" ref="E4782" si="9797">plan_id</f>
        <v>1952</v>
      </c>
      <c r="F4782" s="66">
        <f t="shared" ca="1" si="9705"/>
        <v>2021</v>
      </c>
      <c r="G4782" s="66">
        <f t="shared" ref="G4782" ca="1" si="9798">VLOOKUP(INDIRECT(CHAR(39)&amp;$A4782&amp;CHAR(39)&amp;"!r2c"&amp;$C4782,0),variables,2,0)</f>
        <v>9713</v>
      </c>
      <c r="H4782" s="71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67" t="s">
        <v>1429</v>
      </c>
      <c r="B4783" s="66">
        <f t="shared" si="9739"/>
        <v>23</v>
      </c>
      <c r="C4783" s="66">
        <f t="shared" si="9742"/>
        <v>24</v>
      </c>
      <c r="E4783" s="66">
        <f t="shared" ref="E4783" si="9799">plan_id</f>
        <v>1952</v>
      </c>
      <c r="F4783" s="66">
        <f t="shared" ca="1" si="9705"/>
        <v>2021</v>
      </c>
      <c r="G4783" s="66">
        <f t="shared" ref="G4783" ca="1" si="9800">VLOOKUP(INDIRECT(CHAR(39)&amp;$A4783&amp;CHAR(39)&amp;"!r2c"&amp;$C4783,0),variables,2,0)</f>
        <v>9719</v>
      </c>
      <c r="H4783" s="71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67" t="s">
        <v>1429</v>
      </c>
      <c r="B4784" s="66">
        <f t="shared" si="9739"/>
        <v>23</v>
      </c>
      <c r="C4784" s="66">
        <f t="shared" si="9742"/>
        <v>25</v>
      </c>
      <c r="E4784" s="66">
        <f t="shared" ref="E4784" si="9801">plan_id</f>
        <v>1952</v>
      </c>
      <c r="F4784" s="66">
        <f t="shared" ca="1" si="9705"/>
        <v>2021</v>
      </c>
      <c r="G4784" s="66">
        <f t="shared" ref="G4784" ca="1" si="9802">VLOOKUP(INDIRECT(CHAR(39)&amp;$A4784&amp;CHAR(39)&amp;"!r2c"&amp;$C4784,0),variables,2,0)</f>
        <v>9725</v>
      </c>
      <c r="H4784" s="71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67" t="s">
        <v>1429</v>
      </c>
      <c r="B4785" s="66">
        <f t="shared" si="9739"/>
        <v>23</v>
      </c>
      <c r="C4785" s="66">
        <f t="shared" si="9742"/>
        <v>26</v>
      </c>
      <c r="E4785" s="66">
        <f t="shared" ref="E4785" si="9803">plan_id</f>
        <v>1952</v>
      </c>
      <c r="F4785" s="66">
        <f t="shared" ca="1" si="9705"/>
        <v>2021</v>
      </c>
      <c r="G4785" s="66">
        <f t="shared" ref="G4785" ca="1" si="9804">VLOOKUP(INDIRECT(CHAR(39)&amp;$A4785&amp;CHAR(39)&amp;"!r2c"&amp;$C4785,0),variables,2,0)</f>
        <v>9743</v>
      </c>
      <c r="H4785" s="71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67" t="s">
        <v>1429</v>
      </c>
      <c r="B4786" s="66">
        <f t="shared" si="9739"/>
        <v>23</v>
      </c>
      <c r="C4786" s="66">
        <f t="shared" si="9742"/>
        <v>27</v>
      </c>
      <c r="E4786" s="66">
        <f t="shared" ref="E4786" si="9805">plan_id</f>
        <v>1952</v>
      </c>
      <c r="F4786" s="66">
        <f t="shared" ca="1" si="9705"/>
        <v>2021</v>
      </c>
      <c r="G4786" s="66">
        <f t="shared" ref="G4786" ca="1" si="9806">VLOOKUP(INDIRECT(CHAR(39)&amp;$A4786&amp;CHAR(39)&amp;"!r2c"&amp;$C4786,0),variables,2,0)</f>
        <v>9746</v>
      </c>
      <c r="H4786" s="71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67" t="s">
        <v>1429</v>
      </c>
      <c r="B4787" s="66">
        <f t="shared" si="9739"/>
        <v>23</v>
      </c>
      <c r="C4787" s="66">
        <f t="shared" si="9742"/>
        <v>28</v>
      </c>
      <c r="E4787" s="66">
        <f t="shared" ref="E4787" si="9807">plan_id</f>
        <v>1952</v>
      </c>
      <c r="F4787" s="66">
        <f t="shared" ca="1" si="9705"/>
        <v>2021</v>
      </c>
      <c r="G4787" s="66">
        <f t="shared" ref="G4787" ca="1" si="9808">VLOOKUP(INDIRECT(CHAR(39)&amp;$A4787&amp;CHAR(39)&amp;"!r2c"&amp;$C4787,0),variables,2,0)</f>
        <v>9761</v>
      </c>
      <c r="H4787" s="71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67" t="s">
        <v>1429</v>
      </c>
      <c r="B4788" s="66">
        <f t="shared" si="9739"/>
        <v>23</v>
      </c>
      <c r="C4788" s="66">
        <f t="shared" si="9742"/>
        <v>29</v>
      </c>
      <c r="E4788" s="66">
        <f t="shared" ref="E4788" si="9809">plan_id</f>
        <v>1952</v>
      </c>
      <c r="F4788" s="66">
        <f t="shared" ca="1" si="9705"/>
        <v>2021</v>
      </c>
      <c r="G4788" s="66">
        <f t="shared" ref="G4788" ca="1" si="9810">VLOOKUP(INDIRECT(CHAR(39)&amp;$A4788&amp;CHAR(39)&amp;"!r2c"&amp;$C4788,0),variables,2,0)</f>
        <v>9764</v>
      </c>
      <c r="H4788" s="71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67" t="s">
        <v>1429</v>
      </c>
      <c r="B4789" s="66">
        <f t="shared" si="9739"/>
        <v>23</v>
      </c>
      <c r="C4789" s="66">
        <f t="shared" si="9742"/>
        <v>30</v>
      </c>
      <c r="E4789" s="66">
        <f t="shared" ref="E4789" si="9811">plan_id</f>
        <v>1952</v>
      </c>
      <c r="F4789" s="66">
        <f t="shared" ca="1" si="9705"/>
        <v>2021</v>
      </c>
      <c r="G4789" s="66">
        <f t="shared" ref="G4789" ca="1" si="9812">VLOOKUP(INDIRECT(CHAR(39)&amp;$A4789&amp;CHAR(39)&amp;"!r2c"&amp;$C4789,0),variables,2,0)</f>
        <v>9767</v>
      </c>
      <c r="H4789" s="71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67" t="s">
        <v>1429</v>
      </c>
      <c r="B4790" s="66">
        <f t="shared" si="9739"/>
        <v>23</v>
      </c>
      <c r="C4790" s="66">
        <f t="shared" si="9742"/>
        <v>31</v>
      </c>
      <c r="E4790" s="66">
        <f t="shared" ref="E4790" si="9813">plan_id</f>
        <v>1952</v>
      </c>
      <c r="F4790" s="66">
        <f t="shared" ca="1" si="9705"/>
        <v>2021</v>
      </c>
      <c r="G4790" s="66">
        <f t="shared" ref="G4790" ca="1" si="9814">VLOOKUP(INDIRECT(CHAR(39)&amp;$A4790&amp;CHAR(39)&amp;"!r2c"&amp;$C4790,0),variables,2,0)</f>
        <v>9770</v>
      </c>
      <c r="H4790" s="71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67" t="s">
        <v>1429</v>
      </c>
      <c r="B4791" s="66">
        <f t="shared" si="9739"/>
        <v>23</v>
      </c>
      <c r="C4791" s="66">
        <f t="shared" si="9742"/>
        <v>32</v>
      </c>
      <c r="E4791" s="66">
        <f t="shared" ref="E4791" si="9815">plan_id</f>
        <v>1952</v>
      </c>
      <c r="F4791" s="66">
        <f t="shared" ca="1" si="9705"/>
        <v>2021</v>
      </c>
      <c r="G4791" s="66">
        <f t="shared" ref="G4791" ca="1" si="9816">VLOOKUP(INDIRECT(CHAR(39)&amp;$A4791&amp;CHAR(39)&amp;"!r2c"&amp;$C4791,0),variables,2,0)</f>
        <v>9773</v>
      </c>
      <c r="H4791" s="71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67" t="s">
        <v>1429</v>
      </c>
      <c r="B4792" s="66">
        <f t="shared" si="9739"/>
        <v>23</v>
      </c>
      <c r="C4792" s="66">
        <f t="shared" si="9742"/>
        <v>33</v>
      </c>
      <c r="E4792" s="66">
        <f t="shared" ref="E4792" si="9817">plan_id</f>
        <v>1952</v>
      </c>
      <c r="F4792" s="66">
        <f t="shared" ca="1" si="9705"/>
        <v>2021</v>
      </c>
      <c r="G4792" s="66">
        <f t="shared" ref="G4792" ca="1" si="9818">VLOOKUP(INDIRECT(CHAR(39)&amp;$A4792&amp;CHAR(39)&amp;"!r2c"&amp;$C4792,0),variables,2,0)</f>
        <v>9776</v>
      </c>
      <c r="H4792" s="71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67" t="s">
        <v>1429</v>
      </c>
      <c r="B4793" s="66">
        <f t="shared" si="9739"/>
        <v>23</v>
      </c>
      <c r="C4793" s="66">
        <f t="shared" si="9742"/>
        <v>34</v>
      </c>
      <c r="E4793" s="66">
        <f t="shared" ref="E4793" si="9819">plan_id</f>
        <v>1952</v>
      </c>
      <c r="F4793" s="66">
        <f t="shared" ca="1" si="9705"/>
        <v>2021</v>
      </c>
      <c r="G4793" s="66">
        <f t="shared" ref="G4793" ca="1" si="9820">VLOOKUP(INDIRECT(CHAR(39)&amp;$A4793&amp;CHAR(39)&amp;"!r2c"&amp;$C4793,0),variables,2,0)</f>
        <v>9779</v>
      </c>
      <c r="H4793" s="71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67" t="s">
        <v>1429</v>
      </c>
      <c r="B4794" s="66">
        <f t="shared" si="9739"/>
        <v>23</v>
      </c>
      <c r="C4794" s="66">
        <f t="shared" si="9742"/>
        <v>35</v>
      </c>
      <c r="E4794" s="66">
        <f t="shared" ref="E4794" si="9821">plan_id</f>
        <v>1952</v>
      </c>
      <c r="F4794" s="66">
        <f t="shared" ca="1" si="9705"/>
        <v>2021</v>
      </c>
      <c r="G4794" s="66">
        <f t="shared" ref="G4794" ca="1" si="9822">VLOOKUP(INDIRECT(CHAR(39)&amp;$A4794&amp;CHAR(39)&amp;"!r2c"&amp;$C4794,0),variables,2,0)</f>
        <v>9785</v>
      </c>
      <c r="H4794" s="71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67" t="s">
        <v>1429</v>
      </c>
      <c r="B4795" s="66">
        <f t="shared" si="9739"/>
        <v>23</v>
      </c>
      <c r="C4795" s="66">
        <f t="shared" si="9742"/>
        <v>36</v>
      </c>
      <c r="E4795" s="66">
        <f t="shared" ref="E4795" si="9823">plan_id</f>
        <v>1952</v>
      </c>
      <c r="F4795" s="66">
        <f t="shared" ca="1" si="9705"/>
        <v>2021</v>
      </c>
      <c r="G4795" s="66">
        <f t="shared" ref="G4795" ca="1" si="9824">VLOOKUP(INDIRECT(CHAR(39)&amp;$A4795&amp;CHAR(39)&amp;"!r2c"&amp;$C4795,0),variables,2,0)</f>
        <v>9794</v>
      </c>
      <c r="H4795" s="71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67" t="s">
        <v>1429</v>
      </c>
      <c r="B4796" s="66">
        <f t="shared" si="9739"/>
        <v>23</v>
      </c>
      <c r="C4796" s="66">
        <f t="shared" si="9742"/>
        <v>37</v>
      </c>
      <c r="E4796" s="66">
        <f t="shared" ref="E4796" si="9825">plan_id</f>
        <v>1952</v>
      </c>
      <c r="F4796" s="66">
        <f t="shared" ca="1" si="9705"/>
        <v>2021</v>
      </c>
      <c r="G4796" s="66">
        <f t="shared" ref="G4796" ca="1" si="9826">VLOOKUP(INDIRECT(CHAR(39)&amp;$A4796&amp;CHAR(39)&amp;"!r2c"&amp;$C4796,0),variables,2,0)</f>
        <v>9797</v>
      </c>
      <c r="H4796" s="71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67" t="s">
        <v>1429</v>
      </c>
      <c r="B4797" s="66">
        <f t="shared" si="9739"/>
        <v>23</v>
      </c>
      <c r="C4797" s="66">
        <f t="shared" si="9742"/>
        <v>38</v>
      </c>
      <c r="E4797" s="66">
        <f t="shared" ref="E4797" si="9827">plan_id</f>
        <v>1952</v>
      </c>
      <c r="F4797" s="66">
        <f t="shared" ca="1" si="9705"/>
        <v>2021</v>
      </c>
      <c r="G4797" s="66">
        <f t="shared" ref="G4797" ca="1" si="9828">VLOOKUP(INDIRECT(CHAR(39)&amp;$A4797&amp;CHAR(39)&amp;"!r2c"&amp;$C4797,0),variables,2,0)</f>
        <v>9806</v>
      </c>
      <c r="H4797" s="71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67" t="s">
        <v>1429</v>
      </c>
      <c r="B4798" s="66">
        <f t="shared" si="9739"/>
        <v>23</v>
      </c>
      <c r="C4798" s="66">
        <f t="shared" si="9742"/>
        <v>39</v>
      </c>
      <c r="E4798" s="66">
        <f t="shared" ref="E4798" si="9829">plan_id</f>
        <v>1952</v>
      </c>
      <c r="F4798" s="66">
        <f t="shared" ca="1" si="9705"/>
        <v>2021</v>
      </c>
      <c r="G4798" s="66">
        <f t="shared" ref="G4798" ca="1" si="9830">VLOOKUP(INDIRECT(CHAR(39)&amp;$A4798&amp;CHAR(39)&amp;"!r2c"&amp;$C4798,0),variables,2,0)</f>
        <v>9809</v>
      </c>
      <c r="H4798" s="71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67" t="s">
        <v>1429</v>
      </c>
      <c r="B4799" s="66">
        <f t="shared" si="9739"/>
        <v>23</v>
      </c>
      <c r="C4799" s="66">
        <f t="shared" si="9742"/>
        <v>40</v>
      </c>
      <c r="E4799" s="66">
        <f t="shared" ref="E4799" si="9831">plan_id</f>
        <v>1952</v>
      </c>
      <c r="F4799" s="66">
        <f t="shared" ca="1" si="9705"/>
        <v>2021</v>
      </c>
      <c r="G4799" s="66">
        <f t="shared" ref="G4799" ca="1" si="9832">VLOOKUP(INDIRECT(CHAR(39)&amp;$A4799&amp;CHAR(39)&amp;"!r2c"&amp;$C4799,0),variables,2,0)</f>
        <v>9818</v>
      </c>
      <c r="H4799" s="71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67" t="s">
        <v>1429</v>
      </c>
      <c r="B4800" s="66">
        <f t="shared" si="9739"/>
        <v>23</v>
      </c>
      <c r="C4800" s="66">
        <f t="shared" si="9742"/>
        <v>41</v>
      </c>
      <c r="E4800" s="66">
        <f t="shared" ref="E4800" si="9833">plan_id</f>
        <v>1952</v>
      </c>
      <c r="F4800" s="66">
        <f t="shared" ca="1" si="9705"/>
        <v>2021</v>
      </c>
      <c r="G4800" s="66">
        <f t="shared" ref="G4800" ca="1" si="9834">VLOOKUP(INDIRECT(CHAR(39)&amp;$A4800&amp;CHAR(39)&amp;"!r2c"&amp;$C4800,0),variables,2,0)</f>
        <v>9839</v>
      </c>
      <c r="H4800" s="71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67" t="s">
        <v>1429</v>
      </c>
      <c r="B4801" s="66">
        <f t="shared" si="9739"/>
        <v>23</v>
      </c>
      <c r="C4801" s="66">
        <f t="shared" si="9742"/>
        <v>42</v>
      </c>
      <c r="E4801" s="66">
        <f t="shared" ref="E4801" si="9835">plan_id</f>
        <v>1952</v>
      </c>
      <c r="F4801" s="66">
        <f t="shared" ref="F4801:F4849" ca="1" si="9836">INDIRECT(CHAR(39)&amp;$A4801&amp;CHAR(39)&amp;"!r"&amp;$B4801&amp;"c2",0)</f>
        <v>2021</v>
      </c>
      <c r="G4801" s="66">
        <f t="shared" ref="G4801" ca="1" si="9837">VLOOKUP(INDIRECT(CHAR(39)&amp;$A4801&amp;CHAR(39)&amp;"!r2c"&amp;$C4801,0),variables,2,0)</f>
        <v>9860</v>
      </c>
      <c r="H4801" s="71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67" t="s">
        <v>1429</v>
      </c>
      <c r="B4802" s="66">
        <f t="shared" si="9739"/>
        <v>23</v>
      </c>
      <c r="C4802" s="66">
        <f t="shared" si="9742"/>
        <v>43</v>
      </c>
      <c r="E4802" s="66">
        <f t="shared" ref="E4802" si="9838">plan_id</f>
        <v>1952</v>
      </c>
      <c r="F4802" s="66">
        <f t="shared" ca="1" si="9836"/>
        <v>2021</v>
      </c>
      <c r="G4802" s="66">
        <f t="shared" ref="G4802" ca="1" si="9839">VLOOKUP(INDIRECT(CHAR(39)&amp;$A4802&amp;CHAR(39)&amp;"!r2c"&amp;$C4802,0),variables,2,0)</f>
        <v>9863</v>
      </c>
      <c r="H4802" s="71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67" t="s">
        <v>1429</v>
      </c>
      <c r="B4803" s="66">
        <f t="shared" si="9739"/>
        <v>23</v>
      </c>
      <c r="C4803" s="66">
        <f t="shared" si="9742"/>
        <v>44</v>
      </c>
      <c r="E4803" s="66">
        <f t="shared" ref="E4803" si="9840">plan_id</f>
        <v>1952</v>
      </c>
      <c r="F4803" s="66">
        <f t="shared" ca="1" si="9836"/>
        <v>2021</v>
      </c>
      <c r="G4803" s="66">
        <f t="shared" ref="G4803" ca="1" si="9841">VLOOKUP(INDIRECT(CHAR(39)&amp;$A4803&amp;CHAR(39)&amp;"!r2c"&amp;$C4803,0),variables,2,0)</f>
        <v>9878</v>
      </c>
      <c r="H4803" s="71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67" t="s">
        <v>1429</v>
      </c>
      <c r="B4804" s="66">
        <f t="shared" si="9739"/>
        <v>23</v>
      </c>
      <c r="C4804" s="66">
        <f t="shared" si="9742"/>
        <v>45</v>
      </c>
      <c r="E4804" s="66">
        <f t="shared" ref="E4804" si="9842">plan_id</f>
        <v>1952</v>
      </c>
      <c r="F4804" s="66">
        <f t="shared" ca="1" si="9836"/>
        <v>2021</v>
      </c>
      <c r="G4804" s="66">
        <f t="shared" ref="G4804" ca="1" si="9843">VLOOKUP(INDIRECT(CHAR(39)&amp;$A4804&amp;CHAR(39)&amp;"!r2c"&amp;$C4804,0),variables,2,0)</f>
        <v>9923</v>
      </c>
      <c r="H4804" s="71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67" t="s">
        <v>1429</v>
      </c>
      <c r="B4805" s="66">
        <f t="shared" si="9739"/>
        <v>23</v>
      </c>
      <c r="C4805" s="66">
        <f t="shared" si="9742"/>
        <v>46</v>
      </c>
      <c r="E4805" s="66">
        <f t="shared" ref="E4805" si="9844">plan_id</f>
        <v>1952</v>
      </c>
      <c r="F4805" s="66">
        <f t="shared" ca="1" si="9836"/>
        <v>2021</v>
      </c>
      <c r="G4805" s="66">
        <f t="shared" ref="G4805" ca="1" si="9845">VLOOKUP(INDIRECT(CHAR(39)&amp;$A4805&amp;CHAR(39)&amp;"!r2c"&amp;$C4805,0),variables,2,0)</f>
        <v>9932</v>
      </c>
      <c r="H4805" s="71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67" t="s">
        <v>1429</v>
      </c>
      <c r="B4806" s="66">
        <f t="shared" si="9739"/>
        <v>23</v>
      </c>
      <c r="C4806" s="66">
        <f t="shared" si="9742"/>
        <v>47</v>
      </c>
      <c r="E4806" s="66">
        <f t="shared" ref="E4806" si="9846">plan_id</f>
        <v>1952</v>
      </c>
      <c r="F4806" s="66">
        <f t="shared" ca="1" si="9836"/>
        <v>2021</v>
      </c>
      <c r="G4806" s="66">
        <f t="shared" ref="G4806" ca="1" si="9847">VLOOKUP(INDIRECT(CHAR(39)&amp;$A4806&amp;CHAR(39)&amp;"!r2c"&amp;$C4806,0),variables,2,0)</f>
        <v>9935</v>
      </c>
      <c r="H4806" s="71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67" t="s">
        <v>1429</v>
      </c>
      <c r="B4807" s="66">
        <f t="shared" si="9739"/>
        <v>23</v>
      </c>
      <c r="C4807" s="66">
        <f t="shared" si="9742"/>
        <v>48</v>
      </c>
      <c r="E4807" s="66">
        <f t="shared" ref="E4807" si="9848">plan_id</f>
        <v>1952</v>
      </c>
      <c r="F4807" s="66">
        <f t="shared" ca="1" si="9836"/>
        <v>2021</v>
      </c>
      <c r="G4807" s="66">
        <f t="shared" ref="G4807" ca="1" si="9849">VLOOKUP(INDIRECT(CHAR(39)&amp;$A4807&amp;CHAR(39)&amp;"!r2c"&amp;$C4807,0),variables,2,0)</f>
        <v>9651</v>
      </c>
      <c r="H4807" s="71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67" t="s">
        <v>1429</v>
      </c>
      <c r="B4808" s="66">
        <f t="shared" si="9739"/>
        <v>23</v>
      </c>
      <c r="C4808" s="66">
        <f t="shared" si="9742"/>
        <v>49</v>
      </c>
      <c r="E4808" s="66">
        <f t="shared" ref="E4808" si="9850">plan_id</f>
        <v>1952</v>
      </c>
      <c r="F4808" s="66">
        <f t="shared" ca="1" si="9836"/>
        <v>2021</v>
      </c>
      <c r="G4808" s="66">
        <f t="shared" ref="G4808" ca="1" si="9851">VLOOKUP(INDIRECT(CHAR(39)&amp;$A4808&amp;CHAR(39)&amp;"!r2c"&amp;$C4808,0),variables,2,0)</f>
        <v>9722</v>
      </c>
      <c r="H4808" s="71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67" t="s">
        <v>1429</v>
      </c>
      <c r="B4809" s="66">
        <f t="shared" si="9739"/>
        <v>23</v>
      </c>
      <c r="C4809" s="66">
        <f t="shared" si="9742"/>
        <v>50</v>
      </c>
      <c r="E4809" s="66">
        <f t="shared" ref="E4809" si="9852">plan_id</f>
        <v>1952</v>
      </c>
      <c r="F4809" s="66">
        <f t="shared" ca="1" si="9836"/>
        <v>2021</v>
      </c>
      <c r="G4809" s="66">
        <f t="shared" ref="G4809" ca="1" si="9853">VLOOKUP(INDIRECT(CHAR(39)&amp;$A4809&amp;CHAR(39)&amp;"!r2c"&amp;$C4809,0),variables,2,0)</f>
        <v>9848</v>
      </c>
      <c r="H4809" s="71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67" t="s">
        <v>1429</v>
      </c>
      <c r="B4810" s="66">
        <f t="shared" si="9739"/>
        <v>23</v>
      </c>
      <c r="C4810" s="66">
        <f t="shared" si="9742"/>
        <v>51</v>
      </c>
      <c r="E4810" s="66">
        <f t="shared" ref="E4810" si="9854">plan_id</f>
        <v>1952</v>
      </c>
      <c r="F4810" s="66">
        <f t="shared" ca="1" si="9836"/>
        <v>2021</v>
      </c>
      <c r="G4810" s="66">
        <f t="shared" ref="G4810" ca="1" si="9855">VLOOKUP(INDIRECT(CHAR(39)&amp;$A4810&amp;CHAR(39)&amp;"!r2c"&amp;$C4810,0),variables,2,0)</f>
        <v>9866</v>
      </c>
      <c r="H4810" s="71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67" t="s">
        <v>1429</v>
      </c>
      <c r="B4811" s="66">
        <f t="shared" si="9739"/>
        <v>23</v>
      </c>
      <c r="C4811" s="66">
        <f t="shared" si="9742"/>
        <v>52</v>
      </c>
      <c r="E4811" s="66">
        <f t="shared" ref="E4811" si="9856">plan_id</f>
        <v>1952</v>
      </c>
      <c r="F4811" s="66">
        <f t="shared" ca="1" si="9836"/>
        <v>2021</v>
      </c>
      <c r="G4811" s="66">
        <f t="shared" ref="G4811" ca="1" si="9857">VLOOKUP(INDIRECT(CHAR(39)&amp;$A4811&amp;CHAR(39)&amp;"!r2c"&amp;$C4811,0),variables,2,0)</f>
        <v>9899</v>
      </c>
      <c r="H4811" s="71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67" t="s">
        <v>1429</v>
      </c>
      <c r="B4812" s="66">
        <f t="shared" si="9739"/>
        <v>23</v>
      </c>
      <c r="C4812" s="66">
        <f t="shared" si="9742"/>
        <v>53</v>
      </c>
      <c r="E4812" s="66">
        <f t="shared" ref="E4812" si="9858">plan_id</f>
        <v>1952</v>
      </c>
      <c r="F4812" s="66">
        <f t="shared" ca="1" si="9836"/>
        <v>2021</v>
      </c>
      <c r="G4812" s="66">
        <f t="shared" ref="G4812" ca="1" si="9859">VLOOKUP(INDIRECT(CHAR(39)&amp;$A4812&amp;CHAR(39)&amp;"!r2c"&amp;$C4812,0),variables,2,0)</f>
        <v>9905</v>
      </c>
      <c r="H4812" s="71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67" t="s">
        <v>1429</v>
      </c>
      <c r="B4813" s="66">
        <f t="shared" si="9739"/>
        <v>23</v>
      </c>
      <c r="C4813" s="66">
        <f t="shared" si="9742"/>
        <v>54</v>
      </c>
      <c r="E4813" s="66">
        <f t="shared" ref="E4813" si="9860">plan_id</f>
        <v>1952</v>
      </c>
      <c r="F4813" s="66">
        <f t="shared" ca="1" si="9836"/>
        <v>2021</v>
      </c>
      <c r="G4813" s="66">
        <f t="shared" ref="G4813" ca="1" si="9861">VLOOKUP(INDIRECT(CHAR(39)&amp;$A4813&amp;CHAR(39)&amp;"!r2c"&amp;$C4813,0),variables,2,0)</f>
        <v>9929</v>
      </c>
      <c r="H4813" s="71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67" t="s">
        <v>1429</v>
      </c>
      <c r="B4814" s="66">
        <f t="shared" si="9739"/>
        <v>23</v>
      </c>
      <c r="C4814" s="66">
        <f t="shared" si="9742"/>
        <v>55</v>
      </c>
      <c r="E4814" s="66">
        <f t="shared" ref="E4814" si="9862">plan_id</f>
        <v>1952</v>
      </c>
      <c r="F4814" s="66">
        <f t="shared" ca="1" si="9836"/>
        <v>2021</v>
      </c>
      <c r="G4814" s="66">
        <f t="shared" ref="G4814" ca="1" si="9863">VLOOKUP(INDIRECT(CHAR(39)&amp;$A4814&amp;CHAR(39)&amp;"!r2c"&amp;$C4814,0),variables,2,0)</f>
        <v>9654</v>
      </c>
      <c r="H4814" s="71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67" t="s">
        <v>1429</v>
      </c>
      <c r="B4815" s="66">
        <f t="shared" si="9739"/>
        <v>23</v>
      </c>
      <c r="C4815" s="66">
        <f t="shared" si="9742"/>
        <v>56</v>
      </c>
      <c r="E4815" s="66">
        <f t="shared" ref="E4815" si="9864">plan_id</f>
        <v>1952</v>
      </c>
      <c r="F4815" s="66">
        <f t="shared" ca="1" si="9836"/>
        <v>2021</v>
      </c>
      <c r="G4815" s="66">
        <f t="shared" ref="G4815" ca="1" si="9865">VLOOKUP(INDIRECT(CHAR(39)&amp;$A4815&amp;CHAR(39)&amp;"!r2c"&amp;$C4815,0),variables,2,0)</f>
        <v>9707</v>
      </c>
      <c r="H4815" s="71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67" t="s">
        <v>1429</v>
      </c>
      <c r="B4816" s="66">
        <f t="shared" si="9739"/>
        <v>23</v>
      </c>
      <c r="C4816" s="66">
        <f t="shared" si="9742"/>
        <v>57</v>
      </c>
      <c r="E4816" s="66">
        <f t="shared" ref="E4816" si="9866">plan_id</f>
        <v>1952</v>
      </c>
      <c r="F4816" s="66">
        <f t="shared" ca="1" si="9836"/>
        <v>2021</v>
      </c>
      <c r="G4816" s="66">
        <f t="shared" ref="G4816" ca="1" si="9867">VLOOKUP(INDIRECT(CHAR(39)&amp;$A4816&amp;CHAR(39)&amp;"!r2c"&amp;$C4816,0),variables,2,0)</f>
        <v>9669</v>
      </c>
      <c r="H4816" s="71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67" t="s">
        <v>1429</v>
      </c>
      <c r="B4817" s="66">
        <f t="shared" si="9739"/>
        <v>23</v>
      </c>
      <c r="C4817" s="66">
        <f t="shared" si="9742"/>
        <v>58</v>
      </c>
      <c r="E4817" s="66">
        <f t="shared" ref="E4817" si="9868">plan_id</f>
        <v>1952</v>
      </c>
      <c r="F4817" s="66">
        <f t="shared" ca="1" si="9836"/>
        <v>2021</v>
      </c>
      <c r="G4817" s="66">
        <f t="shared" ref="G4817" ca="1" si="9869">VLOOKUP(INDIRECT(CHAR(39)&amp;$A4817&amp;CHAR(39)&amp;"!r2c"&amp;$C4817,0),variables,2,0)</f>
        <v>9851</v>
      </c>
      <c r="H4817" s="71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67" t="s">
        <v>1429</v>
      </c>
      <c r="B4818" s="66">
        <f t="shared" ref="B4818:B4849" si="9870">B4730+1</f>
        <v>23</v>
      </c>
      <c r="C4818" s="66">
        <f t="shared" si="9742"/>
        <v>59</v>
      </c>
      <c r="E4818" s="66">
        <f t="shared" ref="E4818" si="9871">plan_id</f>
        <v>1952</v>
      </c>
      <c r="F4818" s="66">
        <f t="shared" ca="1" si="9836"/>
        <v>2021</v>
      </c>
      <c r="G4818" s="66">
        <f t="shared" ref="G4818" ca="1" si="9872">VLOOKUP(INDIRECT(CHAR(39)&amp;$A4818&amp;CHAR(39)&amp;"!r2c"&amp;$C4818,0),variables,2,0)</f>
        <v>9890</v>
      </c>
      <c r="H4818" s="71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67" t="s">
        <v>1429</v>
      </c>
      <c r="B4819" s="66">
        <f t="shared" si="9870"/>
        <v>23</v>
      </c>
      <c r="C4819" s="66">
        <f t="shared" ref="C4819:C4849" si="9873">C4731</f>
        <v>60</v>
      </c>
      <c r="E4819" s="66">
        <f t="shared" ref="E4819" si="9874">plan_id</f>
        <v>1952</v>
      </c>
      <c r="F4819" s="66">
        <f t="shared" ca="1" si="9836"/>
        <v>2021</v>
      </c>
      <c r="G4819" s="66">
        <f t="shared" ref="G4819" ca="1" si="9875">VLOOKUP(INDIRECT(CHAR(39)&amp;$A4819&amp;CHAR(39)&amp;"!r2c"&amp;$C4819,0),variables,2,0)</f>
        <v>9893</v>
      </c>
      <c r="H4819" s="71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67" t="s">
        <v>1429</v>
      </c>
      <c r="B4820" s="66">
        <f t="shared" si="9870"/>
        <v>23</v>
      </c>
      <c r="C4820" s="66">
        <f t="shared" si="9873"/>
        <v>61</v>
      </c>
      <c r="E4820" s="66">
        <f t="shared" ref="E4820" si="9876">plan_id</f>
        <v>1952</v>
      </c>
      <c r="F4820" s="66">
        <f t="shared" ca="1" si="9836"/>
        <v>2021</v>
      </c>
      <c r="G4820" s="66">
        <f t="shared" ref="G4820" ca="1" si="9877">VLOOKUP(INDIRECT(CHAR(39)&amp;$A4820&amp;CHAR(39)&amp;"!r2c"&amp;$C4820,0),variables,2,0)</f>
        <v>9896</v>
      </c>
      <c r="H4820" s="71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67" t="s">
        <v>1429</v>
      </c>
      <c r="B4821" s="66">
        <f t="shared" si="9870"/>
        <v>23</v>
      </c>
      <c r="C4821" s="66">
        <f t="shared" si="9873"/>
        <v>62</v>
      </c>
      <c r="E4821" s="66">
        <f t="shared" ref="E4821" si="9878">plan_id</f>
        <v>1952</v>
      </c>
      <c r="F4821" s="66">
        <f t="shared" ca="1" si="9836"/>
        <v>2021</v>
      </c>
      <c r="G4821" s="66">
        <f t="shared" ref="G4821" ca="1" si="9879">VLOOKUP(INDIRECT(CHAR(39)&amp;$A4821&amp;CHAR(39)&amp;"!r2c"&amp;$C4821,0),variables,2,0)</f>
        <v>9660</v>
      </c>
      <c r="H4821" s="71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67" t="s">
        <v>1429</v>
      </c>
      <c r="B4822" s="66">
        <f t="shared" si="9870"/>
        <v>23</v>
      </c>
      <c r="C4822" s="66">
        <f t="shared" si="9873"/>
        <v>63</v>
      </c>
      <c r="E4822" s="66">
        <f t="shared" ref="E4822" si="9880">plan_id</f>
        <v>1952</v>
      </c>
      <c r="F4822" s="66">
        <f t="shared" ca="1" si="9836"/>
        <v>2021</v>
      </c>
      <c r="G4822" s="66">
        <f t="shared" ref="G4822" ca="1" si="9881">VLOOKUP(INDIRECT(CHAR(39)&amp;$A4822&amp;CHAR(39)&amp;"!r2c"&amp;$C4822,0),variables,2,0)</f>
        <v>9701</v>
      </c>
      <c r="H4822" s="71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67" t="s">
        <v>1429</v>
      </c>
      <c r="B4823" s="66">
        <f t="shared" si="9870"/>
        <v>23</v>
      </c>
      <c r="C4823" s="66">
        <f t="shared" si="9873"/>
        <v>64</v>
      </c>
      <c r="E4823" s="66">
        <f t="shared" ref="E4823" si="9882">plan_id</f>
        <v>1952</v>
      </c>
      <c r="F4823" s="66">
        <f t="shared" ca="1" si="9836"/>
        <v>2021</v>
      </c>
      <c r="G4823" s="66">
        <f t="shared" ref="G4823" ca="1" si="9883">VLOOKUP(INDIRECT(CHAR(39)&amp;$A4823&amp;CHAR(39)&amp;"!r2c"&amp;$C4823,0),variables,2,0)</f>
        <v>9728</v>
      </c>
      <c r="H4823" s="71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67" t="s">
        <v>1429</v>
      </c>
      <c r="B4824" s="66">
        <f t="shared" si="9870"/>
        <v>23</v>
      </c>
      <c r="C4824" s="66">
        <f t="shared" si="9873"/>
        <v>65</v>
      </c>
      <c r="E4824" s="66">
        <f t="shared" ref="E4824" si="9884">plan_id</f>
        <v>1952</v>
      </c>
      <c r="F4824" s="66">
        <f t="shared" ca="1" si="9836"/>
        <v>2021</v>
      </c>
      <c r="G4824" s="66">
        <f t="shared" ref="G4824" ca="1" si="9885">VLOOKUP(INDIRECT(CHAR(39)&amp;$A4824&amp;CHAR(39)&amp;"!r2c"&amp;$C4824,0),variables,2,0)</f>
        <v>9731</v>
      </c>
      <c r="H4824" s="71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67" t="s">
        <v>1429</v>
      </c>
      <c r="B4825" s="66">
        <f t="shared" si="9870"/>
        <v>23</v>
      </c>
      <c r="C4825" s="66">
        <f t="shared" si="9873"/>
        <v>66</v>
      </c>
      <c r="E4825" s="66">
        <f t="shared" ref="E4825" si="9886">plan_id</f>
        <v>1952</v>
      </c>
      <c r="F4825" s="66">
        <f t="shared" ca="1" si="9836"/>
        <v>2021</v>
      </c>
      <c r="G4825" s="66">
        <f t="shared" ref="G4825" ca="1" si="9887">VLOOKUP(INDIRECT(CHAR(39)&amp;$A4825&amp;CHAR(39)&amp;"!r2c"&amp;$C4825,0),variables,2,0)</f>
        <v>9737</v>
      </c>
      <c r="H4825" s="71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67" t="s">
        <v>1429</v>
      </c>
      <c r="B4826" s="66">
        <f t="shared" si="9870"/>
        <v>23</v>
      </c>
      <c r="C4826" s="66">
        <f t="shared" si="9873"/>
        <v>67</v>
      </c>
      <c r="E4826" s="66">
        <f t="shared" ref="E4826" si="9888">plan_id</f>
        <v>1952</v>
      </c>
      <c r="F4826" s="66">
        <f t="shared" ca="1" si="9836"/>
        <v>2021</v>
      </c>
      <c r="G4826" s="66">
        <f t="shared" ref="G4826" ca="1" si="9889">VLOOKUP(INDIRECT(CHAR(39)&amp;$A4826&amp;CHAR(39)&amp;"!r2c"&amp;$C4826,0),variables,2,0)</f>
        <v>9740</v>
      </c>
      <c r="H4826" s="71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67" t="s">
        <v>1429</v>
      </c>
      <c r="B4827" s="66">
        <f t="shared" si="9870"/>
        <v>23</v>
      </c>
      <c r="C4827" s="66">
        <f t="shared" si="9873"/>
        <v>68</v>
      </c>
      <c r="E4827" s="66">
        <f t="shared" ref="E4827" si="9890">plan_id</f>
        <v>1952</v>
      </c>
      <c r="F4827" s="66">
        <f t="shared" ca="1" si="9836"/>
        <v>2021</v>
      </c>
      <c r="G4827" s="66">
        <f t="shared" ref="G4827" ca="1" si="9891">VLOOKUP(INDIRECT(CHAR(39)&amp;$A4827&amp;CHAR(39)&amp;"!r2c"&amp;$C4827,0),variables,2,0)</f>
        <v>9752</v>
      </c>
      <c r="H4827" s="71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67" t="s">
        <v>1429</v>
      </c>
      <c r="B4828" s="66">
        <f t="shared" si="9870"/>
        <v>23</v>
      </c>
      <c r="C4828" s="66">
        <f t="shared" si="9873"/>
        <v>69</v>
      </c>
      <c r="E4828" s="66">
        <f t="shared" ref="E4828" si="9892">plan_id</f>
        <v>1952</v>
      </c>
      <c r="F4828" s="66">
        <f t="shared" ca="1" si="9836"/>
        <v>2021</v>
      </c>
      <c r="G4828" s="66">
        <f t="shared" ref="G4828" ca="1" si="9893">VLOOKUP(INDIRECT(CHAR(39)&amp;$A4828&amp;CHAR(39)&amp;"!r2c"&amp;$C4828,0),variables,2,0)</f>
        <v>9791</v>
      </c>
      <c r="H4828" s="71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67" t="s">
        <v>1429</v>
      </c>
      <c r="B4829" s="66">
        <f t="shared" si="9870"/>
        <v>23</v>
      </c>
      <c r="C4829" s="66">
        <f t="shared" si="9873"/>
        <v>70</v>
      </c>
      <c r="E4829" s="66">
        <f t="shared" ref="E4829" si="9894">plan_id</f>
        <v>1952</v>
      </c>
      <c r="F4829" s="66">
        <f t="shared" ca="1" si="9836"/>
        <v>2021</v>
      </c>
      <c r="G4829" s="66">
        <f t="shared" ref="G4829" ca="1" si="9895">VLOOKUP(INDIRECT(CHAR(39)&amp;$A4829&amp;CHAR(39)&amp;"!r2c"&amp;$C4829,0),variables,2,0)</f>
        <v>9800</v>
      </c>
      <c r="H4829" s="71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67" t="s">
        <v>1429</v>
      </c>
      <c r="B4830" s="66">
        <f t="shared" si="9870"/>
        <v>23</v>
      </c>
      <c r="C4830" s="66">
        <f t="shared" si="9873"/>
        <v>71</v>
      </c>
      <c r="E4830" s="66">
        <f t="shared" ref="E4830" si="9896">plan_id</f>
        <v>1952</v>
      </c>
      <c r="F4830" s="66">
        <f t="shared" ca="1" si="9836"/>
        <v>2021</v>
      </c>
      <c r="G4830" s="66">
        <f t="shared" ref="G4830" ca="1" si="9897">VLOOKUP(INDIRECT(CHAR(39)&amp;$A4830&amp;CHAR(39)&amp;"!r2c"&amp;$C4830,0),variables,2,0)</f>
        <v>9842</v>
      </c>
      <c r="H4830" s="71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67" t="s">
        <v>1429</v>
      </c>
      <c r="B4831" s="66">
        <f t="shared" si="9870"/>
        <v>23</v>
      </c>
      <c r="C4831" s="66">
        <f t="shared" si="9873"/>
        <v>72</v>
      </c>
      <c r="E4831" s="66">
        <f t="shared" ref="E4831" si="9898">plan_id</f>
        <v>1952</v>
      </c>
      <c r="F4831" s="66">
        <f t="shared" ca="1" si="9836"/>
        <v>2021</v>
      </c>
      <c r="G4831" s="66">
        <f t="shared" ref="G4831" ca="1" si="9899">VLOOKUP(INDIRECT(CHAR(39)&amp;$A4831&amp;CHAR(39)&amp;"!r2c"&amp;$C4831,0),variables,2,0)</f>
        <v>9854</v>
      </c>
      <c r="H4831" s="71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67" t="s">
        <v>1429</v>
      </c>
      <c r="B4832" s="66">
        <f t="shared" si="9870"/>
        <v>23</v>
      </c>
      <c r="C4832" s="66">
        <f t="shared" si="9873"/>
        <v>73</v>
      </c>
      <c r="E4832" s="66">
        <f t="shared" ref="E4832" si="9900">plan_id</f>
        <v>1952</v>
      </c>
      <c r="F4832" s="66">
        <f t="shared" ca="1" si="9836"/>
        <v>2021</v>
      </c>
      <c r="G4832" s="66">
        <f t="shared" ref="G4832" ca="1" si="9901">VLOOKUP(INDIRECT(CHAR(39)&amp;$A4832&amp;CHAR(39)&amp;"!r2c"&amp;$C4832,0),variables,2,0)</f>
        <v>9869</v>
      </c>
      <c r="H4832" s="71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67" t="s">
        <v>1429</v>
      </c>
      <c r="B4833" s="66">
        <f t="shared" si="9870"/>
        <v>23</v>
      </c>
      <c r="C4833" s="66">
        <f t="shared" si="9873"/>
        <v>74</v>
      </c>
      <c r="E4833" s="66">
        <f t="shared" ref="E4833" si="9902">plan_id</f>
        <v>1952</v>
      </c>
      <c r="F4833" s="66">
        <f t="shared" ca="1" si="9836"/>
        <v>2021</v>
      </c>
      <c r="G4833" s="66">
        <f t="shared" ref="G4833" ca="1" si="9903">VLOOKUP(INDIRECT(CHAR(39)&amp;$A4833&amp;CHAR(39)&amp;"!r2c"&amp;$C4833,0),variables,2,0)</f>
        <v>9873</v>
      </c>
      <c r="H4833" s="71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67" t="s">
        <v>1429</v>
      </c>
      <c r="B4834" s="66">
        <f t="shared" si="9870"/>
        <v>23</v>
      </c>
      <c r="C4834" s="66">
        <f t="shared" si="9873"/>
        <v>75</v>
      </c>
      <c r="E4834" s="66">
        <f t="shared" ref="E4834" si="9904">plan_id</f>
        <v>1952</v>
      </c>
      <c r="F4834" s="66">
        <f t="shared" ca="1" si="9836"/>
        <v>2021</v>
      </c>
      <c r="G4834" s="66">
        <f t="shared" ref="G4834" ca="1" si="9905">VLOOKUP(INDIRECT(CHAR(39)&amp;$A4834&amp;CHAR(39)&amp;"!r2c"&amp;$C4834,0),variables,2,0)</f>
        <v>9881</v>
      </c>
      <c r="H4834" s="71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67" t="s">
        <v>1429</v>
      </c>
      <c r="B4835" s="66">
        <f t="shared" si="9870"/>
        <v>23</v>
      </c>
      <c r="C4835" s="66">
        <f t="shared" si="9873"/>
        <v>76</v>
      </c>
      <c r="E4835" s="66">
        <f t="shared" ref="E4835" si="9906">plan_id</f>
        <v>1952</v>
      </c>
      <c r="F4835" s="66">
        <f t="shared" ca="1" si="9836"/>
        <v>2021</v>
      </c>
      <c r="G4835" s="66">
        <f t="shared" ref="G4835" ca="1" si="9907">VLOOKUP(INDIRECT(CHAR(39)&amp;$A4835&amp;CHAR(39)&amp;"!r2c"&amp;$C4835,0),variables,2,0)</f>
        <v>9908</v>
      </c>
      <c r="H4835" s="71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67" t="s">
        <v>1429</v>
      </c>
      <c r="B4836" s="66">
        <f t="shared" si="9870"/>
        <v>23</v>
      </c>
      <c r="C4836" s="66">
        <f t="shared" si="9873"/>
        <v>77</v>
      </c>
      <c r="E4836" s="66">
        <f t="shared" ref="E4836" si="9908">plan_id</f>
        <v>1952</v>
      </c>
      <c r="F4836" s="66">
        <f t="shared" ca="1" si="9836"/>
        <v>2021</v>
      </c>
      <c r="G4836" s="66">
        <f t="shared" ref="G4836" ca="1" si="9909">VLOOKUP(INDIRECT(CHAR(39)&amp;$A4836&amp;CHAR(39)&amp;"!r2c"&amp;$C4836,0),variables,2,0)</f>
        <v>9911</v>
      </c>
      <c r="H4836" s="71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67" t="s">
        <v>1429</v>
      </c>
      <c r="B4837" s="66">
        <f t="shared" si="9870"/>
        <v>23</v>
      </c>
      <c r="C4837" s="66">
        <f t="shared" si="9873"/>
        <v>78</v>
      </c>
      <c r="E4837" s="66">
        <f t="shared" ref="E4837" si="9910">plan_id</f>
        <v>1952</v>
      </c>
      <c r="F4837" s="66">
        <f t="shared" ca="1" si="9836"/>
        <v>2021</v>
      </c>
      <c r="G4837" s="66">
        <f t="shared" ref="G4837" ca="1" si="9911">VLOOKUP(INDIRECT(CHAR(39)&amp;$A4837&amp;CHAR(39)&amp;"!r2c"&amp;$C4837,0),variables,2,0)</f>
        <v>9663</v>
      </c>
      <c r="H4837" s="71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67" t="s">
        <v>1429</v>
      </c>
      <c r="B4838" s="66">
        <f t="shared" si="9870"/>
        <v>23</v>
      </c>
      <c r="C4838" s="66">
        <f t="shared" si="9873"/>
        <v>79</v>
      </c>
      <c r="E4838" s="66">
        <f t="shared" ref="E4838" si="9912">plan_id</f>
        <v>1952</v>
      </c>
      <c r="F4838" s="66">
        <f t="shared" ca="1" si="9836"/>
        <v>2021</v>
      </c>
      <c r="G4838" s="66">
        <f t="shared" ref="G4838" ca="1" si="9913">VLOOKUP(INDIRECT(CHAR(39)&amp;$A4838&amp;CHAR(39)&amp;"!r2c"&amp;$C4838,0),variables,2,0)</f>
        <v>9710</v>
      </c>
      <c r="H4838" s="71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67" t="s">
        <v>1429</v>
      </c>
      <c r="B4839" s="66">
        <f t="shared" si="9870"/>
        <v>23</v>
      </c>
      <c r="C4839" s="66">
        <f t="shared" si="9873"/>
        <v>80</v>
      </c>
      <c r="E4839" s="66">
        <f t="shared" ref="E4839" si="9914">plan_id</f>
        <v>1952</v>
      </c>
      <c r="F4839" s="66">
        <f t="shared" ca="1" si="9836"/>
        <v>2021</v>
      </c>
      <c r="G4839" s="66">
        <f t="shared" ref="G4839" ca="1" si="9915">VLOOKUP(INDIRECT(CHAR(39)&amp;$A4839&amp;CHAR(39)&amp;"!r2c"&amp;$C4839,0),variables,2,0)</f>
        <v>9758</v>
      </c>
      <c r="H4839" s="71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67" t="s">
        <v>1429</v>
      </c>
      <c r="B4840" s="66">
        <f t="shared" si="9870"/>
        <v>23</v>
      </c>
      <c r="C4840" s="66">
        <f t="shared" si="9873"/>
        <v>81</v>
      </c>
      <c r="E4840" s="66">
        <f t="shared" ref="E4840" si="9916">plan_id</f>
        <v>1952</v>
      </c>
      <c r="F4840" s="66">
        <f t="shared" ca="1" si="9836"/>
        <v>2021</v>
      </c>
      <c r="G4840" s="66">
        <f t="shared" ref="G4840" ca="1" si="9917">VLOOKUP(INDIRECT(CHAR(39)&amp;$A4840&amp;CHAR(39)&amp;"!r2c"&amp;$C4840,0),variables,2,0)</f>
        <v>9803</v>
      </c>
      <c r="H4840" s="71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67" t="s">
        <v>1429</v>
      </c>
      <c r="B4841" s="66">
        <f t="shared" si="9870"/>
        <v>23</v>
      </c>
      <c r="C4841" s="66">
        <f t="shared" si="9873"/>
        <v>82</v>
      </c>
      <c r="E4841" s="66">
        <f t="shared" ref="E4841" si="9918">plan_id</f>
        <v>1952</v>
      </c>
      <c r="F4841" s="66">
        <f t="shared" ca="1" si="9836"/>
        <v>2021</v>
      </c>
      <c r="G4841" s="66">
        <f t="shared" ref="G4841" ca="1" si="9919">VLOOKUP(INDIRECT(CHAR(39)&amp;$A4841&amp;CHAR(39)&amp;"!r2c"&amp;$C4841,0),variables,2,0)</f>
        <v>9857</v>
      </c>
      <c r="H4841" s="71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67" t="s">
        <v>1429</v>
      </c>
      <c r="B4842" s="66">
        <f t="shared" si="9870"/>
        <v>23</v>
      </c>
      <c r="C4842" s="66">
        <f t="shared" si="9873"/>
        <v>83</v>
      </c>
      <c r="E4842" s="66">
        <f t="shared" ref="E4842" si="9920">plan_id</f>
        <v>1952</v>
      </c>
      <c r="F4842" s="66">
        <f t="shared" ca="1" si="9836"/>
        <v>2021</v>
      </c>
      <c r="G4842" s="66">
        <f t="shared" ref="G4842" ca="1" si="9921">VLOOKUP(INDIRECT(CHAR(39)&amp;$A4842&amp;CHAR(39)&amp;"!r2c"&amp;$C4842,0),variables,2,0)</f>
        <v>9902</v>
      </c>
      <c r="H4842" s="71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67" t="s">
        <v>1429</v>
      </c>
      <c r="B4843" s="66">
        <f t="shared" si="9870"/>
        <v>23</v>
      </c>
      <c r="C4843" s="66">
        <f t="shared" si="9873"/>
        <v>84</v>
      </c>
      <c r="E4843" s="66">
        <f t="shared" ref="E4843" si="9922">plan_id</f>
        <v>1952</v>
      </c>
      <c r="F4843" s="66">
        <f t="shared" ca="1" si="9836"/>
        <v>2021</v>
      </c>
      <c r="G4843" s="66">
        <f t="shared" ref="G4843" ca="1" si="9923">VLOOKUP(INDIRECT(CHAR(39)&amp;$A4843&amp;CHAR(39)&amp;"!r2c"&amp;$C4843,0),variables,2,0)</f>
        <v>9926</v>
      </c>
      <c r="H4843" s="71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67" t="s">
        <v>1429</v>
      </c>
      <c r="B4844" s="66">
        <f t="shared" si="9870"/>
        <v>23</v>
      </c>
      <c r="C4844" s="66">
        <f t="shared" si="9873"/>
        <v>85</v>
      </c>
      <c r="E4844" s="66">
        <f t="shared" ref="E4844" si="9924">plan_id</f>
        <v>1952</v>
      </c>
      <c r="F4844" s="66">
        <f t="shared" ca="1" si="9836"/>
        <v>2021</v>
      </c>
      <c r="G4844" s="66">
        <f t="shared" ref="G4844" ca="1" si="9925">VLOOKUP(INDIRECT(CHAR(39)&amp;$A4844&amp;CHAR(39)&amp;"!r2c"&amp;$C4844,0),variables,2,0)</f>
        <v>9666</v>
      </c>
      <c r="H4844" s="71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67" t="s">
        <v>1429</v>
      </c>
      <c r="B4845" s="66">
        <f t="shared" si="9870"/>
        <v>23</v>
      </c>
      <c r="C4845" s="66">
        <f t="shared" si="9873"/>
        <v>86</v>
      </c>
      <c r="E4845" s="66">
        <f t="shared" ref="E4845" si="9926">plan_id</f>
        <v>1952</v>
      </c>
      <c r="F4845" s="66">
        <f t="shared" ca="1" si="9836"/>
        <v>2021</v>
      </c>
      <c r="G4845" s="66">
        <f t="shared" ref="G4845" ca="1" si="9927">VLOOKUP(INDIRECT(CHAR(39)&amp;$A4845&amp;CHAR(39)&amp;"!r2c"&amp;$C4845,0),variables,2,0)</f>
        <v>9827</v>
      </c>
      <c r="H4845" s="71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67" t="s">
        <v>1429</v>
      </c>
      <c r="B4846" s="66">
        <f t="shared" si="9870"/>
        <v>23</v>
      </c>
      <c r="C4846" s="66">
        <f t="shared" si="9873"/>
        <v>87</v>
      </c>
      <c r="E4846" s="66">
        <f t="shared" ref="E4846" si="9928">plan_id</f>
        <v>1952</v>
      </c>
      <c r="F4846" s="66">
        <f t="shared" ca="1" si="9836"/>
        <v>2021</v>
      </c>
      <c r="G4846" s="66">
        <f t="shared" ref="G4846" ca="1" si="9929">VLOOKUP(INDIRECT(CHAR(39)&amp;$A4846&amp;CHAR(39)&amp;"!r2c"&amp;$C4846,0),variables,2,0)</f>
        <v>9657</v>
      </c>
      <c r="H4846" s="71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67" t="s">
        <v>1429</v>
      </c>
      <c r="B4847" s="66">
        <f t="shared" si="9870"/>
        <v>23</v>
      </c>
      <c r="C4847" s="66">
        <f t="shared" si="9873"/>
        <v>88</v>
      </c>
      <c r="E4847" s="66">
        <f t="shared" ref="E4847" si="9930">plan_id</f>
        <v>1952</v>
      </c>
      <c r="F4847" s="66">
        <f t="shared" ca="1" si="9836"/>
        <v>2021</v>
      </c>
      <c r="G4847" s="66">
        <f t="shared" ref="G4847" ca="1" si="9931">VLOOKUP(INDIRECT(CHAR(39)&amp;$A4847&amp;CHAR(39)&amp;"!r2c"&amp;$C4847,0),variables,2,0)</f>
        <v>9834</v>
      </c>
      <c r="H4847" s="71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67" t="s">
        <v>1429</v>
      </c>
      <c r="B4848" s="66">
        <f t="shared" si="9870"/>
        <v>23</v>
      </c>
      <c r="C4848" s="66">
        <f t="shared" si="9873"/>
        <v>89</v>
      </c>
      <c r="E4848" s="66">
        <f t="shared" ref="E4848" si="9932">plan_id</f>
        <v>1952</v>
      </c>
      <c r="F4848" s="66">
        <f t="shared" ca="1" si="9836"/>
        <v>2021</v>
      </c>
      <c r="G4848" s="66">
        <f t="shared" ref="G4848" ca="1" si="9933">VLOOKUP(INDIRECT(CHAR(39)&amp;$A4848&amp;CHAR(39)&amp;"!r2c"&amp;$C4848,0),variables,2,0)</f>
        <v>9884</v>
      </c>
      <c r="H4848" s="71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67" t="s">
        <v>1429</v>
      </c>
      <c r="B4849" s="66">
        <f t="shared" si="9870"/>
        <v>23</v>
      </c>
      <c r="C4849" s="66">
        <f t="shared" si="9873"/>
        <v>90</v>
      </c>
      <c r="E4849" s="66">
        <f t="shared" ref="E4849" si="9934">plan_id</f>
        <v>1952</v>
      </c>
      <c r="F4849" s="66">
        <f t="shared" ca="1" si="9836"/>
        <v>2021</v>
      </c>
      <c r="G4849" s="66">
        <f t="shared" ref="G4849" ca="1" si="9935">VLOOKUP(INDIRECT(CHAR(39)&amp;$A4849&amp;CHAR(39)&amp;"!r2c"&amp;$C4849,0),variables,2,0)</f>
        <v>9672</v>
      </c>
      <c r="H4849" s="71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67"/>
      <c r="H4850" s="71"/>
    </row>
    <row r="4851" spans="1:8" x14ac:dyDescent="0.2">
      <c r="A4851" s="67"/>
      <c r="H4851" s="71"/>
    </row>
    <row r="4852" spans="1:8" x14ac:dyDescent="0.2">
      <c r="A4852" s="67"/>
      <c r="H4852" s="71"/>
    </row>
    <row r="4853" spans="1:8" x14ac:dyDescent="0.2">
      <c r="A4853" s="67"/>
      <c r="H4853" s="71"/>
    </row>
    <row r="4854" spans="1:8" x14ac:dyDescent="0.2">
      <c r="A4854" s="67"/>
      <c r="H4854" s="71"/>
    </row>
    <row r="4855" spans="1:8" x14ac:dyDescent="0.2">
      <c r="A4855" s="67"/>
      <c r="H4855" s="71"/>
    </row>
    <row r="4856" spans="1:8" x14ac:dyDescent="0.2">
      <c r="A4856" s="67"/>
      <c r="H4856" s="71"/>
    </row>
    <row r="4857" spans="1:8" x14ac:dyDescent="0.2">
      <c r="A4857" s="67"/>
      <c r="H4857" s="71"/>
    </row>
    <row r="4858" spans="1:8" x14ac:dyDescent="0.2">
      <c r="A4858" s="67"/>
      <c r="H4858" s="71"/>
    </row>
    <row r="4859" spans="1:8" x14ac:dyDescent="0.2">
      <c r="A4859" s="67"/>
      <c r="H4859" s="71"/>
    </row>
    <row r="4860" spans="1:8" x14ac:dyDescent="0.2">
      <c r="A4860" s="6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2022-04-29T11:07:05Z</dcterms:modified>
</cp:coreProperties>
</file>