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shrey\OneDrive\Desktop\Sign change updates\Ready to upload\"/>
    </mc:Choice>
  </mc:AlternateContent>
  <xr:revisionPtr revIDLastSave="0" documentId="13_ncr:1_{87F038EF-964A-48AA-AB78-517DE49CBBB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Comments" sheetId="4" r:id="rId4"/>
    <sheet name="Variable IDs" sheetId="5" r:id="rId5"/>
    <sheet name="Database Input" sheetId="6" r:id="rId6"/>
  </sheets>
  <definedNames>
    <definedName name="_xlnm._FilterDatabase" localSheetId="5" hidden="1">'Database Input'!$H$1:$H$2635</definedName>
    <definedName name="plan_id">'Database Input'!$B$1</definedName>
    <definedName name="variables">'Variable IDs'!$A$2:$B$207</definedName>
  </definedNames>
  <calcPr calcId="191029"/>
  <extLst>
    <ext uri="GoogleSheetsCustomDataVersion1">
      <go:sheetsCustomData xmlns:go="http://customooxmlschemas.google.com/" r:id="rId10" roundtripDataSignature="AMtx7mgVRXSrno+SkFYHQMFrvr0RJweHpg=="/>
    </ext>
  </extLst>
</workbook>
</file>

<file path=xl/calcChain.xml><?xml version="1.0" encoding="utf-8"?>
<calcChain xmlns="http://schemas.openxmlformats.org/spreadsheetml/2006/main">
  <c r="E2635" i="6" l="1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B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B2151" i="6"/>
  <c r="E2150" i="6"/>
  <c r="C2150" i="6"/>
  <c r="C2177" i="6" s="1"/>
  <c r="B2150" i="6"/>
  <c r="B2177" i="6" s="1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C2124" i="6"/>
  <c r="C2125" i="6" s="1"/>
  <c r="C2126" i="6" s="1"/>
  <c r="B2124" i="6"/>
  <c r="B2125" i="6" s="1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C485" i="6"/>
  <c r="C576" i="6" s="1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C396" i="6"/>
  <c r="C487" i="6" s="1"/>
  <c r="E395" i="6"/>
  <c r="C395" i="6"/>
  <c r="C486" i="6" s="1"/>
  <c r="B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C134" i="6"/>
  <c r="B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C71" i="6"/>
  <c r="C136" i="6" s="1"/>
  <c r="E70" i="6"/>
  <c r="C70" i="6"/>
  <c r="C135" i="6" s="1"/>
  <c r="B70" i="6"/>
  <c r="B135" i="6" s="1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B6" i="6"/>
  <c r="E5" i="6"/>
  <c r="C5" i="6"/>
  <c r="C6" i="6" s="1"/>
  <c r="B5" i="6"/>
  <c r="E4" i="6"/>
  <c r="AC21" i="3"/>
  <c r="AA21" i="3"/>
  <c r="Z21" i="3"/>
  <c r="Y21" i="3"/>
  <c r="U21" i="3"/>
  <c r="T21" i="3"/>
  <c r="R21" i="3"/>
  <c r="J21" i="3"/>
  <c r="L21" i="3" s="1"/>
  <c r="I21" i="3"/>
  <c r="K21" i="3" s="1"/>
  <c r="AC20" i="3"/>
  <c r="AB20" i="3"/>
  <c r="AA20" i="3"/>
  <c r="Z20" i="3"/>
  <c r="Y20" i="3"/>
  <c r="X20" i="3"/>
  <c r="T20" i="3"/>
  <c r="Q20" i="3"/>
  <c r="O20" i="3"/>
  <c r="N20" i="3"/>
  <c r="U20" i="3" s="1"/>
  <c r="M20" i="3"/>
  <c r="J20" i="3"/>
  <c r="L20" i="3" s="1"/>
  <c r="I20" i="3"/>
  <c r="K20" i="3" s="1"/>
  <c r="AC19" i="3"/>
  <c r="AB19" i="3"/>
  <c r="AA19" i="3"/>
  <c r="Z19" i="3"/>
  <c r="Y19" i="3"/>
  <c r="X19" i="3"/>
  <c r="T19" i="3"/>
  <c r="U19" i="3" s="1"/>
  <c r="Q19" i="3"/>
  <c r="O19" i="3"/>
  <c r="N19" i="3"/>
  <c r="M19" i="3"/>
  <c r="J19" i="3"/>
  <c r="L19" i="3" s="1"/>
  <c r="I19" i="3"/>
  <c r="K19" i="3" s="1"/>
  <c r="AC18" i="3"/>
  <c r="AB18" i="3"/>
  <c r="AA18" i="3"/>
  <c r="Z18" i="3"/>
  <c r="Y18" i="3"/>
  <c r="X18" i="3"/>
  <c r="U18" i="3"/>
  <c r="T18" i="3"/>
  <c r="Q18" i="3"/>
  <c r="O18" i="3"/>
  <c r="N18" i="3"/>
  <c r="M18" i="3"/>
  <c r="J18" i="3"/>
  <c r="L18" i="3" s="1"/>
  <c r="I18" i="3"/>
  <c r="K18" i="3" s="1"/>
  <c r="AC17" i="3"/>
  <c r="AA17" i="3"/>
  <c r="Z17" i="3"/>
  <c r="Y17" i="3"/>
  <c r="X17" i="3"/>
  <c r="T17" i="3"/>
  <c r="U17" i="3" s="1"/>
  <c r="Q17" i="3"/>
  <c r="O17" i="3"/>
  <c r="N17" i="3"/>
  <c r="M17" i="3"/>
  <c r="J17" i="3"/>
  <c r="L17" i="3" s="1"/>
  <c r="I17" i="3"/>
  <c r="K17" i="3" s="1"/>
  <c r="AC16" i="3"/>
  <c r="AA16" i="3"/>
  <c r="Z16" i="3"/>
  <c r="Y16" i="3"/>
  <c r="X16" i="3"/>
  <c r="T16" i="3"/>
  <c r="U16" i="3" s="1"/>
  <c r="Q16" i="3"/>
  <c r="O16" i="3"/>
  <c r="N16" i="3"/>
  <c r="M16" i="3"/>
  <c r="J16" i="3"/>
  <c r="L16" i="3" s="1"/>
  <c r="I16" i="3"/>
  <c r="K16" i="3" s="1"/>
  <c r="AC15" i="3"/>
  <c r="AB15" i="3"/>
  <c r="AA15" i="3"/>
  <c r="Z15" i="3"/>
  <c r="Y15" i="3"/>
  <c r="X15" i="3"/>
  <c r="T15" i="3"/>
  <c r="U15" i="3" s="1"/>
  <c r="Q15" i="3"/>
  <c r="O15" i="3"/>
  <c r="N15" i="3"/>
  <c r="M15" i="3"/>
  <c r="D15" i="3"/>
  <c r="AC14" i="3"/>
  <c r="AB14" i="3"/>
  <c r="AA14" i="3"/>
  <c r="Z14" i="3"/>
  <c r="Y14" i="3"/>
  <c r="X14" i="3"/>
  <c r="T14" i="3"/>
  <c r="U14" i="3" s="1"/>
  <c r="Q14" i="3"/>
  <c r="O14" i="3"/>
  <c r="N14" i="3"/>
  <c r="M14" i="3"/>
  <c r="E14" i="3"/>
  <c r="H14" i="3" s="1"/>
  <c r="D14" i="3"/>
  <c r="S14" i="3" s="1"/>
  <c r="AC13" i="3"/>
  <c r="AB13" i="3"/>
  <c r="AA13" i="3"/>
  <c r="Z13" i="3"/>
  <c r="Y13" i="3"/>
  <c r="X13" i="3"/>
  <c r="U13" i="3"/>
  <c r="T13" i="3"/>
  <c r="Q13" i="3"/>
  <c r="O13" i="3"/>
  <c r="N13" i="3"/>
  <c r="M13" i="3"/>
  <c r="D13" i="3"/>
  <c r="E13" i="3" s="1"/>
  <c r="AC12" i="3"/>
  <c r="AB12" i="3"/>
  <c r="AA12" i="3"/>
  <c r="Z12" i="3"/>
  <c r="Y12" i="3"/>
  <c r="X12" i="3"/>
  <c r="T12" i="3"/>
  <c r="U12" i="3" s="1"/>
  <c r="Q12" i="3"/>
  <c r="O12" i="3"/>
  <c r="N12" i="3"/>
  <c r="M12" i="3"/>
  <c r="D12" i="3"/>
  <c r="AC11" i="3"/>
  <c r="AB11" i="3"/>
  <c r="AA11" i="3"/>
  <c r="Z11" i="3"/>
  <c r="Y11" i="3"/>
  <c r="X11" i="3"/>
  <c r="T11" i="3"/>
  <c r="U11" i="3" s="1"/>
  <c r="Q11" i="3"/>
  <c r="O11" i="3"/>
  <c r="N11" i="3"/>
  <c r="M11" i="3"/>
  <c r="D11" i="3"/>
  <c r="AC10" i="3"/>
  <c r="AB10" i="3"/>
  <c r="AA10" i="3"/>
  <c r="Z10" i="3"/>
  <c r="Y10" i="3"/>
  <c r="X10" i="3"/>
  <c r="T10" i="3"/>
  <c r="U10" i="3" s="1"/>
  <c r="Q10" i="3"/>
  <c r="O10" i="3"/>
  <c r="N10" i="3"/>
  <c r="M10" i="3"/>
  <c r="D10" i="3"/>
  <c r="AC9" i="3"/>
  <c r="AA9" i="3"/>
  <c r="Z9" i="3"/>
  <c r="Y9" i="3"/>
  <c r="X9" i="3"/>
  <c r="T9" i="3"/>
  <c r="U9" i="3" s="1"/>
  <c r="Q9" i="3"/>
  <c r="O9" i="3"/>
  <c r="N9" i="3"/>
  <c r="M9" i="3"/>
  <c r="D9" i="3"/>
  <c r="AC8" i="3"/>
  <c r="AB8" i="3"/>
  <c r="AA8" i="3"/>
  <c r="Z8" i="3"/>
  <c r="Y8" i="3"/>
  <c r="X8" i="3"/>
  <c r="T8" i="3"/>
  <c r="U8" i="3" s="1"/>
  <c r="Q8" i="3"/>
  <c r="O8" i="3"/>
  <c r="N8" i="3"/>
  <c r="M8" i="3"/>
  <c r="D8" i="3"/>
  <c r="E8" i="3" s="1"/>
  <c r="H8" i="3" s="1"/>
  <c r="AC7" i="3"/>
  <c r="AB7" i="3"/>
  <c r="AA7" i="3"/>
  <c r="Z7" i="3"/>
  <c r="Y7" i="3"/>
  <c r="X7" i="3"/>
  <c r="T7" i="3"/>
  <c r="U7" i="3" s="1"/>
  <c r="S7" i="3"/>
  <c r="Q7" i="3"/>
  <c r="O7" i="3"/>
  <c r="N7" i="3"/>
  <c r="M7" i="3"/>
  <c r="D7" i="3"/>
  <c r="AC6" i="3"/>
  <c r="AA6" i="3"/>
  <c r="Z6" i="3"/>
  <c r="Y6" i="3"/>
  <c r="X6" i="3"/>
  <c r="U6" i="3"/>
  <c r="T6" i="3"/>
  <c r="S6" i="3"/>
  <c r="D6" i="3"/>
  <c r="X5" i="3"/>
  <c r="U5" i="3"/>
  <c r="S5" i="3"/>
  <c r="X4" i="3"/>
  <c r="U4" i="3"/>
  <c r="S4" i="3"/>
  <c r="X3" i="3"/>
  <c r="U3" i="3"/>
  <c r="S3" i="3"/>
  <c r="B27" i="2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C22" i="2"/>
  <c r="AK22" i="2"/>
  <c r="BC21" i="2"/>
  <c r="AK21" i="2"/>
  <c r="BC20" i="2"/>
  <c r="AK20" i="2"/>
  <c r="BC19" i="2"/>
  <c r="AK19" i="2"/>
  <c r="BC18" i="2"/>
  <c r="AK18" i="2"/>
  <c r="BC17" i="2"/>
  <c r="AK17" i="2"/>
  <c r="BC16" i="2"/>
  <c r="AK16" i="2"/>
  <c r="BC15" i="2"/>
  <c r="AK15" i="2"/>
  <c r="BC14" i="2"/>
  <c r="AK14" i="2"/>
  <c r="BC13" i="2"/>
  <c r="AK13" i="2"/>
  <c r="BC12" i="2"/>
  <c r="AK12" i="2"/>
  <c r="BE11" i="2"/>
  <c r="BC11" i="2"/>
  <c r="AK11" i="2"/>
  <c r="BE10" i="2"/>
  <c r="BC10" i="2"/>
  <c r="AK10" i="2"/>
  <c r="BC9" i="2"/>
  <c r="AK9" i="2"/>
  <c r="BC8" i="2"/>
  <c r="AK8" i="2"/>
  <c r="BC7" i="2"/>
  <c r="AK7" i="2"/>
  <c r="BC6" i="2"/>
  <c r="AK6" i="2"/>
  <c r="BC5" i="2"/>
  <c r="AK5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AK4" i="2"/>
  <c r="O17" i="1"/>
  <c r="D17" i="1"/>
  <c r="O16" i="1"/>
  <c r="D16" i="1"/>
  <c r="O15" i="1"/>
  <c r="D15" i="1"/>
  <c r="O14" i="1"/>
  <c r="D14" i="1"/>
  <c r="B14" i="1"/>
  <c r="B15" i="1" s="1"/>
  <c r="B16" i="1" s="1"/>
  <c r="O13" i="1"/>
  <c r="D13" i="1"/>
  <c r="B13" i="1"/>
  <c r="BO8" i="1"/>
  <c r="BN8" i="1"/>
  <c r="BL8" i="1"/>
  <c r="BK8" i="1"/>
  <c r="BJ8" i="1"/>
  <c r="BH8" i="1"/>
  <c r="BG8" i="1"/>
  <c r="BF8" i="1"/>
  <c r="BE8" i="1"/>
  <c r="BC8" i="1"/>
  <c r="BA8" i="1"/>
  <c r="AZ8" i="1"/>
  <c r="AY8" i="1"/>
  <c r="AW8" i="1"/>
  <c r="AV8" i="1"/>
  <c r="AU8" i="1"/>
  <c r="AM8" i="1"/>
  <c r="AJ8" i="1"/>
  <c r="AF8" i="1"/>
  <c r="AE8" i="1"/>
  <c r="AD8" i="1"/>
  <c r="AC8" i="1"/>
  <c r="AB8" i="1"/>
  <c r="AA8" i="1"/>
  <c r="U8" i="1"/>
  <c r="Y8" i="1" s="1"/>
  <c r="S8" i="1"/>
  <c r="R8" i="1"/>
  <c r="Q8" i="1"/>
  <c r="O8" i="1"/>
  <c r="J8" i="1"/>
  <c r="I8" i="1"/>
  <c r="G8" i="1"/>
  <c r="D8" i="1"/>
  <c r="BO7" i="1"/>
  <c r="BN7" i="1"/>
  <c r="BL7" i="1"/>
  <c r="BK7" i="1"/>
  <c r="BH7" i="1"/>
  <c r="BJ7" i="1" s="1"/>
  <c r="BG7" i="1"/>
  <c r="BF7" i="1"/>
  <c r="BE7" i="1"/>
  <c r="BD7" i="1"/>
  <c r="BC7" i="1"/>
  <c r="BA7" i="1"/>
  <c r="AZ7" i="1"/>
  <c r="AY7" i="1"/>
  <c r="AW7" i="1"/>
  <c r="AV7" i="1"/>
  <c r="AU7" i="1"/>
  <c r="AM7" i="1"/>
  <c r="AJ7" i="1"/>
  <c r="AF7" i="1"/>
  <c r="AE7" i="1"/>
  <c r="AB7" i="1"/>
  <c r="AD7" i="1" s="1"/>
  <c r="AA7" i="1"/>
  <c r="Y7" i="1" s="1"/>
  <c r="Z7" i="1"/>
  <c r="U7" i="1"/>
  <c r="S7" i="1"/>
  <c r="R7" i="1"/>
  <c r="Q7" i="1"/>
  <c r="O7" i="1"/>
  <c r="J7" i="1"/>
  <c r="I7" i="1"/>
  <c r="G7" i="1"/>
  <c r="D7" i="1"/>
  <c r="BO6" i="1"/>
  <c r="BN6" i="1"/>
  <c r="BL6" i="1"/>
  <c r="BK6" i="1"/>
  <c r="BJ6" i="1"/>
  <c r="BH6" i="1"/>
  <c r="BG6" i="1"/>
  <c r="BF6" i="1"/>
  <c r="BE6" i="1"/>
  <c r="BD6" i="1"/>
  <c r="BC6" i="1"/>
  <c r="BB6" i="1"/>
  <c r="BA6" i="1"/>
  <c r="AZ6" i="1"/>
  <c r="AY6" i="1"/>
  <c r="AW6" i="1"/>
  <c r="AV6" i="1"/>
  <c r="AU6" i="1"/>
  <c r="AM6" i="1"/>
  <c r="AJ6" i="1"/>
  <c r="AG6" i="1"/>
  <c r="AF6" i="1"/>
  <c r="AE6" i="1"/>
  <c r="AB6" i="1"/>
  <c r="AD6" i="1" s="1"/>
  <c r="AA6" i="1"/>
  <c r="AC6" i="1" s="1"/>
  <c r="Z6" i="1"/>
  <c r="Y6" i="1"/>
  <c r="U6" i="1"/>
  <c r="S6" i="1"/>
  <c r="R6" i="1"/>
  <c r="Q6" i="1"/>
  <c r="O6" i="1"/>
  <c r="J6" i="1"/>
  <c r="I6" i="1"/>
  <c r="G6" i="1"/>
  <c r="D6" i="1"/>
  <c r="BO5" i="1"/>
  <c r="BN5" i="1"/>
  <c r="BL5" i="1"/>
  <c r="BK5" i="1"/>
  <c r="BH5" i="1"/>
  <c r="BJ5" i="1" s="1"/>
  <c r="BG5" i="1"/>
  <c r="BF5" i="1"/>
  <c r="BE5" i="1"/>
  <c r="BD5" i="1"/>
  <c r="BC5" i="1"/>
  <c r="BB5" i="1"/>
  <c r="BA5" i="1"/>
  <c r="AZ5" i="1"/>
  <c r="AY5" i="1"/>
  <c r="AW5" i="1"/>
  <c r="AV5" i="1"/>
  <c r="AU5" i="1"/>
  <c r="AM5" i="1"/>
  <c r="AJ5" i="1"/>
  <c r="AG5" i="1"/>
  <c r="AF5" i="1"/>
  <c r="AE5" i="1"/>
  <c r="AB5" i="1"/>
  <c r="AD5" i="1" s="1"/>
  <c r="AA5" i="1"/>
  <c r="AC5" i="1" s="1"/>
  <c r="U5" i="1"/>
  <c r="Z5" i="1" s="1"/>
  <c r="S5" i="1"/>
  <c r="R5" i="1"/>
  <c r="Q5" i="1"/>
  <c r="O5" i="1"/>
  <c r="J5" i="1"/>
  <c r="I5" i="1"/>
  <c r="G5" i="1"/>
  <c r="D5" i="1"/>
  <c r="BO4" i="1"/>
  <c r="BN4" i="1"/>
  <c r="BL4" i="1"/>
  <c r="BK4" i="1"/>
  <c r="BH4" i="1"/>
  <c r="BJ4" i="1" s="1"/>
  <c r="BG4" i="1"/>
  <c r="BF4" i="1"/>
  <c r="BE4" i="1"/>
  <c r="BD4" i="1"/>
  <c r="BC4" i="1"/>
  <c r="BB4" i="1"/>
  <c r="BA4" i="1"/>
  <c r="AZ4" i="1"/>
  <c r="AY4" i="1"/>
  <c r="AW4" i="1"/>
  <c r="AV4" i="1"/>
  <c r="AU4" i="1"/>
  <c r="AM4" i="1"/>
  <c r="AJ4" i="1"/>
  <c r="AG4" i="1"/>
  <c r="AF4" i="1"/>
  <c r="AE4" i="1"/>
  <c r="AB4" i="1"/>
  <c r="AA4" i="1"/>
  <c r="AD4" i="1" s="1"/>
  <c r="U4" i="1"/>
  <c r="Z4" i="1" s="1"/>
  <c r="S4" i="1"/>
  <c r="R4" i="1"/>
  <c r="Q4" i="1"/>
  <c r="O4" i="1"/>
  <c r="J4" i="1"/>
  <c r="I4" i="1"/>
  <c r="G4" i="1"/>
  <c r="B4" i="1"/>
  <c r="B5" i="1" s="1"/>
  <c r="B6" i="1" s="1"/>
  <c r="B7" i="1" s="1"/>
  <c r="BO3" i="1"/>
  <c r="BN3" i="1"/>
  <c r="BL3" i="1"/>
  <c r="BK3" i="1"/>
  <c r="BH3" i="1"/>
  <c r="BJ3" i="1" s="1"/>
  <c r="BG3" i="1"/>
  <c r="BF3" i="1"/>
  <c r="BE3" i="1"/>
  <c r="BA3" i="1"/>
  <c r="AZ3" i="1"/>
  <c r="AY3" i="1"/>
  <c r="AW3" i="1"/>
  <c r="AV3" i="1"/>
  <c r="AU3" i="1"/>
  <c r="AM3" i="1"/>
  <c r="AJ3" i="1"/>
  <c r="AF3" i="1"/>
  <c r="AE3" i="1"/>
  <c r="AB3" i="1"/>
  <c r="AD3" i="1" s="1"/>
  <c r="AA3" i="1"/>
  <c r="AC3" i="1" s="1"/>
  <c r="Z3" i="1"/>
  <c r="Y3" i="1"/>
  <c r="U3" i="1"/>
  <c r="S3" i="1"/>
  <c r="R3" i="1"/>
  <c r="Q3" i="1"/>
  <c r="J3" i="1"/>
  <c r="I3" i="1"/>
  <c r="G3" i="1"/>
  <c r="G134" i="6"/>
  <c r="G2177" i="6"/>
  <c r="G136" i="6"/>
  <c r="F2151" i="6"/>
  <c r="F135" i="6"/>
  <c r="G5" i="6"/>
  <c r="G2150" i="6"/>
  <c r="G4" i="6"/>
  <c r="G2126" i="6"/>
  <c r="F2123" i="6"/>
  <c r="G395" i="6"/>
  <c r="G485" i="6"/>
  <c r="F6" i="6"/>
  <c r="F69" i="6"/>
  <c r="G394" i="6"/>
  <c r="F2177" i="6"/>
  <c r="F395" i="6"/>
  <c r="F2124" i="6"/>
  <c r="F4" i="6"/>
  <c r="F134" i="6"/>
  <c r="G69" i="6"/>
  <c r="F5" i="6"/>
  <c r="F394" i="6"/>
  <c r="G2123" i="6"/>
  <c r="C7" i="6" l="1"/>
  <c r="F15" i="3"/>
  <c r="F6" i="3"/>
  <c r="F7" i="3"/>
  <c r="H13" i="3"/>
  <c r="F13" i="3"/>
  <c r="S15" i="3"/>
  <c r="B71" i="6"/>
  <c r="C72" i="6"/>
  <c r="F14" i="3"/>
  <c r="E15" i="3"/>
  <c r="H15" i="3" s="1"/>
  <c r="R16" i="3"/>
  <c r="R17" i="3"/>
  <c r="R18" i="3"/>
  <c r="Y4" i="1"/>
  <c r="E7" i="3"/>
  <c r="H7" i="3" s="1"/>
  <c r="S8" i="3"/>
  <c r="R19" i="3"/>
  <c r="B7" i="6"/>
  <c r="C200" i="6"/>
  <c r="B200" i="6"/>
  <c r="Y5" i="1"/>
  <c r="S9" i="3"/>
  <c r="S10" i="3"/>
  <c r="R20" i="3"/>
  <c r="Z8" i="1"/>
  <c r="F8" i="3"/>
  <c r="E9" i="3"/>
  <c r="H9" i="3" s="1"/>
  <c r="E10" i="3"/>
  <c r="H10" i="3" s="1"/>
  <c r="S11" i="3"/>
  <c r="AC7" i="1"/>
  <c r="E11" i="3"/>
  <c r="H11" i="3" s="1"/>
  <c r="S12" i="3"/>
  <c r="C201" i="6"/>
  <c r="AC4" i="1"/>
  <c r="E6" i="3"/>
  <c r="H6" i="3" s="1"/>
  <c r="E12" i="3"/>
  <c r="H12" i="3" s="1"/>
  <c r="S13" i="3"/>
  <c r="B199" i="6"/>
  <c r="C667" i="6"/>
  <c r="C199" i="6"/>
  <c r="B396" i="6"/>
  <c r="C397" i="6"/>
  <c r="C578" i="6"/>
  <c r="C577" i="6"/>
  <c r="B2152" i="6"/>
  <c r="B2126" i="6"/>
  <c r="C2151" i="6"/>
  <c r="B2204" i="6"/>
  <c r="B2205" i="6"/>
  <c r="C2204" i="6"/>
  <c r="C2127" i="6"/>
  <c r="C2153" i="6"/>
  <c r="C2152" i="6"/>
  <c r="G576" i="6"/>
  <c r="G135" i="6"/>
  <c r="H394" i="6" a="1"/>
  <c r="H2150" i="6" a="1"/>
  <c r="H69" i="6" a="1"/>
  <c r="H2123" i="6" a="1"/>
  <c r="F2150" i="6"/>
  <c r="G486" i="6"/>
  <c r="H2177" i="6" a="1"/>
  <c r="G2124" i="6"/>
  <c r="G396" i="6"/>
  <c r="H5" i="6" a="1"/>
  <c r="G71" i="6"/>
  <c r="H395" i="6" a="1"/>
  <c r="H134" i="6" a="1"/>
  <c r="G487" i="6"/>
  <c r="F2125" i="6"/>
  <c r="G2125" i="6"/>
  <c r="F2178" i="6"/>
  <c r="G6" i="6"/>
  <c r="G70" i="6"/>
  <c r="H4" i="6" a="1"/>
  <c r="F70" i="6"/>
  <c r="H395" i="6" l="1"/>
  <c r="H394" i="6"/>
  <c r="H69" i="6"/>
  <c r="H2123" i="6"/>
  <c r="H134" i="6"/>
  <c r="H2150" i="6"/>
  <c r="H2177" i="6"/>
  <c r="H4" i="6"/>
  <c r="H5" i="6"/>
  <c r="C266" i="6"/>
  <c r="C265" i="6"/>
  <c r="C668" i="6"/>
  <c r="F11" i="3"/>
  <c r="F9" i="3"/>
  <c r="C2128" i="6"/>
  <c r="C2154" i="6"/>
  <c r="B2179" i="6"/>
  <c r="B265" i="6"/>
  <c r="C758" i="6"/>
  <c r="B2231" i="6"/>
  <c r="B264" i="6"/>
  <c r="B8" i="6"/>
  <c r="B2153" i="6"/>
  <c r="B2127" i="6"/>
  <c r="C264" i="6"/>
  <c r="C8" i="6"/>
  <c r="B2232" i="6"/>
  <c r="C73" i="6"/>
  <c r="C137" i="6"/>
  <c r="F12" i="3"/>
  <c r="B397" i="6"/>
  <c r="C2231" i="6"/>
  <c r="C2179" i="6"/>
  <c r="C669" i="6"/>
  <c r="C2180" i="6"/>
  <c r="C2178" i="6"/>
  <c r="C488" i="6"/>
  <c r="C398" i="6"/>
  <c r="B72" i="6"/>
  <c r="B136" i="6"/>
  <c r="F10" i="3"/>
  <c r="H70" i="6" a="1"/>
  <c r="G72" i="6"/>
  <c r="G397" i="6"/>
  <c r="H2126" i="6" a="1"/>
  <c r="H6" i="6" a="1"/>
  <c r="F2152" i="6"/>
  <c r="F2205" i="6"/>
  <c r="F200" i="6"/>
  <c r="H396" i="6" a="1"/>
  <c r="H135" i="6" a="1"/>
  <c r="F396" i="6"/>
  <c r="H2125" i="6" a="1"/>
  <c r="G7" i="6"/>
  <c r="H2124" i="6" a="1"/>
  <c r="F2126" i="6"/>
  <c r="F7" i="6"/>
  <c r="G578" i="6"/>
  <c r="G2127" i="6"/>
  <c r="G200" i="6"/>
  <c r="G201" i="6"/>
  <c r="G2151" i="6"/>
  <c r="G2153" i="6"/>
  <c r="F199" i="6"/>
  <c r="F2204" i="6"/>
  <c r="G667" i="6"/>
  <c r="G2152" i="6"/>
  <c r="F71" i="6"/>
  <c r="H71" i="6" a="1"/>
  <c r="G199" i="6"/>
  <c r="G577" i="6"/>
  <c r="G2204" i="6"/>
  <c r="H71" i="6" l="1"/>
  <c r="H135" i="6"/>
  <c r="H2125" i="6"/>
  <c r="H2124" i="6"/>
  <c r="H6" i="6"/>
  <c r="H396" i="6"/>
  <c r="H70" i="6"/>
  <c r="H2126" i="6"/>
  <c r="C2207" i="6"/>
  <c r="B329" i="6"/>
  <c r="B2206" i="6"/>
  <c r="C759" i="6"/>
  <c r="C330" i="6"/>
  <c r="B73" i="6"/>
  <c r="B137" i="6"/>
  <c r="C489" i="6"/>
  <c r="C399" i="6"/>
  <c r="C760" i="6"/>
  <c r="C2181" i="6"/>
  <c r="C2206" i="6"/>
  <c r="C202" i="6"/>
  <c r="B2154" i="6"/>
  <c r="B2128" i="6"/>
  <c r="B2258" i="6"/>
  <c r="C2129" i="6"/>
  <c r="C2155" i="6"/>
  <c r="C331" i="6"/>
  <c r="C329" i="6"/>
  <c r="C849" i="6"/>
  <c r="C138" i="6"/>
  <c r="C74" i="6"/>
  <c r="B2180" i="6"/>
  <c r="C2258" i="6"/>
  <c r="B9" i="6"/>
  <c r="B330" i="6"/>
  <c r="C579" i="6"/>
  <c r="C2205" i="6"/>
  <c r="B2259" i="6"/>
  <c r="B201" i="6"/>
  <c r="B398" i="6"/>
  <c r="C9" i="6"/>
  <c r="F2232" i="6"/>
  <c r="H397" i="6" a="1"/>
  <c r="G266" i="6"/>
  <c r="H2152" i="6" a="1"/>
  <c r="G2180" i="6"/>
  <c r="F397" i="6"/>
  <c r="G758" i="6"/>
  <c r="H200" i="6" a="1"/>
  <c r="H2153" i="6" a="1"/>
  <c r="G2154" i="6"/>
  <c r="G668" i="6"/>
  <c r="G2178" i="6"/>
  <c r="G8" i="6"/>
  <c r="G488" i="6"/>
  <c r="F72" i="6"/>
  <c r="F265" i="6"/>
  <c r="H136" i="6" a="1"/>
  <c r="H72" i="6" a="1"/>
  <c r="G73" i="6"/>
  <c r="F2127" i="6"/>
  <c r="G265" i="6"/>
  <c r="G2231" i="6"/>
  <c r="G2128" i="6"/>
  <c r="F2153" i="6"/>
  <c r="G329" i="6"/>
  <c r="F136" i="6"/>
  <c r="F330" i="6"/>
  <c r="F2231" i="6"/>
  <c r="G669" i="6"/>
  <c r="G2179" i="6"/>
  <c r="H199" i="6" a="1"/>
  <c r="G331" i="6"/>
  <c r="H2151" i="6" a="1"/>
  <c r="F2179" i="6"/>
  <c r="F264" i="6"/>
  <c r="F329" i="6"/>
  <c r="G264" i="6"/>
  <c r="G330" i="6"/>
  <c r="H2204" i="6" a="1"/>
  <c r="G137" i="6"/>
  <c r="F8" i="6"/>
  <c r="H2127" i="6" a="1"/>
  <c r="H7" i="6" a="1"/>
  <c r="G398" i="6"/>
  <c r="H397" i="6" l="1"/>
  <c r="H199" i="6"/>
  <c r="H2153" i="6"/>
  <c r="H72" i="6"/>
  <c r="H2151" i="6"/>
  <c r="H2152" i="6"/>
  <c r="H2204" i="6"/>
  <c r="H2127" i="6"/>
  <c r="H200" i="6"/>
  <c r="H136" i="6"/>
  <c r="H7" i="6"/>
  <c r="B2181" i="6"/>
  <c r="C2182" i="6"/>
  <c r="B2286" i="6"/>
  <c r="B10" i="6"/>
  <c r="C203" i="6"/>
  <c r="C2130" i="6"/>
  <c r="C2156" i="6"/>
  <c r="C850" i="6"/>
  <c r="B266" i="6"/>
  <c r="C139" i="6"/>
  <c r="C75" i="6"/>
  <c r="C490" i="6"/>
  <c r="C400" i="6"/>
  <c r="C2233" i="6"/>
  <c r="C580" i="6"/>
  <c r="B2207" i="6"/>
  <c r="C2234" i="6"/>
  <c r="C10" i="6"/>
  <c r="C2232" i="6"/>
  <c r="C940" i="6"/>
  <c r="B2233" i="6"/>
  <c r="B399" i="6"/>
  <c r="B2285" i="6"/>
  <c r="C670" i="6"/>
  <c r="C851" i="6"/>
  <c r="C267" i="6"/>
  <c r="C2285" i="6"/>
  <c r="B202" i="6"/>
  <c r="B2129" i="6"/>
  <c r="B2155" i="6"/>
  <c r="C2208" i="6"/>
  <c r="B138" i="6"/>
  <c r="B74" i="6"/>
  <c r="F2206" i="6"/>
  <c r="G579" i="6"/>
  <c r="F137" i="6"/>
  <c r="F2154" i="6"/>
  <c r="G202" i="6"/>
  <c r="H2180" i="6" a="1"/>
  <c r="F201" i="6"/>
  <c r="F2258" i="6"/>
  <c r="H2179" i="6" a="1"/>
  <c r="F2180" i="6"/>
  <c r="F2128" i="6"/>
  <c r="F9" i="6"/>
  <c r="G74" i="6"/>
  <c r="H330" i="6" a="1"/>
  <c r="G2207" i="6"/>
  <c r="F398" i="6"/>
  <c r="F2259" i="6"/>
  <c r="G2155" i="6"/>
  <c r="G399" i="6"/>
  <c r="H265" i="6" a="1"/>
  <c r="G9" i="6"/>
  <c r="H264" i="6" a="1"/>
  <c r="G2181" i="6"/>
  <c r="H2178" i="6" a="1"/>
  <c r="H2154" i="6" a="1"/>
  <c r="H73" i="6" a="1"/>
  <c r="H8" i="6" a="1"/>
  <c r="G2206" i="6"/>
  <c r="F73" i="6"/>
  <c r="G138" i="6"/>
  <c r="G759" i="6"/>
  <c r="G849" i="6"/>
  <c r="G760" i="6"/>
  <c r="G2129" i="6"/>
  <c r="G489" i="6"/>
  <c r="H398" i="6" a="1"/>
  <c r="H201" i="6" a="1"/>
  <c r="H2231" i="6" a="1"/>
  <c r="H329" i="6" a="1"/>
  <c r="G2205" i="6"/>
  <c r="H137" i="6" a="1"/>
  <c r="H2128" i="6" a="1"/>
  <c r="G2258" i="6"/>
  <c r="H73" i="6" l="1"/>
  <c r="H398" i="6"/>
  <c r="H2180" i="6"/>
  <c r="H2154" i="6"/>
  <c r="H137" i="6"/>
  <c r="H2231" i="6"/>
  <c r="H264" i="6"/>
  <c r="H2178" i="6"/>
  <c r="H2179" i="6"/>
  <c r="H2128" i="6"/>
  <c r="H329" i="6"/>
  <c r="H8" i="6"/>
  <c r="H265" i="6"/>
  <c r="H330" i="6"/>
  <c r="H201" i="6"/>
  <c r="B11" i="6"/>
  <c r="C332" i="6"/>
  <c r="C11" i="6"/>
  <c r="B2208" i="6"/>
  <c r="B2260" i="6"/>
  <c r="C2261" i="6"/>
  <c r="C491" i="6"/>
  <c r="C401" i="6"/>
  <c r="C581" i="6"/>
  <c r="C941" i="6"/>
  <c r="C2183" i="6"/>
  <c r="B2313" i="6"/>
  <c r="B2182" i="6"/>
  <c r="B400" i="6"/>
  <c r="C2260" i="6"/>
  <c r="C268" i="6"/>
  <c r="C2312" i="6"/>
  <c r="C1031" i="6"/>
  <c r="B2234" i="6"/>
  <c r="C2157" i="6"/>
  <c r="C2131" i="6"/>
  <c r="B2156" i="6"/>
  <c r="B2130" i="6"/>
  <c r="C942" i="6"/>
  <c r="B139" i="6"/>
  <c r="B75" i="6"/>
  <c r="B267" i="6"/>
  <c r="C761" i="6"/>
  <c r="B203" i="6"/>
  <c r="C140" i="6"/>
  <c r="C76" i="6"/>
  <c r="B331" i="6"/>
  <c r="B2312" i="6"/>
  <c r="C2209" i="6"/>
  <c r="C2235" i="6"/>
  <c r="C2259" i="6"/>
  <c r="C671" i="6"/>
  <c r="C204" i="6"/>
  <c r="F138" i="6"/>
  <c r="H202" i="6" a="1"/>
  <c r="F2181" i="6"/>
  <c r="F2233" i="6"/>
  <c r="G2233" i="6"/>
  <c r="H2206" i="6" a="1"/>
  <c r="G2130" i="6"/>
  <c r="G2285" i="6"/>
  <c r="G75" i="6"/>
  <c r="G490" i="6"/>
  <c r="G10" i="6"/>
  <c r="F2129" i="6"/>
  <c r="H9" i="6" a="1"/>
  <c r="G2208" i="6"/>
  <c r="G580" i="6"/>
  <c r="G2156" i="6"/>
  <c r="G139" i="6"/>
  <c r="F10" i="6"/>
  <c r="H2205" i="6" a="1"/>
  <c r="H2129" i="6" a="1"/>
  <c r="G332" i="6"/>
  <c r="G2234" i="6"/>
  <c r="G850" i="6"/>
  <c r="G2232" i="6"/>
  <c r="F2286" i="6"/>
  <c r="G670" i="6"/>
  <c r="G203" i="6"/>
  <c r="G2182" i="6"/>
  <c r="F399" i="6"/>
  <c r="F202" i="6"/>
  <c r="G400" i="6"/>
  <c r="H266" i="6" a="1"/>
  <c r="F2155" i="6"/>
  <c r="F266" i="6"/>
  <c r="F74" i="6"/>
  <c r="H2207" i="6" a="1"/>
  <c r="H2258" i="6" a="1"/>
  <c r="G940" i="6"/>
  <c r="H138" i="6" a="1"/>
  <c r="F2285" i="6"/>
  <c r="G851" i="6"/>
  <c r="H2155" i="6" a="1"/>
  <c r="H2181" i="6" a="1"/>
  <c r="G267" i="6"/>
  <c r="H399" i="6" a="1"/>
  <c r="H74" i="6" a="1"/>
  <c r="F2207" i="6"/>
  <c r="H266" i="6" l="1"/>
  <c r="H2155" i="6"/>
  <c r="H2129" i="6"/>
  <c r="H202" i="6"/>
  <c r="H2181" i="6"/>
  <c r="H2207" i="6"/>
  <c r="H2258" i="6"/>
  <c r="H399" i="6"/>
  <c r="H74" i="6"/>
  <c r="H9" i="6"/>
  <c r="H138" i="6"/>
  <c r="H2205" i="6"/>
  <c r="H2206" i="6"/>
  <c r="B2235" i="6"/>
  <c r="C2262" i="6"/>
  <c r="B2209" i="6"/>
  <c r="C2158" i="6"/>
  <c r="C2132" i="6"/>
  <c r="C269" i="6"/>
  <c r="C2236" i="6"/>
  <c r="B204" i="6"/>
  <c r="C333" i="6"/>
  <c r="C492" i="6"/>
  <c r="C402" i="6"/>
  <c r="B2261" i="6"/>
  <c r="C582" i="6"/>
  <c r="C12" i="6"/>
  <c r="C672" i="6"/>
  <c r="C2287" i="6"/>
  <c r="C2210" i="6"/>
  <c r="C2288" i="6"/>
  <c r="C141" i="6"/>
  <c r="C77" i="6"/>
  <c r="C2339" i="6"/>
  <c r="C2184" i="6"/>
  <c r="B2340" i="6"/>
  <c r="B268" i="6"/>
  <c r="C1032" i="6"/>
  <c r="B140" i="6"/>
  <c r="B76" i="6"/>
  <c r="C2286" i="6"/>
  <c r="C852" i="6"/>
  <c r="B2157" i="6"/>
  <c r="B2131" i="6"/>
  <c r="C1122" i="6"/>
  <c r="B401" i="6"/>
  <c r="B2287" i="6"/>
  <c r="C205" i="6"/>
  <c r="C762" i="6"/>
  <c r="B2339" i="6"/>
  <c r="C1033" i="6"/>
  <c r="B332" i="6"/>
  <c r="B2183" i="6"/>
  <c r="B12" i="6"/>
  <c r="F2313" i="6"/>
  <c r="F2208" i="6"/>
  <c r="G2260" i="6"/>
  <c r="G2131" i="6"/>
  <c r="H75" i="6" a="1"/>
  <c r="G2209" i="6"/>
  <c r="H400" i="6" a="1"/>
  <c r="H203" i="6" a="1"/>
  <c r="G2235" i="6"/>
  <c r="G2157" i="6"/>
  <c r="G11" i="6"/>
  <c r="G671" i="6"/>
  <c r="F75" i="6"/>
  <c r="F2130" i="6"/>
  <c r="G401" i="6"/>
  <c r="G1031" i="6"/>
  <c r="G204" i="6"/>
  <c r="H332" i="6" a="1"/>
  <c r="F2234" i="6"/>
  <c r="G941" i="6"/>
  <c r="G581" i="6"/>
  <c r="F139" i="6"/>
  <c r="F2156" i="6"/>
  <c r="H2182" i="6" a="1"/>
  <c r="H139" i="6" a="1"/>
  <c r="G942" i="6"/>
  <c r="F331" i="6"/>
  <c r="H2232" i="6" a="1"/>
  <c r="H2234" i="6" a="1"/>
  <c r="H267" i="6" a="1"/>
  <c r="H2285" i="6" a="1"/>
  <c r="G2312" i="6"/>
  <c r="H2156" i="6" a="1"/>
  <c r="H2233" i="6" a="1"/>
  <c r="G761" i="6"/>
  <c r="F2312" i="6"/>
  <c r="G268" i="6"/>
  <c r="G2183" i="6"/>
  <c r="G333" i="6"/>
  <c r="H2208" i="6" a="1"/>
  <c r="F2182" i="6"/>
  <c r="F267" i="6"/>
  <c r="G491" i="6"/>
  <c r="G2261" i="6"/>
  <c r="G76" i="6"/>
  <c r="H10" i="6" a="1"/>
  <c r="F2260" i="6"/>
  <c r="F11" i="6"/>
  <c r="F332" i="6"/>
  <c r="H331" i="6" a="1"/>
  <c r="H2130" i="6" a="1"/>
  <c r="F203" i="6"/>
  <c r="G2259" i="6"/>
  <c r="G140" i="6"/>
  <c r="F400" i="6"/>
  <c r="H332" i="6" l="1"/>
  <c r="H2285" i="6"/>
  <c r="H203" i="6"/>
  <c r="H75" i="6"/>
  <c r="H2182" i="6"/>
  <c r="H2156" i="6"/>
  <c r="H2208" i="6"/>
  <c r="H400" i="6"/>
  <c r="H2233" i="6"/>
  <c r="H2232" i="6"/>
  <c r="H267" i="6"/>
  <c r="H139" i="6"/>
  <c r="H2234" i="6"/>
  <c r="H10" i="6"/>
  <c r="H331" i="6"/>
  <c r="H2130" i="6"/>
  <c r="B2314" i="6"/>
  <c r="C943" i="6"/>
  <c r="C1123" i="6"/>
  <c r="B2288" i="6"/>
  <c r="B269" i="6"/>
  <c r="C142" i="6"/>
  <c r="C78" i="6"/>
  <c r="B2236" i="6"/>
  <c r="B13" i="6"/>
  <c r="B2366" i="6"/>
  <c r="C2263" i="6"/>
  <c r="C2289" i="6"/>
  <c r="C1124" i="6"/>
  <c r="B2367" i="6"/>
  <c r="C206" i="6"/>
  <c r="C763" i="6"/>
  <c r="C493" i="6"/>
  <c r="C403" i="6"/>
  <c r="C2314" i="6"/>
  <c r="B402" i="6"/>
  <c r="C853" i="6"/>
  <c r="B141" i="6"/>
  <c r="B77" i="6"/>
  <c r="C583" i="6"/>
  <c r="C334" i="6"/>
  <c r="B2210" i="6"/>
  <c r="C2313" i="6"/>
  <c r="C2315" i="6"/>
  <c r="C13" i="6"/>
  <c r="B2262" i="6"/>
  <c r="B333" i="6"/>
  <c r="C270" i="6"/>
  <c r="B205" i="6"/>
  <c r="C2211" i="6"/>
  <c r="C2133" i="6"/>
  <c r="C2159" i="6"/>
  <c r="C1213" i="6"/>
  <c r="B2132" i="6"/>
  <c r="B2158" i="6"/>
  <c r="B2184" i="6"/>
  <c r="C2366" i="6"/>
  <c r="C2237" i="6"/>
  <c r="C673" i="6"/>
  <c r="C2185" i="6"/>
  <c r="G1032" i="6"/>
  <c r="G402" i="6"/>
  <c r="H2261" i="6" a="1"/>
  <c r="G2132" i="6"/>
  <c r="G2184" i="6"/>
  <c r="F2209" i="6"/>
  <c r="G2287" i="6"/>
  <c r="H204" i="6" a="1"/>
  <c r="F204" i="6"/>
  <c r="F2261" i="6"/>
  <c r="G2288" i="6"/>
  <c r="G2236" i="6"/>
  <c r="H76" i="6" a="1"/>
  <c r="F268" i="6"/>
  <c r="G12" i="6"/>
  <c r="G2286" i="6"/>
  <c r="F140" i="6"/>
  <c r="G852" i="6"/>
  <c r="H2157" i="6" a="1"/>
  <c r="F2183" i="6"/>
  <c r="G2210" i="6"/>
  <c r="H11" i="6" a="1"/>
  <c r="G762" i="6"/>
  <c r="F12" i="6"/>
  <c r="G334" i="6"/>
  <c r="F401" i="6"/>
  <c r="F2287" i="6"/>
  <c r="H2312" i="6" a="1"/>
  <c r="H268" i="6" a="1"/>
  <c r="G2158" i="6"/>
  <c r="F76" i="6"/>
  <c r="G1122" i="6"/>
  <c r="H2260" i="6" a="1"/>
  <c r="G2262" i="6"/>
  <c r="H401" i="6" a="1"/>
  <c r="G77" i="6"/>
  <c r="H2131" i="6" a="1"/>
  <c r="F2157" i="6"/>
  <c r="G582" i="6"/>
  <c r="G141" i="6"/>
  <c r="G269" i="6"/>
  <c r="F2340" i="6"/>
  <c r="H2183" i="6" a="1"/>
  <c r="G672" i="6"/>
  <c r="G2339" i="6"/>
  <c r="F333" i="6"/>
  <c r="F2339" i="6"/>
  <c r="H2235" i="6" a="1"/>
  <c r="G205" i="6"/>
  <c r="G1033" i="6"/>
  <c r="F2235" i="6"/>
  <c r="F2131" i="6"/>
  <c r="H140" i="6" a="1"/>
  <c r="G492" i="6"/>
  <c r="H2209" i="6" a="1"/>
  <c r="H2259" i="6" a="1"/>
  <c r="H2259" i="6" l="1"/>
  <c r="H2183" i="6"/>
  <c r="H11" i="6"/>
  <c r="H2261" i="6"/>
  <c r="H2209" i="6"/>
  <c r="H140" i="6"/>
  <c r="H76" i="6"/>
  <c r="H2131" i="6"/>
  <c r="H2260" i="6"/>
  <c r="H268" i="6"/>
  <c r="H2235" i="6"/>
  <c r="H401" i="6"/>
  <c r="H2312" i="6"/>
  <c r="H2157" i="6"/>
  <c r="H204" i="6"/>
  <c r="C2238" i="6"/>
  <c r="B206" i="6"/>
  <c r="C494" i="6"/>
  <c r="C404" i="6"/>
  <c r="C1215" i="6"/>
  <c r="B334" i="6"/>
  <c r="B2341" i="6"/>
  <c r="B14" i="6"/>
  <c r="C944" i="6"/>
  <c r="C854" i="6"/>
  <c r="B2263" i="6"/>
  <c r="B2315" i="6"/>
  <c r="B2237" i="6"/>
  <c r="C2264" i="6"/>
  <c r="C2316" i="6"/>
  <c r="C1304" i="6"/>
  <c r="B403" i="6"/>
  <c r="C143" i="6"/>
  <c r="C79" i="6"/>
  <c r="C1214" i="6"/>
  <c r="B2289" i="6"/>
  <c r="C584" i="6"/>
  <c r="B2133" i="6"/>
  <c r="B2159" i="6"/>
  <c r="C2393" i="6"/>
  <c r="C335" i="6"/>
  <c r="C2342" i="6"/>
  <c r="C674" i="6"/>
  <c r="C271" i="6"/>
  <c r="C2290" i="6"/>
  <c r="C764" i="6"/>
  <c r="B270" i="6"/>
  <c r="C2186" i="6"/>
  <c r="B142" i="6"/>
  <c r="B78" i="6"/>
  <c r="C2341" i="6"/>
  <c r="B2394" i="6"/>
  <c r="B2393" i="6"/>
  <c r="C207" i="6"/>
  <c r="C1034" i="6"/>
  <c r="B2185" i="6"/>
  <c r="C14" i="6"/>
  <c r="C2212" i="6"/>
  <c r="B2211" i="6"/>
  <c r="C2134" i="6"/>
  <c r="C2160" i="6"/>
  <c r="C2340" i="6"/>
  <c r="G2185" i="6"/>
  <c r="F2367" i="6"/>
  <c r="F2158" i="6"/>
  <c r="F334" i="6"/>
  <c r="F2210" i="6"/>
  <c r="G2313" i="6"/>
  <c r="H2236" i="6" a="1"/>
  <c r="F2132" i="6"/>
  <c r="H12" i="6" a="1"/>
  <c r="G583" i="6"/>
  <c r="G335" i="6"/>
  <c r="F2262" i="6"/>
  <c r="G2133" i="6"/>
  <c r="H2184" i="6" a="1"/>
  <c r="F2288" i="6"/>
  <c r="F2184" i="6"/>
  <c r="F2236" i="6"/>
  <c r="G2289" i="6"/>
  <c r="G206" i="6"/>
  <c r="H334" i="6" a="1"/>
  <c r="G2263" i="6"/>
  <c r="G2237" i="6"/>
  <c r="G2315" i="6"/>
  <c r="H269" i="6" a="1"/>
  <c r="H2339" i="6" a="1"/>
  <c r="G1124" i="6"/>
  <c r="G853" i="6"/>
  <c r="F269" i="6"/>
  <c r="H333" i="6" a="1"/>
  <c r="H141" i="6" a="1"/>
  <c r="G2314" i="6"/>
  <c r="G943" i="6"/>
  <c r="F13" i="6"/>
  <c r="G493" i="6"/>
  <c r="G763" i="6"/>
  <c r="G270" i="6"/>
  <c r="G673" i="6"/>
  <c r="F141" i="6"/>
  <c r="F402" i="6"/>
  <c r="G2211" i="6"/>
  <c r="H205" i="6" a="1"/>
  <c r="G1123" i="6"/>
  <c r="G1213" i="6"/>
  <c r="H2210" i="6" a="1"/>
  <c r="H402" i="6" a="1"/>
  <c r="G403" i="6"/>
  <c r="G2159" i="6"/>
  <c r="F77" i="6"/>
  <c r="F2314" i="6"/>
  <c r="G78" i="6"/>
  <c r="H2287" i="6" a="1"/>
  <c r="H2132" i="6" a="1"/>
  <c r="H2158" i="6" a="1"/>
  <c r="H2288" i="6" a="1"/>
  <c r="H2262" i="6" a="1"/>
  <c r="G142" i="6"/>
  <c r="H2286" i="6" a="1"/>
  <c r="G13" i="6"/>
  <c r="H77" i="6" a="1"/>
  <c r="F2366" i="6"/>
  <c r="G2366" i="6"/>
  <c r="F205" i="6"/>
  <c r="H334" i="6" l="1"/>
  <c r="H2286" i="6"/>
  <c r="H2287" i="6"/>
  <c r="H2339" i="6"/>
  <c r="H269" i="6"/>
  <c r="H2158" i="6"/>
  <c r="H2132" i="6"/>
  <c r="H12" i="6"/>
  <c r="H402" i="6"/>
  <c r="H2210" i="6"/>
  <c r="H2236" i="6"/>
  <c r="H141" i="6"/>
  <c r="H2288" i="6"/>
  <c r="H2184" i="6"/>
  <c r="H333" i="6"/>
  <c r="H77" i="6"/>
  <c r="H205" i="6"/>
  <c r="H2262" i="6"/>
  <c r="B207" i="6"/>
  <c r="B404" i="6"/>
  <c r="C1035" i="6"/>
  <c r="B15" i="6"/>
  <c r="C15" i="6"/>
  <c r="B2420" i="6"/>
  <c r="C336" i="6"/>
  <c r="C2420" i="6"/>
  <c r="C1395" i="6"/>
  <c r="B2342" i="6"/>
  <c r="C495" i="6"/>
  <c r="C405" i="6"/>
  <c r="C2317" i="6"/>
  <c r="C2187" i="6"/>
  <c r="C2213" i="6"/>
  <c r="B2316" i="6"/>
  <c r="B2212" i="6"/>
  <c r="B335" i="6"/>
  <c r="C765" i="6"/>
  <c r="C1305" i="6"/>
  <c r="C585" i="6"/>
  <c r="C2161" i="6"/>
  <c r="C2135" i="6"/>
  <c r="C144" i="6"/>
  <c r="C80" i="6"/>
  <c r="C2343" i="6"/>
  <c r="B2290" i="6"/>
  <c r="B2368" i="6"/>
  <c r="B271" i="6"/>
  <c r="B2238" i="6"/>
  <c r="C1125" i="6"/>
  <c r="C2368" i="6"/>
  <c r="C855" i="6"/>
  <c r="C2369" i="6"/>
  <c r="B2160" i="6"/>
  <c r="B2134" i="6"/>
  <c r="B2421" i="6"/>
  <c r="B2186" i="6"/>
  <c r="C272" i="6"/>
  <c r="B143" i="6"/>
  <c r="B79" i="6"/>
  <c r="C208" i="6"/>
  <c r="C2291" i="6"/>
  <c r="C945" i="6"/>
  <c r="C2265" i="6"/>
  <c r="C2367" i="6"/>
  <c r="C2239" i="6"/>
  <c r="C675" i="6"/>
  <c r="B2264" i="6"/>
  <c r="C1306" i="6"/>
  <c r="H2159" i="6" a="1"/>
  <c r="F2393" i="6"/>
  <c r="F2315" i="6"/>
  <c r="G584" i="6"/>
  <c r="H142" i="6" a="1"/>
  <c r="G2316" i="6"/>
  <c r="F2159" i="6"/>
  <c r="G1034" i="6"/>
  <c r="F2394" i="6"/>
  <c r="G143" i="6"/>
  <c r="F14" i="6"/>
  <c r="F403" i="6"/>
  <c r="G2160" i="6"/>
  <c r="F142" i="6"/>
  <c r="G2264" i="6"/>
  <c r="G2342" i="6"/>
  <c r="G674" i="6"/>
  <c r="F2341" i="6"/>
  <c r="G2186" i="6"/>
  <c r="H403" i="6" a="1"/>
  <c r="G336" i="6"/>
  <c r="G404" i="6"/>
  <c r="F2289" i="6"/>
  <c r="F270" i="6"/>
  <c r="G2134" i="6"/>
  <c r="G207" i="6"/>
  <c r="H2314" i="6" a="1"/>
  <c r="G2238" i="6"/>
  <c r="F2133" i="6"/>
  <c r="H270" i="6" a="1"/>
  <c r="H2313" i="6" a="1"/>
  <c r="G2340" i="6"/>
  <c r="G854" i="6"/>
  <c r="G2341" i="6"/>
  <c r="F78" i="6"/>
  <c r="F335" i="6"/>
  <c r="H206" i="6" a="1"/>
  <c r="H2185" i="6" a="1"/>
  <c r="G2212" i="6"/>
  <c r="G1215" i="6"/>
  <c r="G1304" i="6"/>
  <c r="G494" i="6"/>
  <c r="F206" i="6"/>
  <c r="F2237" i="6"/>
  <c r="G14" i="6"/>
  <c r="F2211" i="6"/>
  <c r="G271" i="6"/>
  <c r="H2133" i="6" a="1"/>
  <c r="G2290" i="6"/>
  <c r="F2185" i="6"/>
  <c r="G1214" i="6"/>
  <c r="G764" i="6"/>
  <c r="H13" i="6" a="1"/>
  <c r="H2211" i="6" a="1"/>
  <c r="G944" i="6"/>
  <c r="H2289" i="6" a="1"/>
  <c r="H2237" i="6" a="1"/>
  <c r="G79" i="6"/>
  <c r="H78" i="6" a="1"/>
  <c r="F2263" i="6"/>
  <c r="H2263" i="6" a="1"/>
  <c r="H2366" i="6" a="1"/>
  <c r="G2393" i="6"/>
  <c r="H335" i="6" a="1"/>
  <c r="H2315" i="6" a="1"/>
  <c r="H335" i="6" l="1"/>
  <c r="H2315" i="6"/>
  <c r="H2314" i="6"/>
  <c r="H403" i="6"/>
  <c r="H2263" i="6"/>
  <c r="H142" i="6"/>
  <c r="H2185" i="6"/>
  <c r="H2289" i="6"/>
  <c r="H206" i="6"/>
  <c r="H2133" i="6"/>
  <c r="H2159" i="6"/>
  <c r="H2366" i="6"/>
  <c r="H2237" i="6"/>
  <c r="H2313" i="6"/>
  <c r="H270" i="6"/>
  <c r="H78" i="6"/>
  <c r="H2211" i="6"/>
  <c r="H13" i="6"/>
  <c r="C1216" i="6"/>
  <c r="B2187" i="6"/>
  <c r="C2214" i="6"/>
  <c r="C337" i="6"/>
  <c r="B2317" i="6"/>
  <c r="C2188" i="6"/>
  <c r="C16" i="6"/>
  <c r="B272" i="6"/>
  <c r="C766" i="6"/>
  <c r="C2370" i="6"/>
  <c r="C676" i="6"/>
  <c r="B2239" i="6"/>
  <c r="C2344" i="6"/>
  <c r="C1486" i="6"/>
  <c r="C1036" i="6"/>
  <c r="C2266" i="6"/>
  <c r="B2213" i="6"/>
  <c r="C2396" i="6"/>
  <c r="B2265" i="6"/>
  <c r="C2447" i="6"/>
  <c r="B16" i="6"/>
  <c r="C81" i="6"/>
  <c r="C145" i="6"/>
  <c r="C496" i="6"/>
  <c r="C406" i="6"/>
  <c r="C273" i="6"/>
  <c r="C1397" i="6"/>
  <c r="B208" i="6"/>
  <c r="C2136" i="6"/>
  <c r="C2162" i="6"/>
  <c r="B336" i="6"/>
  <c r="C1396" i="6"/>
  <c r="B2343" i="6"/>
  <c r="C2292" i="6"/>
  <c r="B80" i="6"/>
  <c r="B144" i="6"/>
  <c r="C2395" i="6"/>
  <c r="C209" i="6"/>
  <c r="C2240" i="6"/>
  <c r="C586" i="6"/>
  <c r="C1126" i="6"/>
  <c r="C2318" i="6"/>
  <c r="C2394" i="6"/>
  <c r="B2448" i="6"/>
  <c r="C946" i="6"/>
  <c r="B2291" i="6"/>
  <c r="B2161" i="6"/>
  <c r="B2135" i="6"/>
  <c r="B2395" i="6"/>
  <c r="C856" i="6"/>
  <c r="B2369" i="6"/>
  <c r="B2447" i="6"/>
  <c r="B405" i="6"/>
  <c r="G405" i="6"/>
  <c r="G855" i="6"/>
  <c r="F2420" i="6"/>
  <c r="F2290" i="6"/>
  <c r="F2212" i="6"/>
  <c r="F2368" i="6"/>
  <c r="F404" i="6"/>
  <c r="G2161" i="6"/>
  <c r="F15" i="6"/>
  <c r="G495" i="6"/>
  <c r="G2291" i="6"/>
  <c r="G2343" i="6"/>
  <c r="G1395" i="6"/>
  <c r="G2369" i="6"/>
  <c r="F2316" i="6"/>
  <c r="G15" i="6"/>
  <c r="F79" i="6"/>
  <c r="H336" i="6" a="1"/>
  <c r="H143" i="6" a="1"/>
  <c r="F2238" i="6"/>
  <c r="G1035" i="6"/>
  <c r="F207" i="6"/>
  <c r="G272" i="6"/>
  <c r="G144" i="6"/>
  <c r="G208" i="6"/>
  <c r="G945" i="6"/>
  <c r="H2264" i="6" a="1"/>
  <c r="G2367" i="6"/>
  <c r="H2290" i="6" a="1"/>
  <c r="F271" i="6"/>
  <c r="G585" i="6"/>
  <c r="H2160" i="6" a="1"/>
  <c r="F2342" i="6"/>
  <c r="G2265" i="6"/>
  <c r="F2160" i="6"/>
  <c r="G2187" i="6"/>
  <c r="F143" i="6"/>
  <c r="F2421" i="6"/>
  <c r="G1125" i="6"/>
  <c r="G2317" i="6"/>
  <c r="G1306" i="6"/>
  <c r="H2341" i="6" a="1"/>
  <c r="G2420" i="6"/>
  <c r="G337" i="6"/>
  <c r="G1305" i="6"/>
  <c r="F336" i="6"/>
  <c r="G2239" i="6"/>
  <c r="H404" i="6" a="1"/>
  <c r="G765" i="6"/>
  <c r="H2134" i="6" a="1"/>
  <c r="F2186" i="6"/>
  <c r="H2393" i="6" a="1"/>
  <c r="H2186" i="6" a="1"/>
  <c r="H2340" i="6" a="1"/>
  <c r="G2135" i="6"/>
  <c r="G2368" i="6"/>
  <c r="H14" i="6" a="1"/>
  <c r="H2212" i="6" a="1"/>
  <c r="F2264" i="6"/>
  <c r="H2342" i="6" a="1"/>
  <c r="H207" i="6" a="1"/>
  <c r="H271" i="6" a="1"/>
  <c r="H2316" i="6" a="1"/>
  <c r="G675" i="6"/>
  <c r="H2238" i="6" a="1"/>
  <c r="F2134" i="6"/>
  <c r="H79" i="6" a="1"/>
  <c r="G2213" i="6"/>
  <c r="G80" i="6"/>
  <c r="H336" i="6" l="1"/>
  <c r="H2342" i="6"/>
  <c r="H2134" i="6"/>
  <c r="H2160" i="6"/>
  <c r="H2264" i="6"/>
  <c r="H2186" i="6"/>
  <c r="H2341" i="6"/>
  <c r="H2340" i="6"/>
  <c r="H79" i="6"/>
  <c r="H271" i="6"/>
  <c r="H2238" i="6"/>
  <c r="H2393" i="6"/>
  <c r="H404" i="6"/>
  <c r="H143" i="6"/>
  <c r="H2212" i="6"/>
  <c r="H2290" i="6"/>
  <c r="H14" i="6"/>
  <c r="H2316" i="6"/>
  <c r="H207" i="6"/>
  <c r="B2188" i="6"/>
  <c r="C2345" i="6"/>
  <c r="B2266" i="6"/>
  <c r="C2421" i="6"/>
  <c r="C274" i="6"/>
  <c r="B2370" i="6"/>
  <c r="B273" i="6"/>
  <c r="C587" i="6"/>
  <c r="B2292" i="6"/>
  <c r="C1127" i="6"/>
  <c r="C767" i="6"/>
  <c r="C17" i="6"/>
  <c r="C2241" i="6"/>
  <c r="C2319" i="6"/>
  <c r="C857" i="6"/>
  <c r="C1307" i="6"/>
  <c r="B2396" i="6"/>
  <c r="C2189" i="6"/>
  <c r="C1217" i="6"/>
  <c r="C2422" i="6"/>
  <c r="C210" i="6"/>
  <c r="C2267" i="6"/>
  <c r="C2137" i="6"/>
  <c r="C2163" i="6"/>
  <c r="B2422" i="6"/>
  <c r="C677" i="6"/>
  <c r="C1487" i="6"/>
  <c r="C2215" i="6"/>
  <c r="B2214" i="6"/>
  <c r="C2474" i="6"/>
  <c r="C2293" i="6"/>
  <c r="B337" i="6"/>
  <c r="C1037" i="6"/>
  <c r="B209" i="6"/>
  <c r="C1488" i="6"/>
  <c r="C82" i="6"/>
  <c r="C146" i="6"/>
  <c r="C2423" i="6"/>
  <c r="C1577" i="6"/>
  <c r="C2397" i="6"/>
  <c r="B2318" i="6"/>
  <c r="C497" i="6"/>
  <c r="C407" i="6"/>
  <c r="C947" i="6"/>
  <c r="B406" i="6"/>
  <c r="B2475" i="6"/>
  <c r="B2474" i="6"/>
  <c r="B2136" i="6"/>
  <c r="B2162" i="6"/>
  <c r="B81" i="6"/>
  <c r="B145" i="6"/>
  <c r="C338" i="6"/>
  <c r="B17" i="6"/>
  <c r="B2240" i="6"/>
  <c r="C2371" i="6"/>
  <c r="B2344" i="6"/>
  <c r="G586" i="6"/>
  <c r="G856" i="6"/>
  <c r="H2239" i="6" a="1"/>
  <c r="H2368" i="6" a="1"/>
  <c r="H2265" i="6" a="1"/>
  <c r="F16" i="6"/>
  <c r="F2213" i="6"/>
  <c r="H272" i="6" a="1"/>
  <c r="G2292" i="6"/>
  <c r="G1126" i="6"/>
  <c r="H2317" i="6" a="1"/>
  <c r="G2447" i="6"/>
  <c r="G338" i="6"/>
  <c r="H2161" i="6" a="1"/>
  <c r="G2395" i="6"/>
  <c r="F2343" i="6"/>
  <c r="G2162" i="6"/>
  <c r="H2213" i="6" a="1"/>
  <c r="F2291" i="6"/>
  <c r="F272" i="6"/>
  <c r="G2396" i="6"/>
  <c r="G2266" i="6"/>
  <c r="G1396" i="6"/>
  <c r="F2317" i="6"/>
  <c r="G145" i="6"/>
  <c r="F2239" i="6"/>
  <c r="G1036" i="6"/>
  <c r="H405" i="6" a="1"/>
  <c r="H208" i="6" a="1"/>
  <c r="H2187" i="6" a="1"/>
  <c r="H2367" i="6" a="1"/>
  <c r="G2136" i="6"/>
  <c r="G16" i="6"/>
  <c r="H2291" i="6" a="1"/>
  <c r="G2188" i="6"/>
  <c r="G676" i="6"/>
  <c r="F208" i="6"/>
  <c r="H15" i="6" a="1"/>
  <c r="G2214" i="6"/>
  <c r="G273" i="6"/>
  <c r="G1486" i="6"/>
  <c r="F2395" i="6"/>
  <c r="G2370" i="6"/>
  <c r="H80" i="6" a="1"/>
  <c r="G946" i="6"/>
  <c r="F144" i="6"/>
  <c r="F337" i="6"/>
  <c r="G766" i="6"/>
  <c r="F405" i="6"/>
  <c r="G2394" i="6"/>
  <c r="G81" i="6"/>
  <c r="G1397" i="6"/>
  <c r="G2318" i="6"/>
  <c r="G406" i="6"/>
  <c r="H144" i="6" a="1"/>
  <c r="F2135" i="6"/>
  <c r="H2420" i="6" a="1"/>
  <c r="F2448" i="6"/>
  <c r="F2187" i="6"/>
  <c r="H2369" i="6" a="1"/>
  <c r="G2344" i="6"/>
  <c r="G2240" i="6"/>
  <c r="G209" i="6"/>
  <c r="H337" i="6" a="1"/>
  <c r="F2447" i="6"/>
  <c r="F80" i="6"/>
  <c r="H2135" i="6" a="1"/>
  <c r="G496" i="6"/>
  <c r="G1216" i="6"/>
  <c r="F2369" i="6"/>
  <c r="F2161" i="6"/>
  <c r="F2265" i="6"/>
  <c r="H2343" i="6" a="1"/>
  <c r="H2161" i="6" l="1"/>
  <c r="H2291" i="6"/>
  <c r="H2343" i="6"/>
  <c r="H2213" i="6"/>
  <c r="H2367" i="6"/>
  <c r="H2265" i="6"/>
  <c r="H2369" i="6"/>
  <c r="H2187" i="6"/>
  <c r="H272" i="6"/>
  <c r="H405" i="6"/>
  <c r="H2317" i="6"/>
  <c r="H80" i="6"/>
  <c r="H15" i="6"/>
  <c r="H2239" i="6"/>
  <c r="H337" i="6"/>
  <c r="H2135" i="6"/>
  <c r="H2368" i="6"/>
  <c r="H2420" i="6"/>
  <c r="H208" i="6"/>
  <c r="H144" i="6"/>
  <c r="B2189" i="6"/>
  <c r="C147" i="6"/>
  <c r="C83" i="6"/>
  <c r="C2242" i="6"/>
  <c r="C2138" i="6"/>
  <c r="C2164" i="6"/>
  <c r="C1308" i="6"/>
  <c r="B338" i="6"/>
  <c r="B2293" i="6"/>
  <c r="B2137" i="6"/>
  <c r="B2163" i="6"/>
  <c r="C1038" i="6"/>
  <c r="C2424" i="6"/>
  <c r="C2320" i="6"/>
  <c r="C948" i="6"/>
  <c r="C858" i="6"/>
  <c r="C1579" i="6"/>
  <c r="C1578" i="6"/>
  <c r="C2216" i="6"/>
  <c r="C2346" i="6"/>
  <c r="B2501" i="6"/>
  <c r="C498" i="6"/>
  <c r="C408" i="6"/>
  <c r="C1668" i="6"/>
  <c r="B274" i="6"/>
  <c r="C2294" i="6"/>
  <c r="C1218" i="6"/>
  <c r="B2397" i="6"/>
  <c r="C2372" i="6"/>
  <c r="B2371" i="6"/>
  <c r="C588" i="6"/>
  <c r="C339" i="6"/>
  <c r="C2450" i="6"/>
  <c r="B2502" i="6"/>
  <c r="B2449" i="6"/>
  <c r="B2215" i="6"/>
  <c r="B2423" i="6"/>
  <c r="C2268" i="6"/>
  <c r="B2345" i="6"/>
  <c r="B2241" i="6"/>
  <c r="C2449" i="6"/>
  <c r="C1398" i="6"/>
  <c r="C18" i="6"/>
  <c r="B18" i="6"/>
  <c r="C2501" i="6"/>
  <c r="C768" i="6"/>
  <c r="C275" i="6"/>
  <c r="B2319" i="6"/>
  <c r="B210" i="6"/>
  <c r="C1128" i="6"/>
  <c r="C2398" i="6"/>
  <c r="B2267" i="6"/>
  <c r="B146" i="6"/>
  <c r="B82" i="6"/>
  <c r="B407" i="6"/>
  <c r="C211" i="6"/>
  <c r="C2190" i="6"/>
  <c r="C678" i="6"/>
  <c r="C2448" i="6"/>
  <c r="F17" i="6"/>
  <c r="G2189" i="6"/>
  <c r="H2292" i="6" a="1"/>
  <c r="H2162" i="6" a="1"/>
  <c r="G2215" i="6"/>
  <c r="H2136" i="6" a="1"/>
  <c r="F81" i="6"/>
  <c r="G82" i="6"/>
  <c r="G2397" i="6"/>
  <c r="F338" i="6"/>
  <c r="F273" i="6"/>
  <c r="F2396" i="6"/>
  <c r="F406" i="6"/>
  <c r="G587" i="6"/>
  <c r="G1488" i="6"/>
  <c r="G2474" i="6"/>
  <c r="H2447" i="6" a="1"/>
  <c r="H16" i="6" a="1"/>
  <c r="H2318" i="6" a="1"/>
  <c r="F2162" i="6"/>
  <c r="G146" i="6"/>
  <c r="G2267" i="6"/>
  <c r="F145" i="6"/>
  <c r="H2344" i="6" a="1"/>
  <c r="G2293" i="6"/>
  <c r="F2370" i="6"/>
  <c r="G2241" i="6"/>
  <c r="H2396" i="6" a="1"/>
  <c r="G767" i="6"/>
  <c r="G857" i="6"/>
  <c r="H209" i="6" a="1"/>
  <c r="H2394" i="6" a="1"/>
  <c r="G17" i="6"/>
  <c r="F2474" i="6"/>
  <c r="G1577" i="6"/>
  <c r="G1307" i="6"/>
  <c r="G2423" i="6"/>
  <c r="H2188" i="6" a="1"/>
  <c r="F2344" i="6"/>
  <c r="G2371" i="6"/>
  <c r="H81" i="6" a="1"/>
  <c r="G210" i="6"/>
  <c r="F2475" i="6"/>
  <c r="H2214" i="6" a="1"/>
  <c r="H2266" i="6" a="1"/>
  <c r="F2292" i="6"/>
  <c r="F2240" i="6"/>
  <c r="G339" i="6"/>
  <c r="F2266" i="6"/>
  <c r="F2136" i="6"/>
  <c r="G1487" i="6"/>
  <c r="G677" i="6"/>
  <c r="G2163" i="6"/>
  <c r="G1037" i="6"/>
  <c r="F209" i="6"/>
  <c r="G947" i="6"/>
  <c r="G1217" i="6"/>
  <c r="G2345" i="6"/>
  <c r="G274" i="6"/>
  <c r="G1127" i="6"/>
  <c r="G407" i="6"/>
  <c r="H2395" i="6" a="1"/>
  <c r="G2137" i="6"/>
  <c r="H2370" i="6" a="1"/>
  <c r="H145" i="6" a="1"/>
  <c r="G2319" i="6"/>
  <c r="H273" i="6" a="1"/>
  <c r="H406" i="6" a="1"/>
  <c r="H2240" i="6" a="1"/>
  <c r="F2422" i="6"/>
  <c r="G2421" i="6"/>
  <c r="G2422" i="6"/>
  <c r="F2188" i="6"/>
  <c r="G497" i="6"/>
  <c r="F2318" i="6"/>
  <c r="F2214" i="6"/>
  <c r="H2396" i="6" l="1"/>
  <c r="H273" i="6"/>
  <c r="H2318" i="6"/>
  <c r="H2136" i="6"/>
  <c r="H2292" i="6"/>
  <c r="H2240" i="6"/>
  <c r="H16" i="6"/>
  <c r="H2394" i="6"/>
  <c r="H2162" i="6"/>
  <c r="H2266" i="6"/>
  <c r="H2214" i="6"/>
  <c r="H2395" i="6"/>
  <c r="H209" i="6"/>
  <c r="H2447" i="6"/>
  <c r="H2188" i="6"/>
  <c r="H145" i="6"/>
  <c r="H2344" i="6"/>
  <c r="H81" i="6"/>
  <c r="H406" i="6"/>
  <c r="H2370" i="6"/>
  <c r="B19" i="6"/>
  <c r="B2242" i="6"/>
  <c r="B2424" i="6"/>
  <c r="C1759" i="6"/>
  <c r="B2190" i="6"/>
  <c r="C1399" i="6"/>
  <c r="C212" i="6"/>
  <c r="B2294" i="6"/>
  <c r="B2268" i="6"/>
  <c r="C276" i="6"/>
  <c r="C2425" i="6"/>
  <c r="C19" i="6"/>
  <c r="B2476" i="6"/>
  <c r="C499" i="6"/>
  <c r="C409" i="6"/>
  <c r="C2243" i="6"/>
  <c r="C1039" i="6"/>
  <c r="B2164" i="6"/>
  <c r="B2138" i="6"/>
  <c r="C2191" i="6"/>
  <c r="B408" i="6"/>
  <c r="C340" i="6"/>
  <c r="B2372" i="6"/>
  <c r="C679" i="6"/>
  <c r="C1309" i="6"/>
  <c r="C2347" i="6"/>
  <c r="C2165" i="6"/>
  <c r="C2139" i="6"/>
  <c r="B2216" i="6"/>
  <c r="C1219" i="6"/>
  <c r="C2475" i="6"/>
  <c r="C1489" i="6"/>
  <c r="C2295" i="6"/>
  <c r="B2398" i="6"/>
  <c r="C2321" i="6"/>
  <c r="C589" i="6"/>
  <c r="C1669" i="6"/>
  <c r="B2320" i="6"/>
  <c r="C2476" i="6"/>
  <c r="C2399" i="6"/>
  <c r="B2528" i="6"/>
  <c r="C1670" i="6"/>
  <c r="C2451" i="6"/>
  <c r="C2269" i="6"/>
  <c r="C859" i="6"/>
  <c r="B2529" i="6"/>
  <c r="B211" i="6"/>
  <c r="B275" i="6"/>
  <c r="C2528" i="6"/>
  <c r="B2450" i="6"/>
  <c r="C2477" i="6"/>
  <c r="B339" i="6"/>
  <c r="C769" i="6"/>
  <c r="B147" i="6"/>
  <c r="B83" i="6"/>
  <c r="C2217" i="6"/>
  <c r="B2346" i="6"/>
  <c r="C2373" i="6"/>
  <c r="C949" i="6"/>
  <c r="C1129" i="6"/>
  <c r="C148" i="6"/>
  <c r="C84" i="6"/>
  <c r="G1668" i="6"/>
  <c r="G83" i="6"/>
  <c r="H2319" i="6" a="1"/>
  <c r="H2163" i="6" a="1"/>
  <c r="G211" i="6"/>
  <c r="F407" i="6"/>
  <c r="G1128" i="6"/>
  <c r="G2216" i="6"/>
  <c r="F210" i="6"/>
  <c r="F2319" i="6"/>
  <c r="G2294" i="6"/>
  <c r="F339" i="6"/>
  <c r="G2449" i="6"/>
  <c r="H407" i="6" a="1"/>
  <c r="H338" i="6" a="1"/>
  <c r="F2449" i="6"/>
  <c r="F2371" i="6"/>
  <c r="F2267" i="6"/>
  <c r="G2164" i="6"/>
  <c r="G408" i="6"/>
  <c r="F2189" i="6"/>
  <c r="G18" i="6"/>
  <c r="G1038" i="6"/>
  <c r="G1308" i="6"/>
  <c r="H2422" i="6" a="1"/>
  <c r="F2137" i="6"/>
  <c r="G1579" i="6"/>
  <c r="H2267" i="6" a="1"/>
  <c r="H17" i="6" a="1"/>
  <c r="H2293" i="6" a="1"/>
  <c r="H2345" i="6" a="1"/>
  <c r="G768" i="6"/>
  <c r="G2424" i="6"/>
  <c r="H2423" i="6" a="1"/>
  <c r="F146" i="6"/>
  <c r="G678" i="6"/>
  <c r="G147" i="6"/>
  <c r="F2345" i="6"/>
  <c r="F2241" i="6"/>
  <c r="G948" i="6"/>
  <c r="F2397" i="6"/>
  <c r="G1398" i="6"/>
  <c r="G858" i="6"/>
  <c r="F82" i="6"/>
  <c r="H2215" i="6" a="1"/>
  <c r="H210" i="6" a="1"/>
  <c r="H2397" i="6" a="1"/>
  <c r="H2421" i="6" a="1"/>
  <c r="F2215" i="6"/>
  <c r="H2137" i="6" a="1"/>
  <c r="G2138" i="6"/>
  <c r="G2450" i="6"/>
  <c r="G2320" i="6"/>
  <c r="G2501" i="6"/>
  <c r="F2502" i="6"/>
  <c r="G2448" i="6"/>
  <c r="H146" i="6" a="1"/>
  <c r="G2268" i="6"/>
  <c r="F2293" i="6"/>
  <c r="H82" i="6" a="1"/>
  <c r="G2398" i="6"/>
  <c r="G2372" i="6"/>
  <c r="H2474" i="6" a="1"/>
  <c r="F18" i="6"/>
  <c r="G2190" i="6"/>
  <c r="H274" i="6" a="1"/>
  <c r="G340" i="6"/>
  <c r="F2501" i="6"/>
  <c r="H2241" i="6" a="1"/>
  <c r="F2163" i="6"/>
  <c r="H2371" i="6" a="1"/>
  <c r="G498" i="6"/>
  <c r="G2242" i="6"/>
  <c r="G1218" i="6"/>
  <c r="G588" i="6"/>
  <c r="F2423" i="6"/>
  <c r="G275" i="6"/>
  <c r="G2346" i="6"/>
  <c r="G1578" i="6"/>
  <c r="F274" i="6"/>
  <c r="H2189" i="6" a="1"/>
  <c r="H2267" i="6" l="1"/>
  <c r="H2345" i="6"/>
  <c r="H2215" i="6"/>
  <c r="H2137" i="6"/>
  <c r="H407" i="6"/>
  <c r="H146" i="6"/>
  <c r="H2163" i="6"/>
  <c r="H2397" i="6"/>
  <c r="H2293" i="6"/>
  <c r="H17" i="6"/>
  <c r="H2371" i="6"/>
  <c r="H338" i="6"/>
  <c r="H2241" i="6"/>
  <c r="H2421" i="6"/>
  <c r="H82" i="6"/>
  <c r="H2423" i="6"/>
  <c r="H274" i="6"/>
  <c r="H2474" i="6"/>
  <c r="H2189" i="6"/>
  <c r="H2422" i="6"/>
  <c r="H2319" i="6"/>
  <c r="H210" i="6"/>
  <c r="B2503" i="6"/>
  <c r="B2217" i="6"/>
  <c r="B20" i="6"/>
  <c r="B2477" i="6"/>
  <c r="C1310" i="6"/>
  <c r="C1130" i="6"/>
  <c r="B2321" i="6"/>
  <c r="C1761" i="6"/>
  <c r="B2347" i="6"/>
  <c r="C149" i="6"/>
  <c r="C85" i="6"/>
  <c r="B2373" i="6"/>
  <c r="C860" i="6"/>
  <c r="C950" i="6"/>
  <c r="C2322" i="6"/>
  <c r="C1400" i="6"/>
  <c r="B409" i="6"/>
  <c r="C2270" i="6"/>
  <c r="C20" i="6"/>
  <c r="C1850" i="6"/>
  <c r="B2425" i="6"/>
  <c r="C2555" i="6"/>
  <c r="B2555" i="6"/>
  <c r="C1760" i="6"/>
  <c r="B2243" i="6"/>
  <c r="B212" i="6"/>
  <c r="B2556" i="6"/>
  <c r="C2296" i="6"/>
  <c r="C2426" i="6"/>
  <c r="C1580" i="6"/>
  <c r="C770" i="6"/>
  <c r="C2218" i="6"/>
  <c r="C2452" i="6"/>
  <c r="C277" i="6"/>
  <c r="B2451" i="6"/>
  <c r="C2374" i="6"/>
  <c r="C2400" i="6"/>
  <c r="C1220" i="6"/>
  <c r="C2244" i="6"/>
  <c r="B340" i="6"/>
  <c r="C680" i="6"/>
  <c r="C2166" i="6"/>
  <c r="C2140" i="6"/>
  <c r="B2399" i="6"/>
  <c r="C500" i="6"/>
  <c r="C410" i="6"/>
  <c r="C1490" i="6"/>
  <c r="C213" i="6"/>
  <c r="C1040" i="6"/>
  <c r="C2503" i="6"/>
  <c r="C2502" i="6"/>
  <c r="C2192" i="6"/>
  <c r="B2165" i="6"/>
  <c r="B2139" i="6"/>
  <c r="C590" i="6"/>
  <c r="C341" i="6"/>
  <c r="B2269" i="6"/>
  <c r="B148" i="6"/>
  <c r="B84" i="6"/>
  <c r="C2504" i="6"/>
  <c r="B276" i="6"/>
  <c r="C2478" i="6"/>
  <c r="C2348" i="6"/>
  <c r="B2191" i="6"/>
  <c r="B2295" i="6"/>
  <c r="F83" i="6"/>
  <c r="G2191" i="6"/>
  <c r="G148" i="6"/>
  <c r="G859" i="6"/>
  <c r="G1039" i="6"/>
  <c r="F340" i="6"/>
  <c r="G1670" i="6"/>
  <c r="G2425" i="6"/>
  <c r="G2451" i="6"/>
  <c r="G276" i="6"/>
  <c r="G2165" i="6"/>
  <c r="H2424" i="6" a="1"/>
  <c r="H2448" i="6" a="1"/>
  <c r="H408" i="6" a="1"/>
  <c r="G1669" i="6"/>
  <c r="H2320" i="6" a="1"/>
  <c r="H275" i="6" a="1"/>
  <c r="F147" i="6"/>
  <c r="F2268" i="6"/>
  <c r="G2399" i="6"/>
  <c r="G1309" i="6"/>
  <c r="F2424" i="6"/>
  <c r="F275" i="6"/>
  <c r="G2217" i="6"/>
  <c r="G2321" i="6"/>
  <c r="H2164" i="6" a="1"/>
  <c r="F2242" i="6"/>
  <c r="G1489" i="6"/>
  <c r="G499" i="6"/>
  <c r="F2216" i="6"/>
  <c r="F2476" i="6"/>
  <c r="H2501" i="6" a="1"/>
  <c r="G409" i="6"/>
  <c r="H83" i="6" a="1"/>
  <c r="F408" i="6"/>
  <c r="F2164" i="6"/>
  <c r="G2347" i="6"/>
  <c r="H2138" i="6" a="1"/>
  <c r="H2449" i="6" a="1"/>
  <c r="G212" i="6"/>
  <c r="F2528" i="6"/>
  <c r="H2372" i="6" a="1"/>
  <c r="F2138" i="6"/>
  <c r="G2269" i="6"/>
  <c r="G1219" i="6"/>
  <c r="F2398" i="6"/>
  <c r="G2243" i="6"/>
  <c r="H2190" i="6" a="1"/>
  <c r="G949" i="6"/>
  <c r="H211" i="6" a="1"/>
  <c r="F2372" i="6"/>
  <c r="H2346" i="6" a="1"/>
  <c r="G1129" i="6"/>
  <c r="G2373" i="6"/>
  <c r="H2216" i="6" a="1"/>
  <c r="F2190" i="6"/>
  <c r="H2398" i="6" a="1"/>
  <c r="F2450" i="6"/>
  <c r="G1399" i="6"/>
  <c r="F2529" i="6"/>
  <c r="G19" i="6"/>
  <c r="G1759" i="6"/>
  <c r="G341" i="6"/>
  <c r="H147" i="6" a="1"/>
  <c r="H2450" i="6" a="1"/>
  <c r="G769" i="6"/>
  <c r="G84" i="6"/>
  <c r="F2346" i="6"/>
  <c r="G679" i="6"/>
  <c r="H2294" i="6" a="1"/>
  <c r="F2320" i="6"/>
  <c r="F2294" i="6"/>
  <c r="F211" i="6"/>
  <c r="H2268" i="6" a="1"/>
  <c r="G2528" i="6"/>
  <c r="H2242" i="6" a="1"/>
  <c r="G2295" i="6"/>
  <c r="H339" i="6" a="1"/>
  <c r="H18" i="6" a="1"/>
  <c r="F19" i="6"/>
  <c r="G2139" i="6"/>
  <c r="G2475" i="6"/>
  <c r="G2476" i="6"/>
  <c r="G2477" i="6"/>
  <c r="G589" i="6"/>
  <c r="H275" i="6" l="1"/>
  <c r="H211" i="6"/>
  <c r="H2268" i="6"/>
  <c r="H2320" i="6"/>
  <c r="H2448" i="6"/>
  <c r="H2294" i="6"/>
  <c r="H2372" i="6"/>
  <c r="H2449" i="6"/>
  <c r="H2424" i="6"/>
  <c r="H2242" i="6"/>
  <c r="H147" i="6"/>
  <c r="H2450" i="6"/>
  <c r="H2398" i="6"/>
  <c r="H2190" i="6"/>
  <c r="H408" i="6"/>
  <c r="H2216" i="6"/>
  <c r="H2501" i="6"/>
  <c r="H18" i="6"/>
  <c r="H83" i="6"/>
  <c r="H2138" i="6"/>
  <c r="H2164" i="6"/>
  <c r="H339" i="6"/>
  <c r="H2346" i="6"/>
  <c r="B2426" i="6"/>
  <c r="B2583" i="6"/>
  <c r="B2582" i="6"/>
  <c r="C150" i="6"/>
  <c r="C86" i="6"/>
  <c r="B2348" i="6"/>
  <c r="B21" i="6"/>
  <c r="B2322" i="6"/>
  <c r="B341" i="6"/>
  <c r="C2219" i="6"/>
  <c r="C278" i="6"/>
  <c r="C2141" i="6"/>
  <c r="C2167" i="6"/>
  <c r="C2271" i="6"/>
  <c r="B2478" i="6"/>
  <c r="C861" i="6"/>
  <c r="C21" i="6"/>
  <c r="C2349" i="6"/>
  <c r="B2244" i="6"/>
  <c r="C1581" i="6"/>
  <c r="C2582" i="6"/>
  <c r="C2297" i="6"/>
  <c r="C214" i="6"/>
  <c r="C1221" i="6"/>
  <c r="C2529" i="6"/>
  <c r="C2193" i="6"/>
  <c r="C1311" i="6"/>
  <c r="C342" i="6"/>
  <c r="C1671" i="6"/>
  <c r="B277" i="6"/>
  <c r="C1041" i="6"/>
  <c r="B149" i="6"/>
  <c r="B85" i="6"/>
  <c r="C2479" i="6"/>
  <c r="B2270" i="6"/>
  <c r="C951" i="6"/>
  <c r="B2374" i="6"/>
  <c r="C1401" i="6"/>
  <c r="B2530" i="6"/>
  <c r="C681" i="6"/>
  <c r="C2530" i="6"/>
  <c r="C411" i="6"/>
  <c r="C501" i="6"/>
  <c r="C771" i="6"/>
  <c r="C2427" i="6"/>
  <c r="C2453" i="6"/>
  <c r="B2452" i="6"/>
  <c r="B410" i="6"/>
  <c r="C1852" i="6"/>
  <c r="C2531" i="6"/>
  <c r="C2375" i="6"/>
  <c r="C591" i="6"/>
  <c r="C1851" i="6"/>
  <c r="C1941" i="6"/>
  <c r="B2504" i="6"/>
  <c r="B2218" i="6"/>
  <c r="B213" i="6"/>
  <c r="B2140" i="6"/>
  <c r="B2166" i="6"/>
  <c r="C2505" i="6"/>
  <c r="B2296" i="6"/>
  <c r="B2192" i="6"/>
  <c r="C1131" i="6"/>
  <c r="C2401" i="6"/>
  <c r="C2245" i="6"/>
  <c r="C2323" i="6"/>
  <c r="C1491" i="6"/>
  <c r="B2400" i="6"/>
  <c r="G1130" i="6"/>
  <c r="G2504" i="6"/>
  <c r="H2269" i="6" a="1"/>
  <c r="H2295" i="6" a="1"/>
  <c r="F2295" i="6"/>
  <c r="F2139" i="6"/>
  <c r="G85" i="6"/>
  <c r="H212" i="6" a="1"/>
  <c r="F2555" i="6"/>
  <c r="G149" i="6"/>
  <c r="G2296" i="6"/>
  <c r="G213" i="6"/>
  <c r="G1310" i="6"/>
  <c r="F2269" i="6"/>
  <c r="G1490" i="6"/>
  <c r="H2425" i="6" a="1"/>
  <c r="F20" i="6"/>
  <c r="G1040" i="6"/>
  <c r="H2191" i="6" a="1"/>
  <c r="F2373" i="6"/>
  <c r="G2555" i="6"/>
  <c r="F84" i="6"/>
  <c r="G500" i="6"/>
  <c r="H148" i="6" a="1"/>
  <c r="H2347" i="6" a="1"/>
  <c r="G2348" i="6"/>
  <c r="F276" i="6"/>
  <c r="G1580" i="6"/>
  <c r="H2528" i="6" a="1"/>
  <c r="H2476" i="6" a="1"/>
  <c r="G2426" i="6"/>
  <c r="G2192" i="6"/>
  <c r="H2475" i="6" a="1"/>
  <c r="G1850" i="6"/>
  <c r="G2322" i="6"/>
  <c r="F2243" i="6"/>
  <c r="G2478" i="6"/>
  <c r="H2243" i="6" a="1"/>
  <c r="F341" i="6"/>
  <c r="H19" i="6" a="1"/>
  <c r="F2217" i="6"/>
  <c r="H84" i="6" a="1"/>
  <c r="G950" i="6"/>
  <c r="G2452" i="6"/>
  <c r="F2165" i="6"/>
  <c r="G1760" i="6"/>
  <c r="G2400" i="6"/>
  <c r="G2502" i="6"/>
  <c r="F2347" i="6"/>
  <c r="G410" i="6"/>
  <c r="H2451" i="6" a="1"/>
  <c r="G2244" i="6"/>
  <c r="H409" i="6" a="1"/>
  <c r="G1400" i="6"/>
  <c r="G770" i="6"/>
  <c r="G680" i="6"/>
  <c r="F2321" i="6"/>
  <c r="F2425" i="6"/>
  <c r="G2140" i="6"/>
  <c r="H2139" i="6" a="1"/>
  <c r="G1220" i="6"/>
  <c r="F212" i="6"/>
  <c r="H2321" i="6" a="1"/>
  <c r="F409" i="6"/>
  <c r="H340" i="6" a="1"/>
  <c r="F2191" i="6"/>
  <c r="G2166" i="6"/>
  <c r="G2374" i="6"/>
  <c r="F2477" i="6"/>
  <c r="G20" i="6"/>
  <c r="F2399" i="6"/>
  <c r="H2373" i="6" a="1"/>
  <c r="F2451" i="6"/>
  <c r="H276" i="6" a="1"/>
  <c r="F148" i="6"/>
  <c r="H2165" i="6" a="1"/>
  <c r="G342" i="6"/>
  <c r="F2503" i="6"/>
  <c r="F2556" i="6"/>
  <c r="G2270" i="6"/>
  <c r="G2218" i="6"/>
  <c r="G2503" i="6"/>
  <c r="G277" i="6"/>
  <c r="H2217" i="6" a="1"/>
  <c r="G1761" i="6"/>
  <c r="H2399" i="6" a="1"/>
  <c r="G590" i="6"/>
  <c r="H2477" i="6" a="1"/>
  <c r="G860" i="6"/>
  <c r="H2425" i="6" l="1"/>
  <c r="H2477" i="6"/>
  <c r="H2139" i="6"/>
  <c r="H2476" i="6"/>
  <c r="H2321" i="6"/>
  <c r="H2475" i="6"/>
  <c r="H340" i="6"/>
  <c r="H2295" i="6"/>
  <c r="H2399" i="6"/>
  <c r="H2243" i="6"/>
  <c r="H19" i="6"/>
  <c r="H2269" i="6"/>
  <c r="H2373" i="6"/>
  <c r="H2528" i="6"/>
  <c r="H84" i="6"/>
  <c r="H2451" i="6"/>
  <c r="H2191" i="6"/>
  <c r="H212" i="6"/>
  <c r="H276" i="6"/>
  <c r="H2217" i="6"/>
  <c r="H409" i="6"/>
  <c r="H2347" i="6"/>
  <c r="H2165" i="6"/>
  <c r="H148" i="6"/>
  <c r="B2297" i="6"/>
  <c r="C2376" i="6"/>
  <c r="C2246" i="6"/>
  <c r="B2375" i="6"/>
  <c r="B2323" i="6"/>
  <c r="C2428" i="6"/>
  <c r="B2531" i="6"/>
  <c r="B2479" i="6"/>
  <c r="C592" i="6"/>
  <c r="C2506" i="6"/>
  <c r="B342" i="6"/>
  <c r="C2220" i="6"/>
  <c r="C2324" i="6"/>
  <c r="C2298" i="6"/>
  <c r="C151" i="6"/>
  <c r="C87" i="6"/>
  <c r="B2453" i="6"/>
  <c r="B2427" i="6"/>
  <c r="C2532" i="6"/>
  <c r="C2402" i="6"/>
  <c r="B2193" i="6"/>
  <c r="C1582" i="6"/>
  <c r="C1222" i="6"/>
  <c r="C2032" i="6"/>
  <c r="C2558" i="6"/>
  <c r="C412" i="6"/>
  <c r="C502" i="6"/>
  <c r="C1492" i="6"/>
  <c r="C1762" i="6"/>
  <c r="C2194" i="6"/>
  <c r="C2350" i="6"/>
  <c r="B2141" i="6"/>
  <c r="B2167" i="6"/>
  <c r="C2480" i="6"/>
  <c r="B2401" i="6"/>
  <c r="B150" i="6"/>
  <c r="B86" i="6"/>
  <c r="C2556" i="6"/>
  <c r="C2609" i="6"/>
  <c r="C22" i="6"/>
  <c r="C215" i="6"/>
  <c r="C2557" i="6"/>
  <c r="C1672" i="6"/>
  <c r="C2142" i="6"/>
  <c r="C2168" i="6"/>
  <c r="B2349" i="6"/>
  <c r="C2272" i="6"/>
  <c r="B278" i="6"/>
  <c r="C1942" i="6"/>
  <c r="C1943" i="6"/>
  <c r="C2454" i="6"/>
  <c r="C772" i="6"/>
  <c r="B214" i="6"/>
  <c r="C1312" i="6"/>
  <c r="C952" i="6"/>
  <c r="B2609" i="6"/>
  <c r="B2219" i="6"/>
  <c r="C862" i="6"/>
  <c r="C1042" i="6"/>
  <c r="B2271" i="6"/>
  <c r="B2505" i="6"/>
  <c r="C343" i="6"/>
  <c r="B22" i="6"/>
  <c r="B2245" i="6"/>
  <c r="C682" i="6"/>
  <c r="B411" i="6"/>
  <c r="B2557" i="6"/>
  <c r="C1132" i="6"/>
  <c r="C1402" i="6"/>
  <c r="C279" i="6"/>
  <c r="B2610" i="6"/>
  <c r="G1041" i="6"/>
  <c r="F2452" i="6"/>
  <c r="G2193" i="6"/>
  <c r="H277" i="6" a="1"/>
  <c r="G2609" i="6"/>
  <c r="G2529" i="6"/>
  <c r="G2531" i="6"/>
  <c r="G2245" i="6"/>
  <c r="F21" i="6"/>
  <c r="H2348" i="6" a="1"/>
  <c r="G2582" i="6"/>
  <c r="G2167" i="6"/>
  <c r="H2400" i="6" a="1"/>
  <c r="G1851" i="6"/>
  <c r="F2583" i="6"/>
  <c r="F2610" i="6"/>
  <c r="F149" i="6"/>
  <c r="G2349" i="6"/>
  <c r="H2270" i="6" a="1"/>
  <c r="G1131" i="6"/>
  <c r="H2296" i="6" a="1"/>
  <c r="F2270" i="6"/>
  <c r="G214" i="6"/>
  <c r="G2479" i="6"/>
  <c r="G2271" i="6"/>
  <c r="G86" i="6"/>
  <c r="G1671" i="6"/>
  <c r="F2348" i="6"/>
  <c r="F213" i="6"/>
  <c r="F2296" i="6"/>
  <c r="G1401" i="6"/>
  <c r="F2609" i="6"/>
  <c r="H2503" i="6" a="1"/>
  <c r="G2401" i="6"/>
  <c r="G1221" i="6"/>
  <c r="G861" i="6"/>
  <c r="H2426" i="6" a="1"/>
  <c r="G21" i="6"/>
  <c r="G2032" i="6"/>
  <c r="G150" i="6"/>
  <c r="H85" i="6" a="1"/>
  <c r="H2244" i="6" a="1"/>
  <c r="G2375" i="6"/>
  <c r="G411" i="6"/>
  <c r="G1581" i="6"/>
  <c r="H2140" i="6" a="1"/>
  <c r="H2452" i="6" a="1"/>
  <c r="H341" i="6" a="1"/>
  <c r="G343" i="6"/>
  <c r="F2374" i="6"/>
  <c r="F2530" i="6"/>
  <c r="H149" i="6" a="1"/>
  <c r="G1311" i="6"/>
  <c r="G2453" i="6"/>
  <c r="F2140" i="6"/>
  <c r="G2219" i="6"/>
  <c r="H20" i="6" a="1"/>
  <c r="F2426" i="6"/>
  <c r="G1852" i="6"/>
  <c r="H2192" i="6" a="1"/>
  <c r="H213" i="6" a="1"/>
  <c r="H410" i="6" a="1"/>
  <c r="G278" i="6"/>
  <c r="F2166" i="6"/>
  <c r="H2555" i="6" a="1"/>
  <c r="F2218" i="6"/>
  <c r="G591" i="6"/>
  <c r="F2504" i="6"/>
  <c r="F2322" i="6"/>
  <c r="H2166" i="6" a="1"/>
  <c r="F2192" i="6"/>
  <c r="G951" i="6"/>
  <c r="H342" i="6" a="1"/>
  <c r="F2400" i="6"/>
  <c r="F277" i="6"/>
  <c r="G681" i="6"/>
  <c r="G2297" i="6"/>
  <c r="F85" i="6"/>
  <c r="H2322" i="6" a="1"/>
  <c r="G771" i="6"/>
  <c r="F410" i="6"/>
  <c r="F2478" i="6"/>
  <c r="H2478" i="6" a="1"/>
  <c r="H2502" i="6" a="1"/>
  <c r="F2582" i="6"/>
  <c r="H2504" i="6" a="1"/>
  <c r="G2427" i="6"/>
  <c r="G1491" i="6"/>
  <c r="F2244" i="6"/>
  <c r="G2323" i="6"/>
  <c r="G501" i="6"/>
  <c r="G2141" i="6"/>
  <c r="H2218" i="6" a="1"/>
  <c r="G2505" i="6"/>
  <c r="G1941" i="6"/>
  <c r="G2530" i="6"/>
  <c r="F342" i="6"/>
  <c r="H2374" i="6" a="1"/>
  <c r="H342" i="6" l="1"/>
  <c r="H410" i="6"/>
  <c r="H2348" i="6"/>
  <c r="H2400" i="6"/>
  <c r="H277" i="6"/>
  <c r="H85" i="6"/>
  <c r="H2218" i="6"/>
  <c r="H2192" i="6"/>
  <c r="H2296" i="6"/>
  <c r="H2140" i="6"/>
  <c r="H20" i="6"/>
  <c r="H341" i="6"/>
  <c r="H2555" i="6"/>
  <c r="H2478" i="6"/>
  <c r="H149" i="6"/>
  <c r="H2503" i="6"/>
  <c r="H2502" i="6"/>
  <c r="H2244" i="6"/>
  <c r="H2374" i="6"/>
  <c r="H213" i="6"/>
  <c r="H2504" i="6"/>
  <c r="H2452" i="6"/>
  <c r="H2322" i="6"/>
  <c r="H2270" i="6"/>
  <c r="H2426" i="6"/>
  <c r="H2166" i="6"/>
  <c r="B412" i="6"/>
  <c r="C953" i="6"/>
  <c r="C1403" i="6"/>
  <c r="C280" i="6"/>
  <c r="B151" i="6"/>
  <c r="B87" i="6"/>
  <c r="B2194" i="6"/>
  <c r="C152" i="6"/>
  <c r="C88" i="6"/>
  <c r="C2247" i="6"/>
  <c r="B2506" i="6"/>
  <c r="B2168" i="6"/>
  <c r="B2142" i="6"/>
  <c r="C2429" i="6"/>
  <c r="B2558" i="6"/>
  <c r="C2273" i="6"/>
  <c r="C1493" i="6"/>
  <c r="C773" i="6"/>
  <c r="B2532" i="6"/>
  <c r="B2246" i="6"/>
  <c r="C2195" i="6"/>
  <c r="B215" i="6"/>
  <c r="C1583" i="6"/>
  <c r="C2559" i="6"/>
  <c r="C216" i="6"/>
  <c r="B279" i="6"/>
  <c r="C2033" i="6"/>
  <c r="C1223" i="6"/>
  <c r="B2272" i="6"/>
  <c r="C863" i="6"/>
  <c r="B343" i="6"/>
  <c r="C2169" i="6"/>
  <c r="C2143" i="6"/>
  <c r="C23" i="6"/>
  <c r="C2377" i="6"/>
  <c r="C1313" i="6"/>
  <c r="C2455" i="6"/>
  <c r="C2403" i="6"/>
  <c r="C1763" i="6"/>
  <c r="B2428" i="6"/>
  <c r="C593" i="6"/>
  <c r="C2325" i="6"/>
  <c r="C2533" i="6"/>
  <c r="B23" i="6"/>
  <c r="C413" i="6"/>
  <c r="C503" i="6"/>
  <c r="C1673" i="6"/>
  <c r="B2454" i="6"/>
  <c r="C2351" i="6"/>
  <c r="B2350" i="6"/>
  <c r="B2584" i="6"/>
  <c r="C1133" i="6"/>
  <c r="C1043" i="6"/>
  <c r="C2481" i="6"/>
  <c r="C2299" i="6"/>
  <c r="C2584" i="6"/>
  <c r="C2583" i="6"/>
  <c r="C2507" i="6"/>
  <c r="C2221" i="6"/>
  <c r="C683" i="6"/>
  <c r="B2324" i="6"/>
  <c r="B2298" i="6"/>
  <c r="C344" i="6"/>
  <c r="C2034" i="6"/>
  <c r="B2376" i="6"/>
  <c r="C1853" i="6"/>
  <c r="C2585" i="6"/>
  <c r="B2220" i="6"/>
  <c r="B2480" i="6"/>
  <c r="B2402" i="6"/>
  <c r="G2506" i="6"/>
  <c r="G2480" i="6"/>
  <c r="F411" i="6"/>
  <c r="H86" i="6" a="1"/>
  <c r="G1042" i="6"/>
  <c r="H2531" i="6" a="1"/>
  <c r="H214" i="6" a="1"/>
  <c r="G1402" i="6"/>
  <c r="H150" i="6" a="1"/>
  <c r="F2245" i="6"/>
  <c r="G2246" i="6"/>
  <c r="F2479" i="6"/>
  <c r="H2193" i="6" a="1"/>
  <c r="G412" i="6"/>
  <c r="F86" i="6"/>
  <c r="F214" i="6"/>
  <c r="G215" i="6"/>
  <c r="F2427" i="6"/>
  <c r="H2453" i="6" a="1"/>
  <c r="G2272" i="6"/>
  <c r="F2141" i="6"/>
  <c r="F343" i="6"/>
  <c r="H278" i="6" a="1"/>
  <c r="G1222" i="6"/>
  <c r="G2376" i="6"/>
  <c r="F2453" i="6"/>
  <c r="F22" i="6"/>
  <c r="H2167" i="6" a="1"/>
  <c r="F2323" i="6"/>
  <c r="G1312" i="6"/>
  <c r="G502" i="6"/>
  <c r="G344" i="6"/>
  <c r="F2297" i="6"/>
  <c r="F2505" i="6"/>
  <c r="F150" i="6"/>
  <c r="G2194" i="6"/>
  <c r="G87" i="6"/>
  <c r="G1942" i="6"/>
  <c r="G151" i="6"/>
  <c r="G2558" i="6"/>
  <c r="G772" i="6"/>
  <c r="H21" i="6" a="1"/>
  <c r="F278" i="6"/>
  <c r="G2168" i="6"/>
  <c r="H2582" i="6" a="1"/>
  <c r="F2375" i="6"/>
  <c r="G1672" i="6"/>
  <c r="G592" i="6"/>
  <c r="H2349" i="6" a="1"/>
  <c r="H2271" i="6" a="1"/>
  <c r="F2401" i="6"/>
  <c r="G2428" i="6"/>
  <c r="G952" i="6"/>
  <c r="H2505" i="6" a="1"/>
  <c r="G2454" i="6"/>
  <c r="G1943" i="6"/>
  <c r="H2375" i="6" a="1"/>
  <c r="G2034" i="6"/>
  <c r="G279" i="6"/>
  <c r="G1492" i="6"/>
  <c r="G1582" i="6"/>
  <c r="H343" i="6" a="1"/>
  <c r="G1132" i="6"/>
  <c r="G2142" i="6"/>
  <c r="H2219" i="6" a="1"/>
  <c r="G2298" i="6"/>
  <c r="F2349" i="6"/>
  <c r="F2271" i="6"/>
  <c r="H2323" i="6" a="1"/>
  <c r="G2033" i="6"/>
  <c r="G682" i="6"/>
  <c r="H2479" i="6" a="1"/>
  <c r="G2324" i="6"/>
  <c r="H2530" i="6" a="1"/>
  <c r="H2401" i="6" a="1"/>
  <c r="G1762" i="6"/>
  <c r="H2141" i="6" a="1"/>
  <c r="F2167" i="6"/>
  <c r="G2557" i="6"/>
  <c r="H2245" i="6" a="1"/>
  <c r="G2532" i="6"/>
  <c r="H2529" i="6" a="1"/>
  <c r="H411" i="6" a="1"/>
  <c r="G22" i="6"/>
  <c r="F2219" i="6"/>
  <c r="F2557" i="6"/>
  <c r="F2531" i="6"/>
  <c r="G862" i="6"/>
  <c r="G2402" i="6"/>
  <c r="G2556" i="6"/>
  <c r="H2609" i="6" a="1"/>
  <c r="H2427" i="6" a="1"/>
  <c r="G2220" i="6"/>
  <c r="G2350" i="6"/>
  <c r="H2297" i="6" a="1"/>
  <c r="F2193" i="6"/>
  <c r="H2167" i="6" l="1"/>
  <c r="H278" i="6"/>
  <c r="H2609" i="6"/>
  <c r="H2401" i="6"/>
  <c r="H2219" i="6"/>
  <c r="H2375" i="6"/>
  <c r="H2531" i="6"/>
  <c r="H2453" i="6"/>
  <c r="H2193" i="6"/>
  <c r="H2479" i="6"/>
  <c r="H86" i="6"/>
  <c r="H2529" i="6"/>
  <c r="H2245" i="6"/>
  <c r="H2271" i="6"/>
  <c r="H2323" i="6"/>
  <c r="H2349" i="6"/>
  <c r="H2530" i="6"/>
  <c r="H2427" i="6"/>
  <c r="H2582" i="6"/>
  <c r="H2505" i="6"/>
  <c r="H21" i="6"/>
  <c r="H343" i="6"/>
  <c r="H411" i="6"/>
  <c r="H150" i="6"/>
  <c r="H214" i="6"/>
  <c r="H2297" i="6"/>
  <c r="H2141" i="6"/>
  <c r="C2274" i="6"/>
  <c r="C1854" i="6"/>
  <c r="B280" i="6"/>
  <c r="C345" i="6"/>
  <c r="C1944" i="6"/>
  <c r="B2325" i="6"/>
  <c r="C2534" i="6"/>
  <c r="B2377" i="6"/>
  <c r="C2352" i="6"/>
  <c r="C2430" i="6"/>
  <c r="C281" i="6"/>
  <c r="C2222" i="6"/>
  <c r="B2611" i="6"/>
  <c r="C2508" i="6"/>
  <c r="C594" i="6"/>
  <c r="C684" i="6"/>
  <c r="C2482" i="6"/>
  <c r="C2170" i="6"/>
  <c r="C2144" i="6"/>
  <c r="B2299" i="6"/>
  <c r="C1584" i="6"/>
  <c r="B2169" i="6"/>
  <c r="B2143" i="6"/>
  <c r="C217" i="6"/>
  <c r="C2248" i="6"/>
  <c r="B413" i="6"/>
  <c r="C24" i="6"/>
  <c r="C954" i="6"/>
  <c r="C864" i="6"/>
  <c r="B2351" i="6"/>
  <c r="C2378" i="6"/>
  <c r="C504" i="6"/>
  <c r="C414" i="6"/>
  <c r="C2196" i="6"/>
  <c r="C1314" i="6"/>
  <c r="B2195" i="6"/>
  <c r="B2221" i="6"/>
  <c r="C1494" i="6"/>
  <c r="B216" i="6"/>
  <c r="C2612" i="6"/>
  <c r="C1764" i="6"/>
  <c r="C2610" i="6"/>
  <c r="C1134" i="6"/>
  <c r="B24" i="6"/>
  <c r="B2455" i="6"/>
  <c r="C1404" i="6"/>
  <c r="C2586" i="6"/>
  <c r="B2273" i="6"/>
  <c r="C2300" i="6"/>
  <c r="B2533" i="6"/>
  <c r="C2326" i="6"/>
  <c r="B2507" i="6"/>
  <c r="C1224" i="6"/>
  <c r="B2481" i="6"/>
  <c r="B88" i="6"/>
  <c r="B152" i="6"/>
  <c r="C1044" i="6"/>
  <c r="C2560" i="6"/>
  <c r="C2404" i="6"/>
  <c r="B344" i="6"/>
  <c r="C2456" i="6"/>
  <c r="C89" i="6"/>
  <c r="C153" i="6"/>
  <c r="B2429" i="6"/>
  <c r="B2403" i="6"/>
  <c r="B2247" i="6"/>
  <c r="C774" i="6"/>
  <c r="C2611" i="6"/>
  <c r="C1674" i="6"/>
  <c r="B2559" i="6"/>
  <c r="B2585" i="6"/>
  <c r="G1763" i="6"/>
  <c r="H2272" i="6" a="1"/>
  <c r="F215" i="6"/>
  <c r="H2532" i="6" a="1"/>
  <c r="G1133" i="6"/>
  <c r="F344" i="6"/>
  <c r="H2558" i="6" a="1"/>
  <c r="G152" i="6"/>
  <c r="G953" i="6"/>
  <c r="H2298" i="6" a="1"/>
  <c r="G2429" i="6"/>
  <c r="G1673" i="6"/>
  <c r="H2246" i="6" a="1"/>
  <c r="G863" i="6"/>
  <c r="G2611" i="6"/>
  <c r="F2454" i="6"/>
  <c r="G1853" i="6"/>
  <c r="G280" i="6"/>
  <c r="G683" i="6"/>
  <c r="F2584" i="6"/>
  <c r="F2142" i="6"/>
  <c r="G2584" i="6"/>
  <c r="F2506" i="6"/>
  <c r="G2169" i="6"/>
  <c r="G216" i="6"/>
  <c r="G1043" i="6"/>
  <c r="G2583" i="6"/>
  <c r="H2220" i="6" a="1"/>
  <c r="H412" i="6" a="1"/>
  <c r="H279" i="6" a="1"/>
  <c r="F2428" i="6"/>
  <c r="F2298" i="6"/>
  <c r="F151" i="6"/>
  <c r="G2377" i="6"/>
  <c r="F2480" i="6"/>
  <c r="G2273" i="6"/>
  <c r="G88" i="6"/>
  <c r="G2325" i="6"/>
  <c r="H151" i="6" a="1"/>
  <c r="H2506" i="6" a="1"/>
  <c r="H2480" i="6" a="1"/>
  <c r="F2168" i="6"/>
  <c r="G23" i="6"/>
  <c r="G503" i="6"/>
  <c r="H2194" i="6" a="1"/>
  <c r="H2557" i="6" a="1"/>
  <c r="H2324" i="6" a="1"/>
  <c r="F2532" i="6"/>
  <c r="G413" i="6"/>
  <c r="F2272" i="6"/>
  <c r="G2481" i="6"/>
  <c r="G1493" i="6"/>
  <c r="F2558" i="6"/>
  <c r="H2168" i="6" a="1"/>
  <c r="G1583" i="6"/>
  <c r="F2220" i="6"/>
  <c r="G2195" i="6"/>
  <c r="H2376" i="6" a="1"/>
  <c r="G2610" i="6"/>
  <c r="G2351" i="6"/>
  <c r="G2507" i="6"/>
  <c r="F2324" i="6"/>
  <c r="F2402" i="6"/>
  <c r="G1223" i="6"/>
  <c r="G2143" i="6"/>
  <c r="H87" i="6" a="1"/>
  <c r="F23" i="6"/>
  <c r="G2533" i="6"/>
  <c r="G2299" i="6"/>
  <c r="F2611" i="6"/>
  <c r="H2402" i="6" a="1"/>
  <c r="H2350" i="6" a="1"/>
  <c r="F412" i="6"/>
  <c r="H2454" i="6" a="1"/>
  <c r="G2403" i="6"/>
  <c r="G2247" i="6"/>
  <c r="G1313" i="6"/>
  <c r="G2612" i="6"/>
  <c r="F87" i="6"/>
  <c r="F279" i="6"/>
  <c r="H2428" i="6" a="1"/>
  <c r="G2585" i="6"/>
  <c r="H2142" i="6" a="1"/>
  <c r="F2350" i="6"/>
  <c r="G593" i="6"/>
  <c r="G2455" i="6"/>
  <c r="G2221" i="6"/>
  <c r="G345" i="6"/>
  <c r="G1403" i="6"/>
  <c r="G2559" i="6"/>
  <c r="F2194" i="6"/>
  <c r="G773" i="6"/>
  <c r="F2376" i="6"/>
  <c r="H22" i="6" a="1"/>
  <c r="H2556" i="6" a="1"/>
  <c r="H215" i="6" a="1"/>
  <c r="F2246" i="6"/>
  <c r="H2428" i="6" l="1"/>
  <c r="H412" i="6"/>
  <c r="H2454" i="6"/>
  <c r="H2402" i="6"/>
  <c r="H2220" i="6"/>
  <c r="H2324" i="6"/>
  <c r="H2168" i="6"/>
  <c r="H279" i="6"/>
  <c r="H2194" i="6"/>
  <c r="H2557" i="6"/>
  <c r="H2556" i="6"/>
  <c r="H151" i="6"/>
  <c r="H2350" i="6"/>
  <c r="H2272" i="6"/>
  <c r="H2298" i="6"/>
  <c r="H2480" i="6"/>
  <c r="H215" i="6"/>
  <c r="H87" i="6"/>
  <c r="H2376" i="6"/>
  <c r="H2506" i="6"/>
  <c r="H2246" i="6"/>
  <c r="H2558" i="6"/>
  <c r="H2142" i="6"/>
  <c r="H2532" i="6"/>
  <c r="H22" i="6"/>
  <c r="C865" i="6"/>
  <c r="B2560" i="6"/>
  <c r="C1585" i="6"/>
  <c r="C775" i="6"/>
  <c r="C2275" i="6"/>
  <c r="B2586" i="6"/>
  <c r="B2274" i="6"/>
  <c r="C2483" i="6"/>
  <c r="C1135" i="6"/>
  <c r="C1315" i="6"/>
  <c r="C2327" i="6"/>
  <c r="C1855" i="6"/>
  <c r="C282" i="6"/>
  <c r="B2326" i="6"/>
  <c r="C685" i="6"/>
  <c r="C346" i="6"/>
  <c r="B345" i="6"/>
  <c r="C154" i="6"/>
  <c r="C90" i="6"/>
  <c r="C2587" i="6"/>
  <c r="B2482" i="6"/>
  <c r="C955" i="6"/>
  <c r="B2534" i="6"/>
  <c r="B25" i="6"/>
  <c r="B2222" i="6"/>
  <c r="C595" i="6"/>
  <c r="C1045" i="6"/>
  <c r="C2171" i="6"/>
  <c r="C2145" i="6"/>
  <c r="C2561" i="6"/>
  <c r="C505" i="6"/>
  <c r="C415" i="6"/>
  <c r="C1765" i="6"/>
  <c r="B2300" i="6"/>
  <c r="C25" i="6"/>
  <c r="B2170" i="6"/>
  <c r="B2144" i="6"/>
  <c r="C2535" i="6"/>
  <c r="C2457" i="6"/>
  <c r="B2404" i="6"/>
  <c r="B281" i="6"/>
  <c r="C1405" i="6"/>
  <c r="C2405" i="6"/>
  <c r="B2196" i="6"/>
  <c r="C2197" i="6"/>
  <c r="B2352" i="6"/>
  <c r="C1945" i="6"/>
  <c r="B2612" i="6"/>
  <c r="C218" i="6"/>
  <c r="C1495" i="6"/>
  <c r="C2223" i="6"/>
  <c r="B2430" i="6"/>
  <c r="B217" i="6"/>
  <c r="B2456" i="6"/>
  <c r="C2431" i="6"/>
  <c r="B89" i="6"/>
  <c r="B153" i="6"/>
  <c r="C2353" i="6"/>
  <c r="C2613" i="6"/>
  <c r="C1225" i="6"/>
  <c r="B2378" i="6"/>
  <c r="C2509" i="6"/>
  <c r="C2379" i="6"/>
  <c r="C1675" i="6"/>
  <c r="C2249" i="6"/>
  <c r="B2248" i="6"/>
  <c r="B2508" i="6"/>
  <c r="B414" i="6"/>
  <c r="C2035" i="6"/>
  <c r="C2301" i="6"/>
  <c r="G24" i="6"/>
  <c r="G2482" i="6"/>
  <c r="H344" i="6" a="1"/>
  <c r="G2378" i="6"/>
  <c r="F2455" i="6"/>
  <c r="F152" i="6"/>
  <c r="G774" i="6"/>
  <c r="G2560" i="6"/>
  <c r="G2035" i="6"/>
  <c r="G2534" i="6"/>
  <c r="G2274" i="6"/>
  <c r="G1494" i="6"/>
  <c r="G217" i="6"/>
  <c r="H2299" i="6" a="1"/>
  <c r="G954" i="6"/>
  <c r="H216" i="6" a="1"/>
  <c r="G1134" i="6"/>
  <c r="G2222" i="6"/>
  <c r="G2300" i="6"/>
  <c r="H413" i="6" a="1"/>
  <c r="F345" i="6"/>
  <c r="H2559" i="6" a="1"/>
  <c r="G1854" i="6"/>
  <c r="G684" i="6"/>
  <c r="G1944" i="6"/>
  <c r="G2352" i="6"/>
  <c r="G2196" i="6"/>
  <c r="F2377" i="6"/>
  <c r="G2404" i="6"/>
  <c r="F2273" i="6"/>
  <c r="G346" i="6"/>
  <c r="H2273" i="6" a="1"/>
  <c r="F2585" i="6"/>
  <c r="H2195" i="6" a="1"/>
  <c r="G2508" i="6"/>
  <c r="G1764" i="6"/>
  <c r="G2248" i="6"/>
  <c r="G2326" i="6"/>
  <c r="H2221" i="6" a="1"/>
  <c r="G1044" i="6"/>
  <c r="H280" i="6" a="1"/>
  <c r="F2612" i="6"/>
  <c r="G1584" i="6"/>
  <c r="H2610" i="6" a="1"/>
  <c r="H2325" i="6" a="1"/>
  <c r="G504" i="6"/>
  <c r="F2221" i="6"/>
  <c r="F2325" i="6"/>
  <c r="F2143" i="6"/>
  <c r="H2247" i="6" a="1"/>
  <c r="F24" i="6"/>
  <c r="G2586" i="6"/>
  <c r="F2299" i="6"/>
  <c r="F88" i="6"/>
  <c r="G2430" i="6"/>
  <c r="H2403" i="6" a="1"/>
  <c r="G281" i="6"/>
  <c r="H2143" i="6" a="1"/>
  <c r="G89" i="6"/>
  <c r="H23" i="6" a="1"/>
  <c r="H2429" i="6" a="1"/>
  <c r="G1314" i="6"/>
  <c r="H152" i="6" a="1"/>
  <c r="F216" i="6"/>
  <c r="G2170" i="6"/>
  <c r="F2403" i="6"/>
  <c r="F280" i="6"/>
  <c r="H2455" i="6" a="1"/>
  <c r="G864" i="6"/>
  <c r="G2144" i="6"/>
  <c r="H2585" i="6" a="1"/>
  <c r="H2507" i="6" a="1"/>
  <c r="F2169" i="6"/>
  <c r="H2351" i="6" a="1"/>
  <c r="H2377" i="6" a="1"/>
  <c r="G1674" i="6"/>
  <c r="G2613" i="6"/>
  <c r="H2169" i="6" a="1"/>
  <c r="F2481" i="6"/>
  <c r="G1224" i="6"/>
  <c r="F2507" i="6"/>
  <c r="H88" i="6" a="1"/>
  <c r="F2351" i="6"/>
  <c r="G414" i="6"/>
  <c r="G1404" i="6"/>
  <c r="H2584" i="6" a="1"/>
  <c r="F2559" i="6"/>
  <c r="H2611" i="6" a="1"/>
  <c r="G2456" i="6"/>
  <c r="G153" i="6"/>
  <c r="F413" i="6"/>
  <c r="F2533" i="6"/>
  <c r="F2247" i="6"/>
  <c r="H2612" i="6" a="1"/>
  <c r="F2429" i="6"/>
  <c r="H2583" i="6" a="1"/>
  <c r="F2195" i="6"/>
  <c r="H2533" i="6" a="1"/>
  <c r="H2481" i="6" a="1"/>
  <c r="G594" i="6"/>
  <c r="H2169" i="6" l="1"/>
  <c r="H152" i="6"/>
  <c r="H2507" i="6"/>
  <c r="H2533" i="6"/>
  <c r="H2583" i="6"/>
  <c r="H2299" i="6"/>
  <c r="H413" i="6"/>
  <c r="H2612" i="6"/>
  <c r="H2351" i="6"/>
  <c r="H2610" i="6"/>
  <c r="H2559" i="6"/>
  <c r="H2377" i="6"/>
  <c r="H2247" i="6"/>
  <c r="H2584" i="6"/>
  <c r="H2221" i="6"/>
  <c r="H2325" i="6"/>
  <c r="H88" i="6"/>
  <c r="H2403" i="6"/>
  <c r="H2195" i="6"/>
  <c r="H344" i="6"/>
  <c r="H2585" i="6"/>
  <c r="H2455" i="6"/>
  <c r="H2481" i="6"/>
  <c r="H2143" i="6"/>
  <c r="H216" i="6"/>
  <c r="H2273" i="6"/>
  <c r="H280" i="6"/>
  <c r="H2611" i="6"/>
  <c r="H23" i="6"/>
  <c r="H2429" i="6"/>
  <c r="C2510" i="6"/>
  <c r="C1586" i="6"/>
  <c r="B2379" i="6"/>
  <c r="C1496" i="6"/>
  <c r="C2562" i="6"/>
  <c r="C2198" i="6"/>
  <c r="B26" i="6"/>
  <c r="C1946" i="6"/>
  <c r="C866" i="6"/>
  <c r="C2432" i="6"/>
  <c r="C956" i="6"/>
  <c r="C2328" i="6"/>
  <c r="B2275" i="6"/>
  <c r="C2536" i="6"/>
  <c r="C2380" i="6"/>
  <c r="B282" i="6"/>
  <c r="C283" i="6"/>
  <c r="C2224" i="6"/>
  <c r="B346" i="6"/>
  <c r="B2145" i="6"/>
  <c r="B2171" i="6"/>
  <c r="C1856" i="6"/>
  <c r="C2614" i="6"/>
  <c r="C2354" i="6"/>
  <c r="C2250" i="6"/>
  <c r="C2036" i="6"/>
  <c r="B2327" i="6"/>
  <c r="B2509" i="6"/>
  <c r="C1226" i="6"/>
  <c r="B2535" i="6"/>
  <c r="B2483" i="6"/>
  <c r="C2276" i="6"/>
  <c r="B2197" i="6"/>
  <c r="C506" i="6"/>
  <c r="C416" i="6"/>
  <c r="C1136" i="6"/>
  <c r="C776" i="6"/>
  <c r="B2301" i="6"/>
  <c r="C1676" i="6"/>
  <c r="C2588" i="6"/>
  <c r="B2405" i="6"/>
  <c r="B218" i="6"/>
  <c r="B2457" i="6"/>
  <c r="B2223" i="6"/>
  <c r="B2431" i="6"/>
  <c r="C596" i="6"/>
  <c r="B2561" i="6"/>
  <c r="C155" i="6"/>
  <c r="C91" i="6"/>
  <c r="B2353" i="6"/>
  <c r="C1406" i="6"/>
  <c r="C2146" i="6"/>
  <c r="C2172" i="6"/>
  <c r="B415" i="6"/>
  <c r="C1316" i="6"/>
  <c r="B154" i="6"/>
  <c r="B90" i="6"/>
  <c r="C26" i="6"/>
  <c r="C1046" i="6"/>
  <c r="C219" i="6"/>
  <c r="B2613" i="6"/>
  <c r="B2587" i="6"/>
  <c r="C2484" i="6"/>
  <c r="C2406" i="6"/>
  <c r="B2249" i="6"/>
  <c r="C1766" i="6"/>
  <c r="C2458" i="6"/>
  <c r="C686" i="6"/>
  <c r="C347" i="6"/>
  <c r="C2302" i="6"/>
  <c r="G1585" i="6"/>
  <c r="G2145" i="6"/>
  <c r="G1495" i="6"/>
  <c r="H2456" i="6" a="1"/>
  <c r="G282" i="6"/>
  <c r="H414" i="6" a="1"/>
  <c r="F414" i="6"/>
  <c r="G2275" i="6"/>
  <c r="H2274" i="6" a="1"/>
  <c r="F25" i="6"/>
  <c r="H2352" i="6" a="1"/>
  <c r="G2431" i="6"/>
  <c r="H2326" i="6" a="1"/>
  <c r="H24" i="6" a="1"/>
  <c r="F2430" i="6"/>
  <c r="G415" i="6"/>
  <c r="G1855" i="6"/>
  <c r="G775" i="6"/>
  <c r="F217" i="6"/>
  <c r="G2457" i="6"/>
  <c r="H2613" i="6" a="1"/>
  <c r="G2171" i="6"/>
  <c r="G955" i="6"/>
  <c r="H2508" i="6" a="1"/>
  <c r="G347" i="6"/>
  <c r="F2170" i="6"/>
  <c r="F89" i="6"/>
  <c r="F2352" i="6"/>
  <c r="G218" i="6"/>
  <c r="G2223" i="6"/>
  <c r="G1945" i="6"/>
  <c r="F2274" i="6"/>
  <c r="F2482" i="6"/>
  <c r="F2222" i="6"/>
  <c r="H2404" i="6" a="1"/>
  <c r="F2508" i="6"/>
  <c r="H2534" i="6" a="1"/>
  <c r="G2301" i="6"/>
  <c r="G154" i="6"/>
  <c r="F2560" i="6"/>
  <c r="F2196" i="6"/>
  <c r="F2326" i="6"/>
  <c r="H2300" i="6" a="1"/>
  <c r="G865" i="6"/>
  <c r="H2560" i="6" a="1"/>
  <c r="G2197" i="6"/>
  <c r="H2222" i="6" a="1"/>
  <c r="H89" i="6" a="1"/>
  <c r="F2144" i="6"/>
  <c r="G2353" i="6"/>
  <c r="H217" i="6" a="1"/>
  <c r="G2587" i="6"/>
  <c r="G2405" i="6"/>
  <c r="G1765" i="6"/>
  <c r="G90" i="6"/>
  <c r="G1675" i="6"/>
  <c r="G2561" i="6"/>
  <c r="F2378" i="6"/>
  <c r="H153" i="6" a="1"/>
  <c r="H2196" i="6" a="1"/>
  <c r="G2327" i="6"/>
  <c r="H2248" i="6" a="1"/>
  <c r="G1315" i="6"/>
  <c r="H345" i="6" a="1"/>
  <c r="F2300" i="6"/>
  <c r="F2404" i="6"/>
  <c r="F2613" i="6"/>
  <c r="G2036" i="6"/>
  <c r="G1405" i="6"/>
  <c r="F2534" i="6"/>
  <c r="G2509" i="6"/>
  <c r="H2170" i="6" a="1"/>
  <c r="G1045" i="6"/>
  <c r="G2535" i="6"/>
  <c r="H2586" i="6" a="1"/>
  <c r="F2456" i="6"/>
  <c r="F153" i="6"/>
  <c r="G25" i="6"/>
  <c r="G2614" i="6"/>
  <c r="H2482" i="6" a="1"/>
  <c r="G1225" i="6"/>
  <c r="F281" i="6"/>
  <c r="H281" i="6" a="1"/>
  <c r="G2483" i="6"/>
  <c r="H2144" i="6" a="1"/>
  <c r="F2586" i="6"/>
  <c r="G685" i="6"/>
  <c r="G2249" i="6"/>
  <c r="F346" i="6"/>
  <c r="G2379" i="6"/>
  <c r="G595" i="6"/>
  <c r="H2378" i="6" a="1"/>
  <c r="H2430" i="6" a="1"/>
  <c r="F2248" i="6"/>
  <c r="G505" i="6"/>
  <c r="G1135" i="6"/>
  <c r="H2613" i="6" l="1"/>
  <c r="H2326" i="6"/>
  <c r="H2144" i="6"/>
  <c r="H2170" i="6"/>
  <c r="H2196" i="6"/>
  <c r="H153" i="6"/>
  <c r="H2274" i="6"/>
  <c r="H2378" i="6"/>
  <c r="H2482" i="6"/>
  <c r="H2508" i="6"/>
  <c r="H2404" i="6"/>
  <c r="H2456" i="6"/>
  <c r="H217" i="6"/>
  <c r="H2534" i="6"/>
  <c r="H414" i="6"/>
  <c r="H281" i="6"/>
  <c r="H89" i="6"/>
  <c r="H24" i="6"/>
  <c r="H2352" i="6"/>
  <c r="H2586" i="6"/>
  <c r="H2560" i="6"/>
  <c r="H345" i="6"/>
  <c r="H2430" i="6"/>
  <c r="H2222" i="6"/>
  <c r="H2300" i="6"/>
  <c r="H2248" i="6"/>
  <c r="C1857" i="6"/>
  <c r="B2276" i="6"/>
  <c r="C507" i="6"/>
  <c r="C417" i="6"/>
  <c r="C2225" i="6"/>
  <c r="B219" i="6"/>
  <c r="B2588" i="6"/>
  <c r="B2484" i="6"/>
  <c r="C1767" i="6"/>
  <c r="C597" i="6"/>
  <c r="C2251" i="6"/>
  <c r="C2563" i="6"/>
  <c r="C2459" i="6"/>
  <c r="C1677" i="6"/>
  <c r="C2615" i="6"/>
  <c r="C2173" i="6"/>
  <c r="C2147" i="6"/>
  <c r="B2250" i="6"/>
  <c r="C1227" i="6"/>
  <c r="B2354" i="6"/>
  <c r="C2407" i="6"/>
  <c r="B27" i="6"/>
  <c r="B2328" i="6"/>
  <c r="B2562" i="6"/>
  <c r="C1947" i="6"/>
  <c r="B2302" i="6"/>
  <c r="C156" i="6"/>
  <c r="C92" i="6"/>
  <c r="B2536" i="6"/>
  <c r="B2510" i="6"/>
  <c r="B2406" i="6"/>
  <c r="B155" i="6"/>
  <c r="B91" i="6"/>
  <c r="C777" i="6"/>
  <c r="C2433" i="6"/>
  <c r="C284" i="6"/>
  <c r="C1497" i="6"/>
  <c r="C2511" i="6"/>
  <c r="C1407" i="6"/>
  <c r="C687" i="6"/>
  <c r="B283" i="6"/>
  <c r="B2224" i="6"/>
  <c r="C2277" i="6"/>
  <c r="B2198" i="6"/>
  <c r="C348" i="6"/>
  <c r="C957" i="6"/>
  <c r="C2589" i="6"/>
  <c r="C2537" i="6"/>
  <c r="C2329" i="6"/>
  <c r="C2199" i="6"/>
  <c r="C2381" i="6"/>
  <c r="C220" i="6"/>
  <c r="C1317" i="6"/>
  <c r="B2172" i="6"/>
  <c r="B2146" i="6"/>
  <c r="C2355" i="6"/>
  <c r="C1047" i="6"/>
  <c r="C2485" i="6"/>
  <c r="C1137" i="6"/>
  <c r="B416" i="6"/>
  <c r="B2380" i="6"/>
  <c r="B2614" i="6"/>
  <c r="C27" i="6"/>
  <c r="B2458" i="6"/>
  <c r="B2432" i="6"/>
  <c r="C867" i="6"/>
  <c r="C2303" i="6"/>
  <c r="B347" i="6"/>
  <c r="C2037" i="6"/>
  <c r="C1587" i="6"/>
  <c r="H2197" i="6" a="1"/>
  <c r="H2353" i="6" a="1"/>
  <c r="F2457" i="6"/>
  <c r="F2353" i="6"/>
  <c r="H2509" i="6" a="1"/>
  <c r="G1856" i="6"/>
  <c r="F2249" i="6"/>
  <c r="G866" i="6"/>
  <c r="F2405" i="6"/>
  <c r="G2146" i="6"/>
  <c r="G2615" i="6"/>
  <c r="F2587" i="6"/>
  <c r="F2145" i="6"/>
  <c r="G2276" i="6"/>
  <c r="G1406" i="6"/>
  <c r="G2037" i="6"/>
  <c r="H282" i="6" a="1"/>
  <c r="H2587" i="6" a="1"/>
  <c r="G596" i="6"/>
  <c r="G91" i="6"/>
  <c r="H2483" i="6" a="1"/>
  <c r="G2510" i="6"/>
  <c r="H2561" i="6" a="1"/>
  <c r="F2379" i="6"/>
  <c r="G956" i="6"/>
  <c r="G506" i="6"/>
  <c r="H2275" i="6" a="1"/>
  <c r="G1316" i="6"/>
  <c r="G283" i="6"/>
  <c r="F2509" i="6"/>
  <c r="G348" i="6"/>
  <c r="F2301" i="6"/>
  <c r="F2223" i="6"/>
  <c r="H415" i="6" a="1"/>
  <c r="F347" i="6"/>
  <c r="F90" i="6"/>
  <c r="F2275" i="6"/>
  <c r="G1586" i="6"/>
  <c r="F2614" i="6"/>
  <c r="G2562" i="6"/>
  <c r="G1946" i="6"/>
  <c r="F2327" i="6"/>
  <c r="G1046" i="6"/>
  <c r="H2145" i="6" a="1"/>
  <c r="G26" i="6"/>
  <c r="H2223" i="6" a="1"/>
  <c r="G2224" i="6"/>
  <c r="F218" i="6"/>
  <c r="G2328" i="6"/>
  <c r="G416" i="6"/>
  <c r="H2431" i="6" a="1"/>
  <c r="G2406" i="6"/>
  <c r="G2432" i="6"/>
  <c r="H90" i="6" a="1"/>
  <c r="G2380" i="6"/>
  <c r="H2249" i="6" a="1"/>
  <c r="H2327" i="6" a="1"/>
  <c r="H25" i="6" a="1"/>
  <c r="G1226" i="6"/>
  <c r="H346" i="6" a="1"/>
  <c r="G219" i="6"/>
  <c r="H2301" i="6" a="1"/>
  <c r="F2561" i="6"/>
  <c r="G155" i="6"/>
  <c r="H2405" i="6" a="1"/>
  <c r="H2614" i="6" a="1"/>
  <c r="G1766" i="6"/>
  <c r="F2197" i="6"/>
  <c r="G2588" i="6"/>
  <c r="F2535" i="6"/>
  <c r="G2302" i="6"/>
  <c r="G1676" i="6"/>
  <c r="G1136" i="6"/>
  <c r="G1496" i="6"/>
  <c r="F2431" i="6"/>
  <c r="F26" i="6"/>
  <c r="F2171" i="6"/>
  <c r="F415" i="6"/>
  <c r="F2483" i="6"/>
  <c r="H154" i="6" a="1"/>
  <c r="G776" i="6"/>
  <c r="H2535" i="6" a="1"/>
  <c r="G2172" i="6"/>
  <c r="G2354" i="6"/>
  <c r="G2250" i="6"/>
  <c r="H347" i="6" a="1"/>
  <c r="F282" i="6"/>
  <c r="G2458" i="6"/>
  <c r="H2379" i="6" a="1"/>
  <c r="F154" i="6"/>
  <c r="H2457" i="6" a="1"/>
  <c r="G2536" i="6"/>
  <c r="H218" i="6" a="1"/>
  <c r="G2198" i="6"/>
  <c r="G2484" i="6"/>
  <c r="H2171" i="6" a="1"/>
  <c r="G686" i="6"/>
  <c r="H347" i="6" l="1"/>
  <c r="H2614" i="6"/>
  <c r="H90" i="6"/>
  <c r="H2275" i="6"/>
  <c r="H2535" i="6"/>
  <c r="H2171" i="6"/>
  <c r="H2561" i="6"/>
  <c r="H2353" i="6"/>
  <c r="H2457" i="6"/>
  <c r="H2145" i="6"/>
  <c r="H25" i="6"/>
  <c r="H218" i="6"/>
  <c r="H2587" i="6"/>
  <c r="H154" i="6"/>
  <c r="H2405" i="6"/>
  <c r="H2249" i="6"/>
  <c r="H2483" i="6"/>
  <c r="H2301" i="6"/>
  <c r="H282" i="6"/>
  <c r="H415" i="6"/>
  <c r="H2379" i="6"/>
  <c r="H2509" i="6"/>
  <c r="H2431" i="6"/>
  <c r="H346" i="6"/>
  <c r="H2327" i="6"/>
  <c r="H2223" i="6"/>
  <c r="H2197" i="6"/>
  <c r="C2330" i="6"/>
  <c r="C1498" i="6"/>
  <c r="B2199" i="6"/>
  <c r="C2226" i="6"/>
  <c r="C868" i="6"/>
  <c r="C2434" i="6"/>
  <c r="C2148" i="6"/>
  <c r="C2174" i="6"/>
  <c r="C1858" i="6"/>
  <c r="C2252" i="6"/>
  <c r="B284" i="6"/>
  <c r="C2486" i="6"/>
  <c r="C1678" i="6"/>
  <c r="B2563" i="6"/>
  <c r="C2038" i="6"/>
  <c r="C2200" i="6"/>
  <c r="C508" i="6"/>
  <c r="C418" i="6"/>
  <c r="C688" i="6"/>
  <c r="C2356" i="6"/>
  <c r="C2590" i="6"/>
  <c r="B2511" i="6"/>
  <c r="C2538" i="6"/>
  <c r="B2329" i="6"/>
  <c r="C1948" i="6"/>
  <c r="C958" i="6"/>
  <c r="B348" i="6"/>
  <c r="C1588" i="6"/>
  <c r="B156" i="6"/>
  <c r="B92" i="6"/>
  <c r="B2459" i="6"/>
  <c r="B220" i="6"/>
  <c r="C157" i="6"/>
  <c r="C93" i="6"/>
  <c r="B2589" i="6"/>
  <c r="B2381" i="6"/>
  <c r="B2615" i="6"/>
  <c r="C598" i="6"/>
  <c r="B2537" i="6"/>
  <c r="B2277" i="6"/>
  <c r="C1228" i="6"/>
  <c r="B2173" i="6"/>
  <c r="B2147" i="6"/>
  <c r="B2251" i="6"/>
  <c r="B28" i="6"/>
  <c r="C1408" i="6"/>
  <c r="B2407" i="6"/>
  <c r="C1138" i="6"/>
  <c r="B2485" i="6"/>
  <c r="B417" i="6"/>
  <c r="C2382" i="6"/>
  <c r="C285" i="6"/>
  <c r="C2564" i="6"/>
  <c r="B2225" i="6"/>
  <c r="C778" i="6"/>
  <c r="C349" i="6"/>
  <c r="B2433" i="6"/>
  <c r="C221" i="6"/>
  <c r="C2278" i="6"/>
  <c r="B2303" i="6"/>
  <c r="C28" i="6"/>
  <c r="C1048" i="6"/>
  <c r="C2512" i="6"/>
  <c r="C2408" i="6"/>
  <c r="C2616" i="6"/>
  <c r="C2304" i="6"/>
  <c r="C2460" i="6"/>
  <c r="B2355" i="6"/>
  <c r="C1318" i="6"/>
  <c r="C1768" i="6"/>
  <c r="G2589" i="6"/>
  <c r="G507" i="6"/>
  <c r="G92" i="6"/>
  <c r="G1317" i="6"/>
  <c r="G1137" i="6"/>
  <c r="G2355" i="6"/>
  <c r="G417" i="6"/>
  <c r="F2406" i="6"/>
  <c r="G1677" i="6"/>
  <c r="H91" i="6" a="1"/>
  <c r="G2225" i="6"/>
  <c r="H2615" i="6" a="1"/>
  <c r="G2485" i="6"/>
  <c r="F2354" i="6"/>
  <c r="F2536" i="6"/>
  <c r="F2328" i="6"/>
  <c r="H219" i="6" a="1"/>
  <c r="G867" i="6"/>
  <c r="G2147" i="6"/>
  <c r="G220" i="6"/>
  <c r="F2250" i="6"/>
  <c r="G957" i="6"/>
  <c r="F416" i="6"/>
  <c r="H2276" i="6" a="1"/>
  <c r="G27" i="6"/>
  <c r="H2510" i="6" a="1"/>
  <c r="G777" i="6"/>
  <c r="F27" i="6"/>
  <c r="G2303" i="6"/>
  <c r="G2563" i="6"/>
  <c r="F219" i="6"/>
  <c r="F2276" i="6"/>
  <c r="H2484" i="6" a="1"/>
  <c r="G2616" i="6"/>
  <c r="F2615" i="6"/>
  <c r="H2406" i="6" a="1"/>
  <c r="G2407" i="6"/>
  <c r="G1497" i="6"/>
  <c r="G597" i="6"/>
  <c r="H155" i="6" a="1"/>
  <c r="F91" i="6"/>
  <c r="G687" i="6"/>
  <c r="H2562" i="6" a="1"/>
  <c r="F2458" i="6"/>
  <c r="F2172" i="6"/>
  <c r="G2251" i="6"/>
  <c r="F2224" i="6"/>
  <c r="F2562" i="6"/>
  <c r="G1587" i="6"/>
  <c r="H2198" i="6" a="1"/>
  <c r="H2302" i="6" a="1"/>
  <c r="G2459" i="6"/>
  <c r="H2250" i="6" a="1"/>
  <c r="G2277" i="6"/>
  <c r="G2173" i="6"/>
  <c r="G2199" i="6"/>
  <c r="F348" i="6"/>
  <c r="H2146" i="6" a="1"/>
  <c r="H2224" i="6" a="1"/>
  <c r="F283" i="6"/>
  <c r="G1947" i="6"/>
  <c r="F155" i="6"/>
  <c r="G1047" i="6"/>
  <c r="F2146" i="6"/>
  <c r="H2380" i="6" a="1"/>
  <c r="G1407" i="6"/>
  <c r="G1857" i="6"/>
  <c r="H2172" i="6" a="1"/>
  <c r="G2511" i="6"/>
  <c r="F2380" i="6"/>
  <c r="G349" i="6"/>
  <c r="F2484" i="6"/>
  <c r="G156" i="6"/>
  <c r="H26" i="6" a="1"/>
  <c r="G2381" i="6"/>
  <c r="H2328" i="6" a="1"/>
  <c r="H2354" i="6" a="1"/>
  <c r="G2433" i="6"/>
  <c r="F2198" i="6"/>
  <c r="H2536" i="6" a="1"/>
  <c r="G2537" i="6"/>
  <c r="G284" i="6"/>
  <c r="H416" i="6" a="1"/>
  <c r="G2329" i="6"/>
  <c r="F2432" i="6"/>
  <c r="F2302" i="6"/>
  <c r="G2038" i="6"/>
  <c r="F2510" i="6"/>
  <c r="F2588" i="6"/>
  <c r="H2588" i="6" a="1"/>
  <c r="G1227" i="6"/>
  <c r="H348" i="6" a="1"/>
  <c r="H2458" i="6" a="1"/>
  <c r="H283" i="6" a="1"/>
  <c r="H2432" i="6" a="1"/>
  <c r="G1767" i="6"/>
  <c r="H26" i="6" l="1"/>
  <c r="H2458" i="6"/>
  <c r="H2615" i="6"/>
  <c r="H2406" i="6"/>
  <c r="H416" i="6"/>
  <c r="H348" i="6"/>
  <c r="H2224" i="6"/>
  <c r="H2146" i="6"/>
  <c r="H2536" i="6"/>
  <c r="H2354" i="6"/>
  <c r="H2588" i="6"/>
  <c r="H2172" i="6"/>
  <c r="H91" i="6"/>
  <c r="H2380" i="6"/>
  <c r="H2432" i="6"/>
  <c r="H2198" i="6"/>
  <c r="H2276" i="6"/>
  <c r="H219" i="6"/>
  <c r="H2250" i="6"/>
  <c r="H2562" i="6"/>
  <c r="H283" i="6"/>
  <c r="H2484" i="6"/>
  <c r="H155" i="6"/>
  <c r="H2328" i="6"/>
  <c r="H2510" i="6"/>
  <c r="H2302" i="6"/>
  <c r="C419" i="6"/>
  <c r="C509" i="6"/>
  <c r="C2305" i="6"/>
  <c r="C2539" i="6"/>
  <c r="C1949" i="6"/>
  <c r="C2331" i="6"/>
  <c r="B2200" i="6"/>
  <c r="C689" i="6"/>
  <c r="B221" i="6"/>
  <c r="C2039" i="6"/>
  <c r="C2617" i="6"/>
  <c r="C2201" i="6"/>
  <c r="C2253" i="6"/>
  <c r="C2487" i="6"/>
  <c r="B2616" i="6"/>
  <c r="C2357" i="6"/>
  <c r="C2409" i="6"/>
  <c r="C1139" i="6"/>
  <c r="C286" i="6"/>
  <c r="B2252" i="6"/>
  <c r="B418" i="6"/>
  <c r="C1499" i="6"/>
  <c r="C222" i="6"/>
  <c r="C2383" i="6"/>
  <c r="C2227" i="6"/>
  <c r="C2513" i="6"/>
  <c r="B2564" i="6"/>
  <c r="B2174" i="6"/>
  <c r="B2148" i="6"/>
  <c r="C1859" i="6"/>
  <c r="C2591" i="6"/>
  <c r="C1679" i="6"/>
  <c r="B2356" i="6"/>
  <c r="C2175" i="6"/>
  <c r="C2149" i="6"/>
  <c r="B2226" i="6"/>
  <c r="B2434" i="6"/>
  <c r="C1319" i="6"/>
  <c r="C1409" i="6"/>
  <c r="C29" i="6"/>
  <c r="B2460" i="6"/>
  <c r="B2512" i="6"/>
  <c r="B29" i="6"/>
  <c r="B2304" i="6"/>
  <c r="B2408" i="6"/>
  <c r="B285" i="6"/>
  <c r="B349" i="6"/>
  <c r="C1589" i="6"/>
  <c r="B157" i="6"/>
  <c r="B93" i="6"/>
  <c r="C1049" i="6"/>
  <c r="B2538" i="6"/>
  <c r="C869" i="6"/>
  <c r="C1769" i="6"/>
  <c r="B2330" i="6"/>
  <c r="B2486" i="6"/>
  <c r="C2565" i="6"/>
  <c r="C779" i="6"/>
  <c r="B2590" i="6"/>
  <c r="C2461" i="6"/>
  <c r="C158" i="6"/>
  <c r="C94" i="6"/>
  <c r="C599" i="6"/>
  <c r="B2382" i="6"/>
  <c r="C2435" i="6"/>
  <c r="C350" i="6"/>
  <c r="C1229" i="6"/>
  <c r="B2278" i="6"/>
  <c r="C2279" i="6"/>
  <c r="C959" i="6"/>
  <c r="H2251" i="6" a="1"/>
  <c r="H284" i="6" a="1"/>
  <c r="H2537" i="6" a="1"/>
  <c r="H2225" i="6" a="1"/>
  <c r="F349" i="6"/>
  <c r="G1408" i="6"/>
  <c r="H2589" i="6" a="1"/>
  <c r="F28" i="6"/>
  <c r="G2330" i="6"/>
  <c r="G350" i="6"/>
  <c r="G2382" i="6"/>
  <c r="H349" i="6" a="1"/>
  <c r="F284" i="6"/>
  <c r="G2039" i="6"/>
  <c r="G2278" i="6"/>
  <c r="H2381" i="6" a="1"/>
  <c r="H2277" i="6" a="1"/>
  <c r="H2407" i="6" a="1"/>
  <c r="G2408" i="6"/>
  <c r="H2173" i="6" a="1"/>
  <c r="G1678" i="6"/>
  <c r="G1048" i="6"/>
  <c r="F2433" i="6"/>
  <c r="H92" i="6" a="1"/>
  <c r="H156" i="6" a="1"/>
  <c r="F2225" i="6"/>
  <c r="H2485" i="6" a="1"/>
  <c r="H417" i="6" a="1"/>
  <c r="F2329" i="6"/>
  <c r="G1588" i="6"/>
  <c r="G2460" i="6"/>
  <c r="H2511" i="6" a="1"/>
  <c r="F2147" i="6"/>
  <c r="G2512" i="6"/>
  <c r="G2252" i="6"/>
  <c r="H2329" i="6" a="1"/>
  <c r="G221" i="6"/>
  <c r="H2355" i="6" a="1"/>
  <c r="G508" i="6"/>
  <c r="H2459" i="6" a="1"/>
  <c r="H2147" i="6" a="1"/>
  <c r="G418" i="6"/>
  <c r="F2251" i="6"/>
  <c r="G1138" i="6"/>
  <c r="F417" i="6"/>
  <c r="G2200" i="6"/>
  <c r="G778" i="6"/>
  <c r="H2616" i="6" a="1"/>
  <c r="G2434" i="6"/>
  <c r="H2303" i="6" a="1"/>
  <c r="G2356" i="6"/>
  <c r="F156" i="6"/>
  <c r="G28" i="6"/>
  <c r="F92" i="6"/>
  <c r="G1228" i="6"/>
  <c r="F2537" i="6"/>
  <c r="G1858" i="6"/>
  <c r="G688" i="6"/>
  <c r="G2486" i="6"/>
  <c r="F2381" i="6"/>
  <c r="G1318" i="6"/>
  <c r="G868" i="6"/>
  <c r="G2617" i="6"/>
  <c r="G598" i="6"/>
  <c r="F2407" i="6"/>
  <c r="F2563" i="6"/>
  <c r="G958" i="6"/>
  <c r="G2148" i="6"/>
  <c r="H2563" i="6" a="1"/>
  <c r="F2303" i="6"/>
  <c r="G1498" i="6"/>
  <c r="F2355" i="6"/>
  <c r="F2485" i="6"/>
  <c r="H27" i="6" a="1"/>
  <c r="G2226" i="6"/>
  <c r="H2433" i="6" a="1"/>
  <c r="G93" i="6"/>
  <c r="G2538" i="6"/>
  <c r="G1768" i="6"/>
  <c r="G285" i="6"/>
  <c r="G157" i="6"/>
  <c r="F2589" i="6"/>
  <c r="G2564" i="6"/>
  <c r="F220" i="6"/>
  <c r="G2304" i="6"/>
  <c r="G1948" i="6"/>
  <c r="F2277" i="6"/>
  <c r="G2590" i="6"/>
  <c r="F2199" i="6"/>
  <c r="F2173" i="6"/>
  <c r="H220" i="6" a="1"/>
  <c r="H2199" i="6" a="1"/>
  <c r="F2459" i="6"/>
  <c r="F2511" i="6"/>
  <c r="G2174" i="6"/>
  <c r="F2616" i="6"/>
  <c r="H349" i="6" l="1"/>
  <c r="H156" i="6"/>
  <c r="H2537" i="6"/>
  <c r="H2563" i="6"/>
  <c r="H2616" i="6"/>
  <c r="H27" i="6"/>
  <c r="H2329" i="6"/>
  <c r="H2277" i="6"/>
  <c r="H2589" i="6"/>
  <c r="H284" i="6"/>
  <c r="H2225" i="6"/>
  <c r="H2407" i="6"/>
  <c r="H2199" i="6"/>
  <c r="H2459" i="6"/>
  <c r="H2303" i="6"/>
  <c r="H2433" i="6"/>
  <c r="H2147" i="6"/>
  <c r="H2173" i="6"/>
  <c r="H2485" i="6"/>
  <c r="H417" i="6"/>
  <c r="H220" i="6"/>
  <c r="H92" i="6"/>
  <c r="H2381" i="6"/>
  <c r="H2511" i="6"/>
  <c r="H2355" i="6"/>
  <c r="H2251" i="6"/>
  <c r="B2305" i="6"/>
  <c r="B2357" i="6"/>
  <c r="C2202" i="6"/>
  <c r="C420" i="6"/>
  <c r="C510" i="6"/>
  <c r="C1320" i="6"/>
  <c r="C690" i="6"/>
  <c r="C870" i="6"/>
  <c r="B158" i="6"/>
  <c r="B94" i="6"/>
  <c r="B350" i="6"/>
  <c r="B2539" i="6"/>
  <c r="C1410" i="6"/>
  <c r="B2383" i="6"/>
  <c r="B419" i="6"/>
  <c r="C2436" i="6"/>
  <c r="B286" i="6"/>
  <c r="C2040" i="6"/>
  <c r="C2176" i="6"/>
  <c r="C2540" i="6"/>
  <c r="C1230" i="6"/>
  <c r="C2514" i="6"/>
  <c r="C2358" i="6"/>
  <c r="C2254" i="6"/>
  <c r="C2280" i="6"/>
  <c r="C1860" i="6"/>
  <c r="B2175" i="6"/>
  <c r="B2149" i="6"/>
  <c r="C2410" i="6"/>
  <c r="B2279" i="6"/>
  <c r="C2228" i="6"/>
  <c r="C780" i="6"/>
  <c r="C2566" i="6"/>
  <c r="C1140" i="6"/>
  <c r="C159" i="6"/>
  <c r="C95" i="6"/>
  <c r="C1050" i="6"/>
  <c r="C2592" i="6"/>
  <c r="B222" i="6"/>
  <c r="B2435" i="6"/>
  <c r="B2487" i="6"/>
  <c r="B2461" i="6"/>
  <c r="B2201" i="6"/>
  <c r="C2384" i="6"/>
  <c r="C600" i="6"/>
  <c r="B2617" i="6"/>
  <c r="B30" i="6"/>
  <c r="C1680" i="6"/>
  <c r="B2591" i="6"/>
  <c r="C2306" i="6"/>
  <c r="C2462" i="6"/>
  <c r="B2565" i="6"/>
  <c r="B2331" i="6"/>
  <c r="C30" i="6"/>
  <c r="B2253" i="6"/>
  <c r="C287" i="6"/>
  <c r="C351" i="6"/>
  <c r="B2227" i="6"/>
  <c r="C2332" i="6"/>
  <c r="C1950" i="6"/>
  <c r="C223" i="6"/>
  <c r="C960" i="6"/>
  <c r="C1770" i="6"/>
  <c r="B2409" i="6"/>
  <c r="C2488" i="6"/>
  <c r="B2513" i="6"/>
  <c r="C1500" i="6"/>
  <c r="C2618" i="6"/>
  <c r="C1590" i="6"/>
  <c r="G222" i="6"/>
  <c r="G2253" i="6"/>
  <c r="G2461" i="6"/>
  <c r="G1679" i="6"/>
  <c r="H2304" i="6" a="1"/>
  <c r="G2149" i="6"/>
  <c r="H2148" i="6" a="1"/>
  <c r="F2148" i="6"/>
  <c r="H2252" i="6" a="1"/>
  <c r="F2564" i="6"/>
  <c r="F2538" i="6"/>
  <c r="G419" i="6"/>
  <c r="G2357" i="6"/>
  <c r="F2304" i="6"/>
  <c r="G158" i="6"/>
  <c r="F2408" i="6"/>
  <c r="H2226" i="6" a="1"/>
  <c r="G2565" i="6"/>
  <c r="F2356" i="6"/>
  <c r="G2513" i="6"/>
  <c r="G2618" i="6"/>
  <c r="F29" i="6"/>
  <c r="G2487" i="6"/>
  <c r="H2356" i="6" a="1"/>
  <c r="G1319" i="6"/>
  <c r="F2512" i="6"/>
  <c r="G2383" i="6"/>
  <c r="G1949" i="6"/>
  <c r="G599" i="6"/>
  <c r="G509" i="6"/>
  <c r="F2278" i="6"/>
  <c r="F418" i="6"/>
  <c r="G2305" i="6"/>
  <c r="H2174" i="6" a="1"/>
  <c r="H2330" i="6" a="1"/>
  <c r="G1409" i="6"/>
  <c r="H418" i="6" a="1"/>
  <c r="G1229" i="6"/>
  <c r="G2040" i="6"/>
  <c r="G1139" i="6"/>
  <c r="H2460" i="6" a="1"/>
  <c r="H285" i="6" a="1"/>
  <c r="H2512" i="6" a="1"/>
  <c r="G2227" i="6"/>
  <c r="G2279" i="6"/>
  <c r="H28" i="6" a="1"/>
  <c r="G1859" i="6"/>
  <c r="G869" i="6"/>
  <c r="G29" i="6"/>
  <c r="H2382" i="6" a="1"/>
  <c r="G1589" i="6"/>
  <c r="F157" i="6"/>
  <c r="F2252" i="6"/>
  <c r="H93" i="6" a="1"/>
  <c r="F93" i="6"/>
  <c r="F2382" i="6"/>
  <c r="G1499" i="6"/>
  <c r="G779" i="6"/>
  <c r="F2434" i="6"/>
  <c r="G1769" i="6"/>
  <c r="G2539" i="6"/>
  <c r="H221" i="6" a="1"/>
  <c r="G1049" i="6"/>
  <c r="G2435" i="6"/>
  <c r="G959" i="6"/>
  <c r="H2538" i="6" a="1"/>
  <c r="G94" i="6"/>
  <c r="F2226" i="6"/>
  <c r="F2330" i="6"/>
  <c r="G2331" i="6"/>
  <c r="H2590" i="6" a="1"/>
  <c r="F2460" i="6"/>
  <c r="G2175" i="6"/>
  <c r="H157" i="6" a="1"/>
  <c r="F221" i="6"/>
  <c r="H2278" i="6" a="1"/>
  <c r="G351" i="6"/>
  <c r="H2564" i="6" a="1"/>
  <c r="F2486" i="6"/>
  <c r="F2200" i="6"/>
  <c r="F2174" i="6"/>
  <c r="F2617" i="6"/>
  <c r="G2201" i="6"/>
  <c r="H2486" i="6" a="1"/>
  <c r="H2408" i="6" a="1"/>
  <c r="G2591" i="6"/>
  <c r="F285" i="6"/>
  <c r="H2200" i="6" a="1"/>
  <c r="G2409" i="6"/>
  <c r="F2590" i="6"/>
  <c r="G689" i="6"/>
  <c r="H2434" i="6" a="1"/>
  <c r="F350" i="6"/>
  <c r="G286" i="6"/>
  <c r="H157" i="6" l="1"/>
  <c r="H2408" i="6"/>
  <c r="H2174" i="6"/>
  <c r="H2512" i="6"/>
  <c r="H2460" i="6"/>
  <c r="H2356" i="6"/>
  <c r="H285" i="6"/>
  <c r="H2486" i="6"/>
  <c r="H2148" i="6"/>
  <c r="H2564" i="6"/>
  <c r="H2382" i="6"/>
  <c r="H28" i="6"/>
  <c r="H221" i="6"/>
  <c r="H418" i="6"/>
  <c r="H2252" i="6"/>
  <c r="H2434" i="6"/>
  <c r="H2278" i="6"/>
  <c r="H93" i="6"/>
  <c r="H2330" i="6"/>
  <c r="H2226" i="6"/>
  <c r="H2304" i="6"/>
  <c r="H2538" i="6"/>
  <c r="H2590" i="6"/>
  <c r="H2200" i="6"/>
  <c r="C1861" i="6"/>
  <c r="B287" i="6"/>
  <c r="C601" i="6"/>
  <c r="B2228" i="6"/>
  <c r="C1951" i="6"/>
  <c r="B2410" i="6"/>
  <c r="C1231" i="6"/>
  <c r="B2306" i="6"/>
  <c r="B351" i="6"/>
  <c r="C2619" i="6"/>
  <c r="C224" i="6"/>
  <c r="C2255" i="6"/>
  <c r="C2541" i="6"/>
  <c r="B159" i="6"/>
  <c r="B95" i="6"/>
  <c r="C1591" i="6"/>
  <c r="C2359" i="6"/>
  <c r="C2489" i="6"/>
  <c r="C1501" i="6"/>
  <c r="C2333" i="6"/>
  <c r="C1321" i="6"/>
  <c r="C2593" i="6"/>
  <c r="C2437" i="6"/>
  <c r="C2281" i="6"/>
  <c r="C2567" i="6"/>
  <c r="C2463" i="6"/>
  <c r="B2566" i="6"/>
  <c r="C961" i="6"/>
  <c r="C2229" i="6"/>
  <c r="B2280" i="6"/>
  <c r="B2332" i="6"/>
  <c r="B2540" i="6"/>
  <c r="B2254" i="6"/>
  <c r="B223" i="6"/>
  <c r="C1051" i="6"/>
  <c r="C31" i="6"/>
  <c r="B2488" i="6"/>
  <c r="C2307" i="6"/>
  <c r="C421" i="6"/>
  <c r="C511" i="6"/>
  <c r="C2515" i="6"/>
  <c r="C288" i="6"/>
  <c r="C1681" i="6"/>
  <c r="B2358" i="6"/>
  <c r="B2618" i="6"/>
  <c r="C691" i="6"/>
  <c r="B2514" i="6"/>
  <c r="C1141" i="6"/>
  <c r="C871" i="6"/>
  <c r="C781" i="6"/>
  <c r="C1411" i="6"/>
  <c r="C2041" i="6"/>
  <c r="C352" i="6"/>
  <c r="C2411" i="6"/>
  <c r="C160" i="6"/>
  <c r="C96" i="6"/>
  <c r="B2176" i="6"/>
  <c r="B31" i="6"/>
  <c r="B2436" i="6"/>
  <c r="B2592" i="6"/>
  <c r="C1771" i="6"/>
  <c r="B2462" i="6"/>
  <c r="B2202" i="6"/>
  <c r="C2385" i="6"/>
  <c r="C2203" i="6"/>
  <c r="B420" i="6"/>
  <c r="B2384" i="6"/>
  <c r="H222" i="6" a="1"/>
  <c r="F2253" i="6"/>
  <c r="G2514" i="6"/>
  <c r="F286" i="6"/>
  <c r="F419" i="6"/>
  <c r="H2305" i="6" a="1"/>
  <c r="H2461" i="6" a="1"/>
  <c r="F2175" i="6"/>
  <c r="F2357" i="6"/>
  <c r="G1950" i="6"/>
  <c r="G2384" i="6"/>
  <c r="H2331" i="6" a="1"/>
  <c r="H2279" i="6" a="1"/>
  <c r="G2306" i="6"/>
  <c r="H29" i="6" a="1"/>
  <c r="G95" i="6"/>
  <c r="H2149" i="6" a="1"/>
  <c r="F2279" i="6"/>
  <c r="G1320" i="6"/>
  <c r="G2176" i="6"/>
  <c r="G1050" i="6"/>
  <c r="G1230" i="6"/>
  <c r="G287" i="6"/>
  <c r="F2539" i="6"/>
  <c r="G2566" i="6"/>
  <c r="F2435" i="6"/>
  <c r="G2228" i="6"/>
  <c r="H2227" i="6" a="1"/>
  <c r="F222" i="6"/>
  <c r="G1590" i="6"/>
  <c r="F351" i="6"/>
  <c r="H350" i="6" a="1"/>
  <c r="G352" i="6"/>
  <c r="F94" i="6"/>
  <c r="G2488" i="6"/>
  <c r="F2305" i="6"/>
  <c r="H2435" i="6" a="1"/>
  <c r="G30" i="6"/>
  <c r="H2253" i="6" a="1"/>
  <c r="G1410" i="6"/>
  <c r="F2331" i="6"/>
  <c r="H2409" i="6" a="1"/>
  <c r="G1140" i="6"/>
  <c r="G2202" i="6"/>
  <c r="H158" i="6" a="1"/>
  <c r="F2201" i="6"/>
  <c r="H286" i="6" a="1"/>
  <c r="G2540" i="6"/>
  <c r="F2591" i="6"/>
  <c r="F2565" i="6"/>
  <c r="G2410" i="6"/>
  <c r="G2619" i="6"/>
  <c r="G1770" i="6"/>
  <c r="G1860" i="6"/>
  <c r="F2149" i="6"/>
  <c r="G960" i="6"/>
  <c r="G780" i="6"/>
  <c r="F2383" i="6"/>
  <c r="F30" i="6"/>
  <c r="G2436" i="6"/>
  <c r="G223" i="6"/>
  <c r="G2280" i="6"/>
  <c r="G2592" i="6"/>
  <c r="G870" i="6"/>
  <c r="H2487" i="6" a="1"/>
  <c r="G2358" i="6"/>
  <c r="H94" i="6" a="1"/>
  <c r="H2175" i="6" a="1"/>
  <c r="F2409" i="6"/>
  <c r="H2591" i="6" a="1"/>
  <c r="H2565" i="6" a="1"/>
  <c r="G1500" i="6"/>
  <c r="G420" i="6"/>
  <c r="H2617" i="6" a="1"/>
  <c r="F2227" i="6"/>
  <c r="H2539" i="6" a="1"/>
  <c r="G1680" i="6"/>
  <c r="G2254" i="6"/>
  <c r="F158" i="6"/>
  <c r="G2462" i="6"/>
  <c r="F2513" i="6"/>
  <c r="G159" i="6"/>
  <c r="H2201" i="6" a="1"/>
  <c r="F2618" i="6"/>
  <c r="G600" i="6"/>
  <c r="G2332" i="6"/>
  <c r="G510" i="6"/>
  <c r="H2357" i="6" a="1"/>
  <c r="H2383" i="6" a="1"/>
  <c r="F2487" i="6"/>
  <c r="F2461" i="6"/>
  <c r="H2513" i="6" a="1"/>
  <c r="G2041" i="6"/>
  <c r="G690" i="6"/>
  <c r="H419" i="6" a="1"/>
  <c r="H2201" i="6" l="1"/>
  <c r="H158" i="6"/>
  <c r="H94" i="6"/>
  <c r="H2149" i="6"/>
  <c r="H2461" i="6"/>
  <c r="H2305" i="6"/>
  <c r="H2357" i="6"/>
  <c r="H2331" i="6"/>
  <c r="H2435" i="6"/>
  <c r="H222" i="6"/>
  <c r="H2175" i="6"/>
  <c r="H2487" i="6"/>
  <c r="H2409" i="6"/>
  <c r="H2539" i="6"/>
  <c r="H2253" i="6"/>
  <c r="H2591" i="6"/>
  <c r="H2513" i="6"/>
  <c r="H2565" i="6"/>
  <c r="H29" i="6"/>
  <c r="H286" i="6"/>
  <c r="H350" i="6"/>
  <c r="H2617" i="6"/>
  <c r="H419" i="6"/>
  <c r="H2279" i="6"/>
  <c r="H2227" i="6"/>
  <c r="H2383" i="6"/>
  <c r="C225" i="6"/>
  <c r="C353" i="6"/>
  <c r="C2334" i="6"/>
  <c r="B2307" i="6"/>
  <c r="C2620" i="6"/>
  <c r="C2516" i="6"/>
  <c r="B2437" i="6"/>
  <c r="B2229" i="6"/>
  <c r="B2411" i="6"/>
  <c r="B2463" i="6"/>
  <c r="B2489" i="6"/>
  <c r="B32" i="6"/>
  <c r="C2438" i="6"/>
  <c r="C872" i="6"/>
  <c r="C782" i="6"/>
  <c r="B2515" i="6"/>
  <c r="C2256" i="6"/>
  <c r="C1412" i="6"/>
  <c r="C2386" i="6"/>
  <c r="C2568" i="6"/>
  <c r="C2042" i="6"/>
  <c r="C1952" i="6"/>
  <c r="B224" i="6"/>
  <c r="B2281" i="6"/>
  <c r="C2594" i="6"/>
  <c r="C2490" i="6"/>
  <c r="B352" i="6"/>
  <c r="B485" i="6"/>
  <c r="B421" i="6"/>
  <c r="C2542" i="6"/>
  <c r="C1862" i="6"/>
  <c r="B2203" i="6"/>
  <c r="C962" i="6"/>
  <c r="C32" i="6"/>
  <c r="C2360" i="6"/>
  <c r="C2282" i="6"/>
  <c r="B2255" i="6"/>
  <c r="C1232" i="6"/>
  <c r="B2385" i="6"/>
  <c r="B2567" i="6"/>
  <c r="C1052" i="6"/>
  <c r="C2308" i="6"/>
  <c r="C1682" i="6"/>
  <c r="C289" i="6"/>
  <c r="B2333" i="6"/>
  <c r="C1502" i="6"/>
  <c r="B288" i="6"/>
  <c r="C2230" i="6"/>
  <c r="C97" i="6"/>
  <c r="C161" i="6"/>
  <c r="C602" i="6"/>
  <c r="B96" i="6"/>
  <c r="B160" i="6"/>
  <c r="C1322" i="6"/>
  <c r="C692" i="6"/>
  <c r="C2412" i="6"/>
  <c r="B2619" i="6"/>
  <c r="B2541" i="6"/>
  <c r="C1772" i="6"/>
  <c r="C512" i="6"/>
  <c r="C422" i="6"/>
  <c r="C1142" i="6"/>
  <c r="B2359" i="6"/>
  <c r="B2593" i="6"/>
  <c r="C2464" i="6"/>
  <c r="C1592" i="6"/>
  <c r="G2620" i="6"/>
  <c r="F2488" i="6"/>
  <c r="F2358" i="6"/>
  <c r="H2280" i="6" a="1"/>
  <c r="H159" i="6" a="1"/>
  <c r="H2228" i="6" a="1"/>
  <c r="F2410" i="6"/>
  <c r="H2384" i="6" a="1"/>
  <c r="H2306" i="6" a="1"/>
  <c r="G2203" i="6"/>
  <c r="G160" i="6"/>
  <c r="H223" i="6" a="1"/>
  <c r="G2437" i="6"/>
  <c r="G871" i="6"/>
  <c r="F2540" i="6"/>
  <c r="F31" i="6"/>
  <c r="F2332" i="6"/>
  <c r="F2306" i="6"/>
  <c r="G1231" i="6"/>
  <c r="F2462" i="6"/>
  <c r="G1051" i="6"/>
  <c r="F2514" i="6"/>
  <c r="F2384" i="6"/>
  <c r="G224" i="6"/>
  <c r="G353" i="6"/>
  <c r="G2229" i="6"/>
  <c r="H2488" i="6" a="1"/>
  <c r="G2385" i="6"/>
  <c r="H2254" i="6" a="1"/>
  <c r="G1411" i="6"/>
  <c r="G288" i="6"/>
  <c r="H2619" i="6" a="1"/>
  <c r="H287" i="6" a="1"/>
  <c r="H2202" i="6" a="1"/>
  <c r="G691" i="6"/>
  <c r="H2618" i="6" a="1"/>
  <c r="G1321" i="6"/>
  <c r="G961" i="6"/>
  <c r="H95" i="6" a="1"/>
  <c r="F2436" i="6"/>
  <c r="F2228" i="6"/>
  <c r="F2176" i="6"/>
  <c r="H2514" i="6" a="1"/>
  <c r="F95" i="6"/>
  <c r="F2202" i="6"/>
  <c r="G1501" i="6"/>
  <c r="G2541" i="6"/>
  <c r="G2333" i="6"/>
  <c r="H2436" i="6" a="1"/>
  <c r="H420" i="6" a="1"/>
  <c r="H2566" i="6" a="1"/>
  <c r="G511" i="6"/>
  <c r="G1951" i="6"/>
  <c r="H2176" i="6" a="1"/>
  <c r="F223" i="6"/>
  <c r="G2255" i="6"/>
  <c r="G96" i="6"/>
  <c r="G1771" i="6"/>
  <c r="F159" i="6"/>
  <c r="G2463" i="6"/>
  <c r="G2411" i="6"/>
  <c r="H2592" i="6" a="1"/>
  <c r="F2280" i="6"/>
  <c r="F287" i="6"/>
  <c r="G2489" i="6"/>
  <c r="F2619" i="6"/>
  <c r="H2332" i="6" a="1"/>
  <c r="G1141" i="6"/>
  <c r="H351" i="6" a="1"/>
  <c r="G2593" i="6"/>
  <c r="F420" i="6"/>
  <c r="H2358" i="6" a="1"/>
  <c r="G1591" i="6"/>
  <c r="G1681" i="6"/>
  <c r="G601" i="6"/>
  <c r="G2307" i="6"/>
  <c r="G781" i="6"/>
  <c r="G2567" i="6"/>
  <c r="G2281" i="6"/>
  <c r="H2462" i="6" a="1"/>
  <c r="G1861" i="6"/>
  <c r="H30" i="6" a="1"/>
  <c r="G2042" i="6"/>
  <c r="F2566" i="6"/>
  <c r="H2540" i="6" a="1"/>
  <c r="F2254" i="6"/>
  <c r="G2359" i="6"/>
  <c r="G421" i="6"/>
  <c r="F2592" i="6"/>
  <c r="G2515" i="6"/>
  <c r="F352" i="6"/>
  <c r="G31" i="6"/>
  <c r="H2410" i="6" a="1"/>
  <c r="H2619" i="6" l="1"/>
  <c r="H420" i="6"/>
  <c r="H351" i="6"/>
  <c r="H2488" i="6"/>
  <c r="H287" i="6"/>
  <c r="H2514" i="6"/>
  <c r="H95" i="6"/>
  <c r="H2176" i="6"/>
  <c r="H2228" i="6"/>
  <c r="H2436" i="6"/>
  <c r="H159" i="6"/>
  <c r="H2592" i="6"/>
  <c r="H2332" i="6"/>
  <c r="H2540" i="6"/>
  <c r="H2358" i="6"/>
  <c r="H223" i="6"/>
  <c r="H2618" i="6"/>
  <c r="H2410" i="6"/>
  <c r="H2306" i="6"/>
  <c r="H2202" i="6"/>
  <c r="H2462" i="6"/>
  <c r="H2384" i="6"/>
  <c r="H30" i="6"/>
  <c r="H2254" i="6"/>
  <c r="H2280" i="6"/>
  <c r="H2566" i="6"/>
  <c r="B2620" i="6"/>
  <c r="B2386" i="6"/>
  <c r="C1863" i="6"/>
  <c r="C783" i="6"/>
  <c r="C226" i="6"/>
  <c r="C1593" i="6"/>
  <c r="C2335" i="6"/>
  <c r="C33" i="6"/>
  <c r="C2517" i="6"/>
  <c r="C2043" i="6"/>
  <c r="C1503" i="6"/>
  <c r="C963" i="6"/>
  <c r="B2490" i="6"/>
  <c r="C1323" i="6"/>
  <c r="C2569" i="6"/>
  <c r="C290" i="6"/>
  <c r="B2568" i="6"/>
  <c r="C1683" i="6"/>
  <c r="C1233" i="6"/>
  <c r="C1413" i="6"/>
  <c r="C98" i="6"/>
  <c r="C162" i="6"/>
  <c r="B2360" i="6"/>
  <c r="C1143" i="6"/>
  <c r="B486" i="6"/>
  <c r="B422" i="6"/>
  <c r="C2621" i="6"/>
  <c r="C2283" i="6"/>
  <c r="C2465" i="6"/>
  <c r="B2438" i="6"/>
  <c r="C2257" i="6"/>
  <c r="B2282" i="6"/>
  <c r="C1053" i="6"/>
  <c r="B2542" i="6"/>
  <c r="B33" i="6"/>
  <c r="B2256" i="6"/>
  <c r="C513" i="6"/>
  <c r="C423" i="6"/>
  <c r="C2491" i="6"/>
  <c r="B225" i="6"/>
  <c r="C354" i="6"/>
  <c r="B2308" i="6"/>
  <c r="C2595" i="6"/>
  <c r="B2334" i="6"/>
  <c r="C603" i="6"/>
  <c r="C2439" i="6"/>
  <c r="B97" i="6"/>
  <c r="B161" i="6"/>
  <c r="B353" i="6"/>
  <c r="B2594" i="6"/>
  <c r="C2309" i="6"/>
  <c r="B2230" i="6"/>
  <c r="B289" i="6"/>
  <c r="C693" i="6"/>
  <c r="C2387" i="6"/>
  <c r="C1953" i="6"/>
  <c r="C2413" i="6"/>
  <c r="C873" i="6"/>
  <c r="B2516" i="6"/>
  <c r="B2464" i="6"/>
  <c r="C2361" i="6"/>
  <c r="C1773" i="6"/>
  <c r="B2412" i="6"/>
  <c r="C2543" i="6"/>
  <c r="G2360" i="6"/>
  <c r="H2359" i="6" a="1"/>
  <c r="H2385" i="6" a="1"/>
  <c r="F2515" i="6"/>
  <c r="H2463" i="6" a="1"/>
  <c r="G512" i="6"/>
  <c r="G2308" i="6"/>
  <c r="H96" i="6" a="1"/>
  <c r="G422" i="6"/>
  <c r="H2255" i="6" a="1"/>
  <c r="F160" i="6"/>
  <c r="F2255" i="6"/>
  <c r="F353" i="6"/>
  <c r="G2282" i="6"/>
  <c r="H2307" i="6" a="1"/>
  <c r="G161" i="6"/>
  <c r="G1772" i="6"/>
  <c r="G2412" i="6"/>
  <c r="H2593" i="6" a="1"/>
  <c r="G602" i="6"/>
  <c r="G225" i="6"/>
  <c r="G2334" i="6"/>
  <c r="G2568" i="6"/>
  <c r="H288" i="6" a="1"/>
  <c r="H2515" i="6" a="1"/>
  <c r="F2281" i="6"/>
  <c r="F2437" i="6"/>
  <c r="G962" i="6"/>
  <c r="G2438" i="6"/>
  <c r="F224" i="6"/>
  <c r="G692" i="6"/>
  <c r="H2411" i="6" a="1"/>
  <c r="H224" i="6" a="1"/>
  <c r="G2464" i="6"/>
  <c r="G2542" i="6"/>
  <c r="F421" i="6"/>
  <c r="F2463" i="6"/>
  <c r="G1502" i="6"/>
  <c r="F485" i="6"/>
  <c r="H160" i="6" a="1"/>
  <c r="H2437" i="6" a="1"/>
  <c r="G1322" i="6"/>
  <c r="G1682" i="6"/>
  <c r="G1862" i="6"/>
  <c r="G2230" i="6"/>
  <c r="G1412" i="6"/>
  <c r="F2620" i="6"/>
  <c r="F96" i="6"/>
  <c r="F2333" i="6"/>
  <c r="G1952" i="6"/>
  <c r="G782" i="6"/>
  <c r="F2229" i="6"/>
  <c r="H2567" i="6" a="1"/>
  <c r="H31" i="6" a="1"/>
  <c r="H2333" i="6" a="1"/>
  <c r="H2489" i="6" a="1"/>
  <c r="G2386" i="6"/>
  <c r="G1142" i="6"/>
  <c r="G2516" i="6"/>
  <c r="G97" i="6"/>
  <c r="G1592" i="6"/>
  <c r="F2541" i="6"/>
  <c r="F2203" i="6"/>
  <c r="H485" i="6" a="1"/>
  <c r="G1232" i="6"/>
  <c r="G2256" i="6"/>
  <c r="F2307" i="6"/>
  <c r="G2621" i="6"/>
  <c r="H2281" i="6" a="1"/>
  <c r="G32" i="6"/>
  <c r="F2385" i="6"/>
  <c r="G2594" i="6"/>
  <c r="F2411" i="6"/>
  <c r="H2203" i="6" a="1"/>
  <c r="G1052" i="6"/>
  <c r="F2489" i="6"/>
  <c r="F288" i="6"/>
  <c r="F2567" i="6"/>
  <c r="H352" i="6" a="1"/>
  <c r="G354" i="6"/>
  <c r="G289" i="6"/>
  <c r="G2043" i="6"/>
  <c r="F32" i="6"/>
  <c r="F2593" i="6"/>
  <c r="G872" i="6"/>
  <c r="H421" i="6" a="1"/>
  <c r="H2541" i="6" a="1"/>
  <c r="H353" i="6" a="1"/>
  <c r="G2490" i="6"/>
  <c r="H2229" i="6" a="1"/>
  <c r="F2359" i="6"/>
  <c r="H353" i="6" l="1"/>
  <c r="H2411" i="6"/>
  <c r="H160" i="6"/>
  <c r="H2229" i="6"/>
  <c r="H288" i="6"/>
  <c r="H2593" i="6"/>
  <c r="H2489" i="6"/>
  <c r="H352" i="6"/>
  <c r="H485" i="6"/>
  <c r="H2307" i="6"/>
  <c r="H2567" i="6"/>
  <c r="H2515" i="6"/>
  <c r="H2463" i="6"/>
  <c r="H31" i="6"/>
  <c r="H2359" i="6"/>
  <c r="H2255" i="6"/>
  <c r="H2541" i="6"/>
  <c r="H96" i="6"/>
  <c r="H2281" i="6"/>
  <c r="H2333" i="6"/>
  <c r="H224" i="6"/>
  <c r="H2203" i="6"/>
  <c r="H2437" i="6"/>
  <c r="H421" i="6"/>
  <c r="H2385" i="6"/>
  <c r="C2336" i="6"/>
  <c r="C2622" i="6"/>
  <c r="B34" i="6"/>
  <c r="B2387" i="6"/>
  <c r="C1414" i="6"/>
  <c r="B2543" i="6"/>
  <c r="C2466" i="6"/>
  <c r="B2335" i="6"/>
  <c r="C2518" i="6"/>
  <c r="C2284" i="6"/>
  <c r="C1774" i="6"/>
  <c r="C1684" i="6"/>
  <c r="B2413" i="6"/>
  <c r="C2414" i="6"/>
  <c r="C1864" i="6"/>
  <c r="B2465" i="6"/>
  <c r="B487" i="6"/>
  <c r="B423" i="6"/>
  <c r="C227" i="6"/>
  <c r="B2517" i="6"/>
  <c r="C291" i="6"/>
  <c r="C964" i="6"/>
  <c r="C784" i="6"/>
  <c r="B2621" i="6"/>
  <c r="C514" i="6"/>
  <c r="C424" i="6"/>
  <c r="B2569" i="6"/>
  <c r="C163" i="6"/>
  <c r="C99" i="6"/>
  <c r="B2595" i="6"/>
  <c r="C2544" i="6"/>
  <c r="C694" i="6"/>
  <c r="C604" i="6"/>
  <c r="C1144" i="6"/>
  <c r="C355" i="6"/>
  <c r="C1054" i="6"/>
  <c r="C34" i="6"/>
  <c r="B354" i="6"/>
  <c r="C2492" i="6"/>
  <c r="C1504" i="6"/>
  <c r="C874" i="6"/>
  <c r="B2439" i="6"/>
  <c r="C2388" i="6"/>
  <c r="B2361" i="6"/>
  <c r="C2570" i="6"/>
  <c r="B226" i="6"/>
  <c r="B2283" i="6"/>
  <c r="B2309" i="6"/>
  <c r="C1234" i="6"/>
  <c r="C1324" i="6"/>
  <c r="C2362" i="6"/>
  <c r="C1954" i="6"/>
  <c r="B162" i="6"/>
  <c r="B98" i="6"/>
  <c r="C2440" i="6"/>
  <c r="B2491" i="6"/>
  <c r="C2044" i="6"/>
  <c r="B2257" i="6"/>
  <c r="B290" i="6"/>
  <c r="C2310" i="6"/>
  <c r="C2596" i="6"/>
  <c r="C1594" i="6"/>
  <c r="H422" i="6" a="1"/>
  <c r="F2334" i="6"/>
  <c r="G290" i="6"/>
  <c r="G2387" i="6"/>
  <c r="H2516" i="6" a="1"/>
  <c r="G1053" i="6"/>
  <c r="G98" i="6"/>
  <c r="G423" i="6"/>
  <c r="G2413" i="6"/>
  <c r="G2361" i="6"/>
  <c r="G2569" i="6"/>
  <c r="G2491" i="6"/>
  <c r="G513" i="6"/>
  <c r="H32" i="6" a="1"/>
  <c r="F2308" i="6"/>
  <c r="H2308" i="6" a="1"/>
  <c r="G1503" i="6"/>
  <c r="F422" i="6"/>
  <c r="G603" i="6"/>
  <c r="G693" i="6"/>
  <c r="H2568" i="6" a="1"/>
  <c r="G783" i="6"/>
  <c r="H2412" i="6" a="1"/>
  <c r="H2464" i="6" a="1"/>
  <c r="G1143" i="6"/>
  <c r="G1863" i="6"/>
  <c r="F2256" i="6"/>
  <c r="G873" i="6"/>
  <c r="F289" i="6"/>
  <c r="H2230" i="6" a="1"/>
  <c r="H2490" i="6" a="1"/>
  <c r="G1683" i="6"/>
  <c r="F2386" i="6"/>
  <c r="G33" i="6"/>
  <c r="F2282" i="6"/>
  <c r="F2542" i="6"/>
  <c r="H354" i="6" a="1"/>
  <c r="F2412" i="6"/>
  <c r="H225" i="6" a="1"/>
  <c r="F225" i="6"/>
  <c r="G2622" i="6"/>
  <c r="H2620" i="6" a="1"/>
  <c r="F33" i="6"/>
  <c r="F2594" i="6"/>
  <c r="G2257" i="6"/>
  <c r="H289" i="6" a="1"/>
  <c r="F2438" i="6"/>
  <c r="G2439" i="6"/>
  <c r="H2438" i="6" a="1"/>
  <c r="G226" i="6"/>
  <c r="G963" i="6"/>
  <c r="F486" i="6"/>
  <c r="G2335" i="6"/>
  <c r="G2543" i="6"/>
  <c r="H2386" i="6" a="1"/>
  <c r="F2568" i="6"/>
  <c r="G2309" i="6"/>
  <c r="H2542" i="6" a="1"/>
  <c r="G1413" i="6"/>
  <c r="F2230" i="6"/>
  <c r="F97" i="6"/>
  <c r="H486" i="6" a="1"/>
  <c r="H2360" i="6" a="1"/>
  <c r="G1323" i="6"/>
  <c r="G355" i="6"/>
  <c r="H161" i="6" a="1"/>
  <c r="G2595" i="6"/>
  <c r="F354" i="6"/>
  <c r="G1953" i="6"/>
  <c r="F2490" i="6"/>
  <c r="G2465" i="6"/>
  <c r="H2256" i="6" a="1"/>
  <c r="H2594" i="6" a="1"/>
  <c r="G1773" i="6"/>
  <c r="G2517" i="6"/>
  <c r="H2334" i="6" a="1"/>
  <c r="F2360" i="6"/>
  <c r="G2283" i="6"/>
  <c r="G2044" i="6"/>
  <c r="G162" i="6"/>
  <c r="G1233" i="6"/>
  <c r="F2621" i="6"/>
  <c r="F161" i="6"/>
  <c r="G1593" i="6"/>
  <c r="F2464" i="6"/>
  <c r="F2516" i="6"/>
  <c r="H2282" i="6" a="1"/>
  <c r="H97" i="6" a="1"/>
  <c r="H354" i="6" l="1"/>
  <c r="H2620" i="6"/>
  <c r="H486" i="6"/>
  <c r="H2438" i="6"/>
  <c r="H2360" i="6"/>
  <c r="H2308" i="6"/>
  <c r="H422" i="6"/>
  <c r="H2490" i="6"/>
  <c r="H2568" i="6"/>
  <c r="H2542" i="6"/>
  <c r="H2334" i="6"/>
  <c r="H2464" i="6"/>
  <c r="H2256" i="6"/>
  <c r="H161" i="6"/>
  <c r="H2412" i="6"/>
  <c r="H2516" i="6"/>
  <c r="H289" i="6"/>
  <c r="H32" i="6"/>
  <c r="H97" i="6"/>
  <c r="H2594" i="6"/>
  <c r="H2230" i="6"/>
  <c r="H2386" i="6"/>
  <c r="H225" i="6"/>
  <c r="H2282" i="6"/>
  <c r="B291" i="6"/>
  <c r="C2337" i="6"/>
  <c r="B2518" i="6"/>
  <c r="C2045" i="6"/>
  <c r="B2388" i="6"/>
  <c r="C1595" i="6"/>
  <c r="C1145" i="6"/>
  <c r="C785" i="6"/>
  <c r="B2544" i="6"/>
  <c r="C1865" i="6"/>
  <c r="C2493" i="6"/>
  <c r="C2415" i="6"/>
  <c r="C2519" i="6"/>
  <c r="C1955" i="6"/>
  <c r="B35" i="6"/>
  <c r="C2467" i="6"/>
  <c r="C2389" i="6"/>
  <c r="B2310" i="6"/>
  <c r="C2571" i="6"/>
  <c r="C875" i="6"/>
  <c r="C292" i="6"/>
  <c r="C2441" i="6"/>
  <c r="C2311" i="6"/>
  <c r="B355" i="6"/>
  <c r="B2466" i="6"/>
  <c r="B2622" i="6"/>
  <c r="B2596" i="6"/>
  <c r="B488" i="6"/>
  <c r="B424" i="6"/>
  <c r="B2570" i="6"/>
  <c r="C1415" i="6"/>
  <c r="C515" i="6"/>
  <c r="C425" i="6"/>
  <c r="C1055" i="6"/>
  <c r="C2363" i="6"/>
  <c r="C35" i="6"/>
  <c r="C605" i="6"/>
  <c r="B2440" i="6"/>
  <c r="C2545" i="6"/>
  <c r="C1505" i="6"/>
  <c r="C1235" i="6"/>
  <c r="C1685" i="6"/>
  <c r="B2284" i="6"/>
  <c r="B163" i="6"/>
  <c r="B99" i="6"/>
  <c r="C2623" i="6"/>
  <c r="B227" i="6"/>
  <c r="C1325" i="6"/>
  <c r="C2597" i="6"/>
  <c r="C965" i="6"/>
  <c r="C695" i="6"/>
  <c r="C164" i="6"/>
  <c r="C100" i="6"/>
  <c r="C356" i="6"/>
  <c r="B2492" i="6"/>
  <c r="B2362" i="6"/>
  <c r="B2414" i="6"/>
  <c r="B2336" i="6"/>
  <c r="C228" i="6"/>
  <c r="C1775" i="6"/>
  <c r="H2439" i="6" a="1"/>
  <c r="H2491" i="6" a="1"/>
  <c r="H2413" i="6" a="1"/>
  <c r="H487" i="6" a="1"/>
  <c r="F98" i="6"/>
  <c r="G2284" i="6"/>
  <c r="F2283" i="6"/>
  <c r="G34" i="6"/>
  <c r="H2283" i="6" a="1"/>
  <c r="H2569" i="6" a="1"/>
  <c r="G964" i="6"/>
  <c r="F2413" i="6"/>
  <c r="G1054" i="6"/>
  <c r="G1234" i="6"/>
  <c r="F2595" i="6"/>
  <c r="F2439" i="6"/>
  <c r="G2466" i="6"/>
  <c r="G2045" i="6"/>
  <c r="H2621" i="6" a="1"/>
  <c r="G2362" i="6"/>
  <c r="G2544" i="6"/>
  <c r="G2596" i="6"/>
  <c r="H2257" i="6" a="1"/>
  <c r="G1954" i="6"/>
  <c r="G2388" i="6"/>
  <c r="H162" i="6" a="1"/>
  <c r="H2387" i="6" a="1"/>
  <c r="G99" i="6"/>
  <c r="G356" i="6"/>
  <c r="H98" i="6" a="1"/>
  <c r="G1684" i="6"/>
  <c r="H226" i="6" a="1"/>
  <c r="F290" i="6"/>
  <c r="H2361" i="6" a="1"/>
  <c r="F2361" i="6"/>
  <c r="G1774" i="6"/>
  <c r="H2465" i="6" a="1"/>
  <c r="F2465" i="6"/>
  <c r="F162" i="6"/>
  <c r="F2491" i="6"/>
  <c r="F2569" i="6"/>
  <c r="H2335" i="6" a="1"/>
  <c r="F34" i="6"/>
  <c r="G514" i="6"/>
  <c r="G163" i="6"/>
  <c r="G424" i="6"/>
  <c r="F487" i="6"/>
  <c r="G1504" i="6"/>
  <c r="G1864" i="6"/>
  <c r="F2335" i="6"/>
  <c r="H2517" i="6" a="1"/>
  <c r="G2518" i="6"/>
  <c r="F2387" i="6"/>
  <c r="G784" i="6"/>
  <c r="H290" i="6" a="1"/>
  <c r="F226" i="6"/>
  <c r="F423" i="6"/>
  <c r="G1414" i="6"/>
  <c r="G2570" i="6"/>
  <c r="F2622" i="6"/>
  <c r="F2309" i="6"/>
  <c r="F2257" i="6"/>
  <c r="G2310" i="6"/>
  <c r="F355" i="6"/>
  <c r="F2543" i="6"/>
  <c r="G2336" i="6"/>
  <c r="H2543" i="6" a="1"/>
  <c r="H423" i="6" a="1"/>
  <c r="G2440" i="6"/>
  <c r="G1144" i="6"/>
  <c r="G227" i="6"/>
  <c r="G694" i="6"/>
  <c r="F2517" i="6"/>
  <c r="G1594" i="6"/>
  <c r="H33" i="6" a="1"/>
  <c r="G1324" i="6"/>
  <c r="G2623" i="6"/>
  <c r="H2595" i="6" a="1"/>
  <c r="G604" i="6"/>
  <c r="G2414" i="6"/>
  <c r="G291" i="6"/>
  <c r="G874" i="6"/>
  <c r="H2309" i="6" a="1"/>
  <c r="G2492" i="6"/>
  <c r="H2569" i="6" l="1"/>
  <c r="H2543" i="6"/>
  <c r="H98" i="6"/>
  <c r="H2491" i="6"/>
  <c r="H2387" i="6"/>
  <c r="H2361" i="6"/>
  <c r="H2517" i="6"/>
  <c r="H2335" i="6"/>
  <c r="H290" i="6"/>
  <c r="H2283" i="6"/>
  <c r="H2413" i="6"/>
  <c r="H487" i="6"/>
  <c r="H423" i="6"/>
  <c r="H2439" i="6"/>
  <c r="H33" i="6"/>
  <c r="H2595" i="6"/>
  <c r="H2309" i="6"/>
  <c r="H162" i="6"/>
  <c r="H2621" i="6"/>
  <c r="H226" i="6"/>
  <c r="H2257" i="6"/>
  <c r="H2465" i="6"/>
  <c r="C966" i="6"/>
  <c r="C2494" i="6"/>
  <c r="C2442" i="6"/>
  <c r="C165" i="6"/>
  <c r="C101" i="6"/>
  <c r="B228" i="6"/>
  <c r="C516" i="6"/>
  <c r="C426" i="6"/>
  <c r="C36" i="6"/>
  <c r="C876" i="6"/>
  <c r="B2389" i="6"/>
  <c r="C1416" i="6"/>
  <c r="C606" i="6"/>
  <c r="B2623" i="6"/>
  <c r="C2338" i="6"/>
  <c r="B2311" i="6"/>
  <c r="C786" i="6"/>
  <c r="B292" i="6"/>
  <c r="C2572" i="6"/>
  <c r="C2390" i="6"/>
  <c r="C1506" i="6"/>
  <c r="C2598" i="6"/>
  <c r="B36" i="6"/>
  <c r="C2520" i="6"/>
  <c r="C1236" i="6"/>
  <c r="B2545" i="6"/>
  <c r="C1776" i="6"/>
  <c r="B2467" i="6"/>
  <c r="B2337" i="6"/>
  <c r="C1866" i="6"/>
  <c r="B2519" i="6"/>
  <c r="C2468" i="6"/>
  <c r="C2046" i="6"/>
  <c r="C1956" i="6"/>
  <c r="C1686" i="6"/>
  <c r="C2364" i="6"/>
  <c r="C229" i="6"/>
  <c r="C1596" i="6"/>
  <c r="C2624" i="6"/>
  <c r="B2597" i="6"/>
  <c r="B2493" i="6"/>
  <c r="B2415" i="6"/>
  <c r="C293" i="6"/>
  <c r="C1056" i="6"/>
  <c r="B2363" i="6"/>
  <c r="C1326" i="6"/>
  <c r="B2441" i="6"/>
  <c r="B164" i="6"/>
  <c r="B100" i="6"/>
  <c r="C696" i="6"/>
  <c r="C1146" i="6"/>
  <c r="B489" i="6"/>
  <c r="B425" i="6"/>
  <c r="C357" i="6"/>
  <c r="C2416" i="6"/>
  <c r="C2546" i="6"/>
  <c r="B2571" i="6"/>
  <c r="B356" i="6"/>
  <c r="H163" i="6" a="1"/>
  <c r="F291" i="6"/>
  <c r="H2492" i="6" a="1"/>
  <c r="H2414" i="6" a="1"/>
  <c r="G875" i="6"/>
  <c r="F2596" i="6"/>
  <c r="H2466" i="6" a="1"/>
  <c r="G2597" i="6"/>
  <c r="F35" i="6"/>
  <c r="G164" i="6"/>
  <c r="F2310" i="6"/>
  <c r="F2466" i="6"/>
  <c r="F2492" i="6"/>
  <c r="H2570" i="6" a="1"/>
  <c r="G1325" i="6"/>
  <c r="G357" i="6"/>
  <c r="G1235" i="6"/>
  <c r="F2284" i="6"/>
  <c r="G1685" i="6"/>
  <c r="G695" i="6"/>
  <c r="F99" i="6"/>
  <c r="F2518" i="6"/>
  <c r="H2518" i="6" a="1"/>
  <c r="F2623" i="6"/>
  <c r="H2362" i="6" a="1"/>
  <c r="F356" i="6"/>
  <c r="H291" i="6" a="1"/>
  <c r="F2440" i="6"/>
  <c r="G292" i="6"/>
  <c r="H2544" i="6" a="1"/>
  <c r="F2388" i="6"/>
  <c r="G2389" i="6"/>
  <c r="G2337" i="6"/>
  <c r="H2622" i="6" a="1"/>
  <c r="H2336" i="6" a="1"/>
  <c r="H227" i="6" a="1"/>
  <c r="G425" i="6"/>
  <c r="G2363" i="6"/>
  <c r="G1055" i="6"/>
  <c r="G1145" i="6"/>
  <c r="G2493" i="6"/>
  <c r="G1595" i="6"/>
  <c r="F227" i="6"/>
  <c r="G2415" i="6"/>
  <c r="G1955" i="6"/>
  <c r="G2046" i="6"/>
  <c r="G785" i="6"/>
  <c r="G2571" i="6"/>
  <c r="F488" i="6"/>
  <c r="G2441" i="6"/>
  <c r="G2467" i="6"/>
  <c r="F2362" i="6"/>
  <c r="G965" i="6"/>
  <c r="H2310" i="6" a="1"/>
  <c r="G228" i="6"/>
  <c r="H2284" i="6" a="1"/>
  <c r="G2311" i="6"/>
  <c r="G1775" i="6"/>
  <c r="F2544" i="6"/>
  <c r="G605" i="6"/>
  <c r="F2336" i="6"/>
  <c r="H488" i="6" a="1"/>
  <c r="G100" i="6"/>
  <c r="F2414" i="6"/>
  <c r="H2440" i="6" a="1"/>
  <c r="G35" i="6"/>
  <c r="H2388" i="6" a="1"/>
  <c r="F2570" i="6"/>
  <c r="F424" i="6"/>
  <c r="G2624" i="6"/>
  <c r="H424" i="6" a="1"/>
  <c r="H2596" i="6" a="1"/>
  <c r="G1505" i="6"/>
  <c r="G1865" i="6"/>
  <c r="H34" i="6" a="1"/>
  <c r="G515" i="6"/>
  <c r="H99" i="6" a="1"/>
  <c r="G2519" i="6"/>
  <c r="G2545" i="6"/>
  <c r="F163" i="6"/>
  <c r="H355" i="6" a="1"/>
  <c r="G1415" i="6"/>
  <c r="H99" i="6" l="1"/>
  <c r="H291" i="6"/>
  <c r="H34" i="6"/>
  <c r="H2596" i="6"/>
  <c r="H2310" i="6"/>
  <c r="H424" i="6"/>
  <c r="H2466" i="6"/>
  <c r="H2388" i="6"/>
  <c r="H488" i="6"/>
  <c r="H2544" i="6"/>
  <c r="H2440" i="6"/>
  <c r="H355" i="6"/>
  <c r="H2492" i="6"/>
  <c r="H2284" i="6"/>
  <c r="H2336" i="6"/>
  <c r="H2622" i="6"/>
  <c r="H2362" i="6"/>
  <c r="H2518" i="6"/>
  <c r="H2570" i="6"/>
  <c r="H227" i="6"/>
  <c r="H2414" i="6"/>
  <c r="H163" i="6"/>
  <c r="C787" i="6"/>
  <c r="B165" i="6"/>
  <c r="B101" i="6"/>
  <c r="B2390" i="6"/>
  <c r="B2442" i="6"/>
  <c r="C1687" i="6"/>
  <c r="C1777" i="6"/>
  <c r="B2546" i="6"/>
  <c r="C1867" i="6"/>
  <c r="B37" i="6"/>
  <c r="C2365" i="6"/>
  <c r="B2416" i="6"/>
  <c r="C2521" i="6"/>
  <c r="B2598" i="6"/>
  <c r="C967" i="6"/>
  <c r="B293" i="6"/>
  <c r="B490" i="6"/>
  <c r="B426" i="6"/>
  <c r="B229" i="6"/>
  <c r="C1147" i="6"/>
  <c r="B2520" i="6"/>
  <c r="C294" i="6"/>
  <c r="C2047" i="6"/>
  <c r="C1957" i="6"/>
  <c r="B2572" i="6"/>
  <c r="C2625" i="6"/>
  <c r="B357" i="6"/>
  <c r="C166" i="6"/>
  <c r="C102" i="6"/>
  <c r="C1057" i="6"/>
  <c r="C1597" i="6"/>
  <c r="C2573" i="6"/>
  <c r="B2468" i="6"/>
  <c r="C358" i="6"/>
  <c r="B2624" i="6"/>
  <c r="B2364" i="6"/>
  <c r="C1327" i="6"/>
  <c r="C877" i="6"/>
  <c r="C697" i="6"/>
  <c r="C37" i="6"/>
  <c r="C230" i="6"/>
  <c r="B2494" i="6"/>
  <c r="C1237" i="6"/>
  <c r="C2495" i="6"/>
  <c r="C2443" i="6"/>
  <c r="C1417" i="6"/>
  <c r="C2391" i="6"/>
  <c r="C2547" i="6"/>
  <c r="C2417" i="6"/>
  <c r="B2338" i="6"/>
  <c r="C1507" i="6"/>
  <c r="C427" i="6"/>
  <c r="C517" i="6"/>
  <c r="C2469" i="6"/>
  <c r="C2599" i="6"/>
  <c r="C607" i="6"/>
  <c r="G101" i="6"/>
  <c r="H2493" i="6" a="1"/>
  <c r="G1326" i="6"/>
  <c r="F2597" i="6"/>
  <c r="G1506" i="6"/>
  <c r="G229" i="6"/>
  <c r="H228" i="6" a="1"/>
  <c r="G2520" i="6"/>
  <c r="G1866" i="6"/>
  <c r="G606" i="6"/>
  <c r="F2493" i="6"/>
  <c r="F2363" i="6"/>
  <c r="H100" i="6" a="1"/>
  <c r="G2364" i="6"/>
  <c r="G1776" i="6"/>
  <c r="F425" i="6"/>
  <c r="G696" i="6"/>
  <c r="G1956" i="6"/>
  <c r="F489" i="6"/>
  <c r="H164" i="6" a="1"/>
  <c r="G165" i="6"/>
  <c r="H2389" i="6" a="1"/>
  <c r="H356" i="6" a="1"/>
  <c r="G2390" i="6"/>
  <c r="F2624" i="6"/>
  <c r="F2311" i="6"/>
  <c r="G2572" i="6"/>
  <c r="H2467" i="6" a="1"/>
  <c r="G1236" i="6"/>
  <c r="H2441" i="6" a="1"/>
  <c r="F2389" i="6"/>
  <c r="F292" i="6"/>
  <c r="G36" i="6"/>
  <c r="G426" i="6"/>
  <c r="F2415" i="6"/>
  <c r="F2467" i="6"/>
  <c r="G2442" i="6"/>
  <c r="H2624" i="6" a="1"/>
  <c r="F2545" i="6"/>
  <c r="F2519" i="6"/>
  <c r="G2416" i="6"/>
  <c r="G1686" i="6"/>
  <c r="G2047" i="6"/>
  <c r="F228" i="6"/>
  <c r="G876" i="6"/>
  <c r="F357" i="6"/>
  <c r="G2546" i="6"/>
  <c r="H2311" i="6" a="1"/>
  <c r="G1056" i="6"/>
  <c r="H2337" i="6" a="1"/>
  <c r="F2571" i="6"/>
  <c r="H2363" i="6" a="1"/>
  <c r="G1416" i="6"/>
  <c r="H35" i="6" a="1"/>
  <c r="H2597" i="6" a="1"/>
  <c r="G358" i="6"/>
  <c r="H489" i="6" a="1"/>
  <c r="F2441" i="6"/>
  <c r="H2415" i="6" a="1"/>
  <c r="F36" i="6"/>
  <c r="G2468" i="6"/>
  <c r="G2338" i="6"/>
  <c r="G966" i="6"/>
  <c r="H2623" i="6" a="1"/>
  <c r="F164" i="6"/>
  <c r="F2337" i="6"/>
  <c r="G2598" i="6"/>
  <c r="H2545" i="6" a="1"/>
  <c r="G1146" i="6"/>
  <c r="F100" i="6"/>
  <c r="H2519" i="6" a="1"/>
  <c r="H425" i="6" a="1"/>
  <c r="G2625" i="6"/>
  <c r="G516" i="6"/>
  <c r="H2571" i="6" a="1"/>
  <c r="G2494" i="6"/>
  <c r="G293" i="6"/>
  <c r="G786" i="6"/>
  <c r="G1596" i="6"/>
  <c r="H292" i="6" a="1"/>
  <c r="H489" i="6" l="1"/>
  <c r="H2467" i="6"/>
  <c r="H2441" i="6"/>
  <c r="H2571" i="6"/>
  <c r="H2311" i="6"/>
  <c r="H2624" i="6"/>
  <c r="H228" i="6"/>
  <c r="H356" i="6"/>
  <c r="H2415" i="6"/>
  <c r="H164" i="6"/>
  <c r="H425" i="6"/>
  <c r="H2597" i="6"/>
  <c r="H100" i="6"/>
  <c r="H2519" i="6"/>
  <c r="H2363" i="6"/>
  <c r="H35" i="6"/>
  <c r="H2545" i="6"/>
  <c r="H2389" i="6"/>
  <c r="H2493" i="6"/>
  <c r="H2623" i="6"/>
  <c r="H2337" i="6"/>
  <c r="H292" i="6"/>
  <c r="C2626" i="6"/>
  <c r="C1058" i="6"/>
  <c r="C1868" i="6"/>
  <c r="B294" i="6"/>
  <c r="C1778" i="6"/>
  <c r="B230" i="6"/>
  <c r="C1508" i="6"/>
  <c r="B2625" i="6"/>
  <c r="B38" i="6"/>
  <c r="C878" i="6"/>
  <c r="C2496" i="6"/>
  <c r="C2444" i="6"/>
  <c r="C2470" i="6"/>
  <c r="C295" i="6"/>
  <c r="C1418" i="6"/>
  <c r="B2495" i="6"/>
  <c r="C359" i="6"/>
  <c r="B491" i="6"/>
  <c r="B427" i="6"/>
  <c r="B2469" i="6"/>
  <c r="B2521" i="6"/>
  <c r="B2365" i="6"/>
  <c r="C968" i="6"/>
  <c r="C2574" i="6"/>
  <c r="C2600" i="6"/>
  <c r="C1148" i="6"/>
  <c r="B2599" i="6"/>
  <c r="B2547" i="6"/>
  <c r="C2548" i="6"/>
  <c r="C1958" i="6"/>
  <c r="C608" i="6"/>
  <c r="B2573" i="6"/>
  <c r="B2417" i="6"/>
  <c r="C428" i="6"/>
  <c r="C518" i="6"/>
  <c r="C2418" i="6"/>
  <c r="C1688" i="6"/>
  <c r="B358" i="6"/>
  <c r="B2443" i="6"/>
  <c r="C2522" i="6"/>
  <c r="C38" i="6"/>
  <c r="B2391" i="6"/>
  <c r="C167" i="6"/>
  <c r="C103" i="6"/>
  <c r="C698" i="6"/>
  <c r="C788" i="6"/>
  <c r="C1598" i="6"/>
  <c r="C1328" i="6"/>
  <c r="C231" i="6"/>
  <c r="C2048" i="6"/>
  <c r="C1238" i="6"/>
  <c r="C2392" i="6"/>
  <c r="B166" i="6"/>
  <c r="B102" i="6"/>
  <c r="G359" i="6"/>
  <c r="G2391" i="6"/>
  <c r="G166" i="6"/>
  <c r="G1147" i="6"/>
  <c r="G1327" i="6"/>
  <c r="G1777" i="6"/>
  <c r="G697" i="6"/>
  <c r="G2521" i="6"/>
  <c r="H2442" i="6" a="1"/>
  <c r="F490" i="6"/>
  <c r="G2626" i="6"/>
  <c r="G2365" i="6"/>
  <c r="F2625" i="6"/>
  <c r="G2469" i="6"/>
  <c r="G1057" i="6"/>
  <c r="F37" i="6"/>
  <c r="F2494" i="6"/>
  <c r="G2048" i="6"/>
  <c r="G2599" i="6"/>
  <c r="F426" i="6"/>
  <c r="G102" i="6"/>
  <c r="H426" i="6" a="1"/>
  <c r="H2520" i="6" a="1"/>
  <c r="F2598" i="6"/>
  <c r="F2364" i="6"/>
  <c r="G1867" i="6"/>
  <c r="F2572" i="6"/>
  <c r="H165" i="6" a="1"/>
  <c r="G230" i="6"/>
  <c r="G294" i="6"/>
  <c r="H2338" i="6" a="1"/>
  <c r="G2417" i="6"/>
  <c r="H2598" i="6" a="1"/>
  <c r="G427" i="6"/>
  <c r="F101" i="6"/>
  <c r="F2442" i="6"/>
  <c r="F2416" i="6"/>
  <c r="H36" i="6" a="1"/>
  <c r="G967" i="6"/>
  <c r="G1687" i="6"/>
  <c r="G1957" i="6"/>
  <c r="H2494" i="6" a="1"/>
  <c r="H357" i="6" a="1"/>
  <c r="H2546" i="6" a="1"/>
  <c r="F358" i="6"/>
  <c r="G2495" i="6"/>
  <c r="G2443" i="6"/>
  <c r="H2468" i="6" a="1"/>
  <c r="G1507" i="6"/>
  <c r="G1417" i="6"/>
  <c r="F2390" i="6"/>
  <c r="G37" i="6"/>
  <c r="H490" i="6" a="1"/>
  <c r="F2468" i="6"/>
  <c r="G1237" i="6"/>
  <c r="F2546" i="6"/>
  <c r="G877" i="6"/>
  <c r="H2364" i="6" a="1"/>
  <c r="G607" i="6"/>
  <c r="H2416" i="6" a="1"/>
  <c r="F2520" i="6"/>
  <c r="G2547" i="6"/>
  <c r="G1597" i="6"/>
  <c r="F229" i="6"/>
  <c r="H293" i="6" a="1"/>
  <c r="G787" i="6"/>
  <c r="F293" i="6"/>
  <c r="F2338" i="6"/>
  <c r="H101" i="6" a="1"/>
  <c r="H2572" i="6" a="1"/>
  <c r="G2573" i="6"/>
  <c r="H2390" i="6" a="1"/>
  <c r="H229" i="6" a="1"/>
  <c r="H2625" i="6" a="1"/>
  <c r="F165" i="6"/>
  <c r="G517" i="6"/>
  <c r="H2625" i="6" l="1"/>
  <c r="H36" i="6"/>
  <c r="H2416" i="6"/>
  <c r="H165" i="6"/>
  <c r="H2390" i="6"/>
  <c r="H2364" i="6"/>
  <c r="H2442" i="6"/>
  <c r="H490" i="6"/>
  <c r="H2572" i="6"/>
  <c r="H101" i="6"/>
  <c r="H2494" i="6"/>
  <c r="H2338" i="6"/>
  <c r="H2520" i="6"/>
  <c r="H229" i="6"/>
  <c r="H357" i="6"/>
  <c r="H2468" i="6"/>
  <c r="H2546" i="6"/>
  <c r="H2598" i="6"/>
  <c r="H426" i="6"/>
  <c r="H293" i="6"/>
  <c r="B2470" i="6"/>
  <c r="C2523" i="6"/>
  <c r="C1959" i="6"/>
  <c r="C609" i="6"/>
  <c r="C879" i="6"/>
  <c r="B2418" i="6"/>
  <c r="C429" i="6"/>
  <c r="C519" i="6"/>
  <c r="C2049" i="6"/>
  <c r="B2626" i="6"/>
  <c r="C1059" i="6"/>
  <c r="B492" i="6"/>
  <c r="B428" i="6"/>
  <c r="C360" i="6"/>
  <c r="B295" i="6"/>
  <c r="B167" i="6"/>
  <c r="B103" i="6"/>
  <c r="C2575" i="6"/>
  <c r="C1239" i="6"/>
  <c r="B2392" i="6"/>
  <c r="C969" i="6"/>
  <c r="C1149" i="6"/>
  <c r="B39" i="6"/>
  <c r="B231" i="6"/>
  <c r="C2497" i="6"/>
  <c r="C1869" i="6"/>
  <c r="C39" i="6"/>
  <c r="C1779" i="6"/>
  <c r="B2444" i="6"/>
  <c r="C1419" i="6"/>
  <c r="C168" i="6"/>
  <c r="C104" i="6"/>
  <c r="C2549" i="6"/>
  <c r="B2600" i="6"/>
  <c r="C2627" i="6"/>
  <c r="B2548" i="6"/>
  <c r="B359" i="6"/>
  <c r="C1329" i="6"/>
  <c r="C296" i="6"/>
  <c r="C2445" i="6"/>
  <c r="B2574" i="6"/>
  <c r="B2522" i="6"/>
  <c r="C2471" i="6"/>
  <c r="C1689" i="6"/>
  <c r="C789" i="6"/>
  <c r="C2419" i="6"/>
  <c r="C232" i="6"/>
  <c r="C699" i="6"/>
  <c r="C2601" i="6"/>
  <c r="B2496" i="6"/>
  <c r="C1509" i="6"/>
  <c r="C1599" i="6"/>
  <c r="H2417" i="6" a="1"/>
  <c r="G1778" i="6"/>
  <c r="G1418" i="6"/>
  <c r="G1868" i="6"/>
  <c r="F427" i="6"/>
  <c r="F2365" i="6"/>
  <c r="G167" i="6"/>
  <c r="G2418" i="6"/>
  <c r="G2600" i="6"/>
  <c r="H2626" i="6" a="1"/>
  <c r="H2547" i="6" a="1"/>
  <c r="H166" i="6" a="1"/>
  <c r="F166" i="6"/>
  <c r="G1508" i="6"/>
  <c r="G698" i="6"/>
  <c r="G295" i="6"/>
  <c r="G788" i="6"/>
  <c r="G2548" i="6"/>
  <c r="G2574" i="6"/>
  <c r="H2521" i="6" a="1"/>
  <c r="G1328" i="6"/>
  <c r="G1058" i="6"/>
  <c r="G2470" i="6"/>
  <c r="F2417" i="6"/>
  <c r="H102" i="6" a="1"/>
  <c r="G2496" i="6"/>
  <c r="G878" i="6"/>
  <c r="F230" i="6"/>
  <c r="G428" i="6"/>
  <c r="F2521" i="6"/>
  <c r="G2392" i="6"/>
  <c r="F2626" i="6"/>
  <c r="G360" i="6"/>
  <c r="F2547" i="6"/>
  <c r="H294" i="6" a="1"/>
  <c r="G231" i="6"/>
  <c r="F38" i="6"/>
  <c r="G103" i="6"/>
  <c r="H491" i="6" a="1"/>
  <c r="F102" i="6"/>
  <c r="F294" i="6"/>
  <c r="H2573" i="6" a="1"/>
  <c r="H359" i="6" a="1"/>
  <c r="F2469" i="6"/>
  <c r="H2443" i="6" a="1"/>
  <c r="H2391" i="6" a="1"/>
  <c r="H427" i="6" a="1"/>
  <c r="F2599" i="6"/>
  <c r="G1148" i="6"/>
  <c r="H358" i="6" a="1"/>
  <c r="G2627" i="6"/>
  <c r="H2599" i="6" a="1"/>
  <c r="G518" i="6"/>
  <c r="F2573" i="6"/>
  <c r="G2049" i="6"/>
  <c r="G1598" i="6"/>
  <c r="F491" i="6"/>
  <c r="H2495" i="6" a="1"/>
  <c r="H2365" i="6" a="1"/>
  <c r="G2444" i="6"/>
  <c r="H2469" i="6" a="1"/>
  <c r="F2391" i="6"/>
  <c r="G968" i="6"/>
  <c r="G2522" i="6"/>
  <c r="F2443" i="6"/>
  <c r="G38" i="6"/>
  <c r="H230" i="6" a="1"/>
  <c r="G1238" i="6"/>
  <c r="G608" i="6"/>
  <c r="G1958" i="6"/>
  <c r="G1688" i="6"/>
  <c r="F2495" i="6"/>
  <c r="F359" i="6"/>
  <c r="H37" i="6" a="1"/>
  <c r="H2626" i="6" l="1"/>
  <c r="H359" i="6"/>
  <c r="H491" i="6"/>
  <c r="H2521" i="6"/>
  <c r="H166" i="6"/>
  <c r="H230" i="6"/>
  <c r="H37" i="6"/>
  <c r="H358" i="6"/>
  <c r="H2469" i="6"/>
  <c r="H2599" i="6"/>
  <c r="H427" i="6"/>
  <c r="H2547" i="6"/>
  <c r="H2417" i="6"/>
  <c r="H2391" i="6"/>
  <c r="H294" i="6"/>
  <c r="H2443" i="6"/>
  <c r="H2365" i="6"/>
  <c r="H2573" i="6"/>
  <c r="H102" i="6"/>
  <c r="H2495" i="6"/>
  <c r="C880" i="6"/>
  <c r="B2601" i="6"/>
  <c r="C2576" i="6"/>
  <c r="B296" i="6"/>
  <c r="B104" i="6"/>
  <c r="B168" i="6"/>
  <c r="C700" i="6"/>
  <c r="B2575" i="6"/>
  <c r="C105" i="6"/>
  <c r="C169" i="6"/>
  <c r="C1870" i="6"/>
  <c r="B493" i="6"/>
  <c r="B429" i="6"/>
  <c r="C1690" i="6"/>
  <c r="C790" i="6"/>
  <c r="C1780" i="6"/>
  <c r="C2472" i="6"/>
  <c r="C40" i="6"/>
  <c r="B40" i="6"/>
  <c r="B232" i="6"/>
  <c r="C610" i="6"/>
  <c r="C2050" i="6"/>
  <c r="C297" i="6"/>
  <c r="C361" i="6"/>
  <c r="C233" i="6"/>
  <c r="B2419" i="6"/>
  <c r="C520" i="6"/>
  <c r="C430" i="6"/>
  <c r="C1240" i="6"/>
  <c r="B360" i="6"/>
  <c r="C1150" i="6"/>
  <c r="C2550" i="6"/>
  <c r="C2628" i="6"/>
  <c r="C1600" i="6"/>
  <c r="B2549" i="6"/>
  <c r="C1420" i="6"/>
  <c r="C1510" i="6"/>
  <c r="C1960" i="6"/>
  <c r="C1330" i="6"/>
  <c r="B2445" i="6"/>
  <c r="C2498" i="6"/>
  <c r="B2523" i="6"/>
  <c r="C2446" i="6"/>
  <c r="B2627" i="6"/>
  <c r="B2471" i="6"/>
  <c r="C2524" i="6"/>
  <c r="C1060" i="6"/>
  <c r="C2602" i="6"/>
  <c r="C970" i="6"/>
  <c r="B2497" i="6"/>
  <c r="G1239" i="6"/>
  <c r="H231" i="6" a="1"/>
  <c r="G2050" i="6"/>
  <c r="G519" i="6"/>
  <c r="F2548" i="6"/>
  <c r="H2496" i="6" a="1"/>
  <c r="G1689" i="6"/>
  <c r="G1059" i="6"/>
  <c r="G232" i="6"/>
  <c r="G296" i="6"/>
  <c r="G1869" i="6"/>
  <c r="F2496" i="6"/>
  <c r="G429" i="6"/>
  <c r="G2575" i="6"/>
  <c r="G1509" i="6"/>
  <c r="H2418" i="6" a="1"/>
  <c r="G1419" i="6"/>
  <c r="G2497" i="6"/>
  <c r="G168" i="6"/>
  <c r="H2574" i="6" a="1"/>
  <c r="H167" i="6" a="1"/>
  <c r="H103" i="6" a="1"/>
  <c r="G39" i="6"/>
  <c r="H2600" i="6" a="1"/>
  <c r="F2392" i="6"/>
  <c r="G789" i="6"/>
  <c r="F2470" i="6"/>
  <c r="F2444" i="6"/>
  <c r="F103" i="6"/>
  <c r="G2445" i="6"/>
  <c r="H2392" i="6" a="1"/>
  <c r="F167" i="6"/>
  <c r="F2600" i="6"/>
  <c r="H428" i="6" a="1"/>
  <c r="F428" i="6"/>
  <c r="G2523" i="6"/>
  <c r="G2471" i="6"/>
  <c r="G2601" i="6"/>
  <c r="G104" i="6"/>
  <c r="H2627" i="6" a="1"/>
  <c r="G1599" i="6"/>
  <c r="H2470" i="6" a="1"/>
  <c r="G1779" i="6"/>
  <c r="G699" i="6"/>
  <c r="G969" i="6"/>
  <c r="F2418" i="6"/>
  <c r="F2627" i="6"/>
  <c r="H492" i="6" a="1"/>
  <c r="F2522" i="6"/>
  <c r="G361" i="6"/>
  <c r="F492" i="6"/>
  <c r="F295" i="6"/>
  <c r="G1149" i="6"/>
  <c r="F2574" i="6"/>
  <c r="H2444" i="6" a="1"/>
  <c r="F39" i="6"/>
  <c r="H360" i="6" a="1"/>
  <c r="G879" i="6"/>
  <c r="F360" i="6"/>
  <c r="G609" i="6"/>
  <c r="G1959" i="6"/>
  <c r="G1329" i="6"/>
  <c r="H2522" i="6" a="1"/>
  <c r="H38" i="6" a="1"/>
  <c r="H2548" i="6" a="1"/>
  <c r="G2419" i="6"/>
  <c r="H295" i="6" a="1"/>
  <c r="G2549" i="6"/>
  <c r="G2628" i="6"/>
  <c r="F231" i="6"/>
  <c r="H360" i="6" l="1"/>
  <c r="H2627" i="6"/>
  <c r="H167" i="6"/>
  <c r="H103" i="6"/>
  <c r="H492" i="6"/>
  <c r="H2418" i="6"/>
  <c r="H295" i="6"/>
  <c r="H2548" i="6"/>
  <c r="H2496" i="6"/>
  <c r="H38" i="6"/>
  <c r="H2522" i="6"/>
  <c r="H2600" i="6"/>
  <c r="H2470" i="6"/>
  <c r="H2392" i="6"/>
  <c r="H231" i="6"/>
  <c r="H2444" i="6"/>
  <c r="H2574" i="6"/>
  <c r="H428" i="6"/>
  <c r="C2629" i="6"/>
  <c r="C1691" i="6"/>
  <c r="C298" i="6"/>
  <c r="C701" i="6"/>
  <c r="C41" i="6"/>
  <c r="C234" i="6"/>
  <c r="B105" i="6"/>
  <c r="B169" i="6"/>
  <c r="C971" i="6"/>
  <c r="C2525" i="6"/>
  <c r="C1331" i="6"/>
  <c r="C1781" i="6"/>
  <c r="C170" i="6"/>
  <c r="C106" i="6"/>
  <c r="B361" i="6"/>
  <c r="C1601" i="6"/>
  <c r="C2499" i="6"/>
  <c r="B494" i="6"/>
  <c r="B430" i="6"/>
  <c r="B2602" i="6"/>
  <c r="C1061" i="6"/>
  <c r="B2472" i="6"/>
  <c r="C1511" i="6"/>
  <c r="C2577" i="6"/>
  <c r="C521" i="6"/>
  <c r="C431" i="6"/>
  <c r="C362" i="6"/>
  <c r="B297" i="6"/>
  <c r="C1871" i="6"/>
  <c r="C791" i="6"/>
  <c r="C2603" i="6"/>
  <c r="B2498" i="6"/>
  <c r="C1421" i="6"/>
  <c r="C1241" i="6"/>
  <c r="C611" i="6"/>
  <c r="C1961" i="6"/>
  <c r="B41" i="6"/>
  <c r="B233" i="6"/>
  <c r="B2628" i="6"/>
  <c r="C1151" i="6"/>
  <c r="C2473" i="6"/>
  <c r="B2576" i="6"/>
  <c r="B2524" i="6"/>
  <c r="C2551" i="6"/>
  <c r="B2550" i="6"/>
  <c r="C2051" i="6"/>
  <c r="B2446" i="6"/>
  <c r="C881" i="6"/>
  <c r="G1960" i="6"/>
  <c r="G2498" i="6"/>
  <c r="G1420" i="6"/>
  <c r="G1690" i="6"/>
  <c r="G430" i="6"/>
  <c r="F2575" i="6"/>
  <c r="F429" i="6"/>
  <c r="G297" i="6"/>
  <c r="H296" i="6" a="1"/>
  <c r="G2550" i="6"/>
  <c r="H2419" i="6" a="1"/>
  <c r="G362" i="6"/>
  <c r="F2628" i="6"/>
  <c r="G2602" i="6"/>
  <c r="H2523" i="6" a="1"/>
  <c r="G1240" i="6"/>
  <c r="G700" i="6"/>
  <c r="F104" i="6"/>
  <c r="G790" i="6"/>
  <c r="G2472" i="6"/>
  <c r="F2471" i="6"/>
  <c r="G233" i="6"/>
  <c r="G1600" i="6"/>
  <c r="G520" i="6"/>
  <c r="H2601" i="6" a="1"/>
  <c r="G105" i="6"/>
  <c r="G970" i="6"/>
  <c r="G1330" i="6"/>
  <c r="H429" i="6" a="1"/>
  <c r="H2445" i="6" a="1"/>
  <c r="F2445" i="6"/>
  <c r="H232" i="6" a="1"/>
  <c r="F493" i="6"/>
  <c r="G2446" i="6"/>
  <c r="F168" i="6"/>
  <c r="G1870" i="6"/>
  <c r="G1060" i="6"/>
  <c r="F2497" i="6"/>
  <c r="G2524" i="6"/>
  <c r="G2629" i="6"/>
  <c r="F2549" i="6"/>
  <c r="G169" i="6"/>
  <c r="H2575" i="6" a="1"/>
  <c r="F2601" i="6"/>
  <c r="G610" i="6"/>
  <c r="G2051" i="6"/>
  <c r="G40" i="6"/>
  <c r="F361" i="6"/>
  <c r="F2419" i="6"/>
  <c r="F296" i="6"/>
  <c r="F40" i="6"/>
  <c r="H168" i="6" a="1"/>
  <c r="G2576" i="6"/>
  <c r="H2549" i="6" a="1"/>
  <c r="H493" i="6" a="1"/>
  <c r="F232" i="6"/>
  <c r="H104" i="6" a="1"/>
  <c r="H2471" i="6" a="1"/>
  <c r="H2628" i="6" a="1"/>
  <c r="G880" i="6"/>
  <c r="H39" i="6" a="1"/>
  <c r="G1510" i="6"/>
  <c r="F2523" i="6"/>
  <c r="G1780" i="6"/>
  <c r="H2497" i="6" a="1"/>
  <c r="G1150" i="6"/>
  <c r="H2628" i="6" l="1"/>
  <c r="H2549" i="6"/>
  <c r="H232" i="6"/>
  <c r="H2445" i="6"/>
  <c r="H2419" i="6"/>
  <c r="H296" i="6"/>
  <c r="H2601" i="6"/>
  <c r="H429" i="6"/>
  <c r="H2471" i="6"/>
  <c r="H493" i="6"/>
  <c r="H2523" i="6"/>
  <c r="H2575" i="6"/>
  <c r="H39" i="6"/>
  <c r="H2497" i="6"/>
  <c r="H104" i="6"/>
  <c r="H168" i="6"/>
  <c r="B362" i="6"/>
  <c r="C2604" i="6"/>
  <c r="B2629" i="6"/>
  <c r="C299" i="6"/>
  <c r="C2630" i="6"/>
  <c r="B495" i="6"/>
  <c r="B431" i="6"/>
  <c r="C1782" i="6"/>
  <c r="C1602" i="6"/>
  <c r="C2552" i="6"/>
  <c r="C42" i="6"/>
  <c r="B298" i="6"/>
  <c r="C1332" i="6"/>
  <c r="B2603" i="6"/>
  <c r="C882" i="6"/>
  <c r="B2499" i="6"/>
  <c r="B2473" i="6"/>
  <c r="C522" i="6"/>
  <c r="C432" i="6"/>
  <c r="C2526" i="6"/>
  <c r="C235" i="6"/>
  <c r="B2551" i="6"/>
  <c r="C702" i="6"/>
  <c r="C1062" i="6"/>
  <c r="B42" i="6"/>
  <c r="B2577" i="6"/>
  <c r="C2500" i="6"/>
  <c r="C612" i="6"/>
  <c r="C1152" i="6"/>
  <c r="C792" i="6"/>
  <c r="C171" i="6"/>
  <c r="C107" i="6"/>
  <c r="C1512" i="6"/>
  <c r="C1242" i="6"/>
  <c r="C2052" i="6"/>
  <c r="B2525" i="6"/>
  <c r="C1962" i="6"/>
  <c r="C1872" i="6"/>
  <c r="B234" i="6"/>
  <c r="C363" i="6"/>
  <c r="C972" i="6"/>
  <c r="C2578" i="6"/>
  <c r="C1692" i="6"/>
  <c r="C1422" i="6"/>
  <c r="B170" i="6"/>
  <c r="B106" i="6"/>
  <c r="G431" i="6"/>
  <c r="H2472" i="6" a="1"/>
  <c r="H2524" i="6" a="1"/>
  <c r="G1691" i="6"/>
  <c r="F2629" i="6"/>
  <c r="G2551" i="6"/>
  <c r="F2602" i="6"/>
  <c r="G2577" i="6"/>
  <c r="G1511" i="6"/>
  <c r="G298" i="6"/>
  <c r="F494" i="6"/>
  <c r="H361" i="6" a="1"/>
  <c r="G1961" i="6"/>
  <c r="F2472" i="6"/>
  <c r="H2576" i="6" a="1"/>
  <c r="H2602" i="6" a="1"/>
  <c r="F362" i="6"/>
  <c r="G2473" i="6"/>
  <c r="F2446" i="6"/>
  <c r="G1781" i="6"/>
  <c r="H2498" i="6" a="1"/>
  <c r="G1241" i="6"/>
  <c r="G521" i="6"/>
  <c r="F2576" i="6"/>
  <c r="F233" i="6"/>
  <c r="F2498" i="6"/>
  <c r="H2446" i="6" a="1"/>
  <c r="F297" i="6"/>
  <c r="F41" i="6"/>
  <c r="G2052" i="6"/>
  <c r="H297" i="6" a="1"/>
  <c r="G234" i="6"/>
  <c r="F2524" i="6"/>
  <c r="F2550" i="6"/>
  <c r="H169" i="6" a="1"/>
  <c r="G791" i="6"/>
  <c r="G41" i="6"/>
  <c r="H2550" i="6" a="1"/>
  <c r="G170" i="6"/>
  <c r="G971" i="6"/>
  <c r="G1151" i="6"/>
  <c r="G611" i="6"/>
  <c r="G1421" i="6"/>
  <c r="H494" i="6" a="1"/>
  <c r="G2630" i="6"/>
  <c r="G2603" i="6"/>
  <c r="G1061" i="6"/>
  <c r="G701" i="6"/>
  <c r="H40" i="6" a="1"/>
  <c r="F169" i="6"/>
  <c r="G1601" i="6"/>
  <c r="G2525" i="6"/>
  <c r="F430" i="6"/>
  <c r="G106" i="6"/>
  <c r="G2499" i="6"/>
  <c r="H430" i="6" a="1"/>
  <c r="G1871" i="6"/>
  <c r="H105" i="6" a="1"/>
  <c r="H233" i="6" a="1"/>
  <c r="G881" i="6"/>
  <c r="G363" i="6"/>
  <c r="H362" i="6" a="1"/>
  <c r="G1331" i="6"/>
  <c r="F105" i="6"/>
  <c r="H362" i="6" l="1"/>
  <c r="H233" i="6"/>
  <c r="H169" i="6"/>
  <c r="H2550" i="6"/>
  <c r="H430" i="6"/>
  <c r="H2498" i="6"/>
  <c r="H494" i="6"/>
  <c r="H2524" i="6"/>
  <c r="H2472" i="6"/>
  <c r="H2446" i="6"/>
  <c r="H40" i="6"/>
  <c r="H105" i="6"/>
  <c r="H297" i="6"/>
  <c r="H361" i="6"/>
  <c r="H2602" i="6"/>
  <c r="H2576" i="6"/>
  <c r="B299" i="6"/>
  <c r="C1513" i="6"/>
  <c r="B2552" i="6"/>
  <c r="C172" i="6"/>
  <c r="C108" i="6"/>
  <c r="C2527" i="6"/>
  <c r="C523" i="6"/>
  <c r="C433" i="6"/>
  <c r="C973" i="6"/>
  <c r="C1873" i="6"/>
  <c r="C364" i="6"/>
  <c r="C236" i="6"/>
  <c r="C793" i="6"/>
  <c r="C613" i="6"/>
  <c r="B2630" i="6"/>
  <c r="B496" i="6"/>
  <c r="B432" i="6"/>
  <c r="C2579" i="6"/>
  <c r="C1783" i="6"/>
  <c r="C1333" i="6"/>
  <c r="C883" i="6"/>
  <c r="B2604" i="6"/>
  <c r="B2578" i="6"/>
  <c r="C2631" i="6"/>
  <c r="C1963" i="6"/>
  <c r="B2500" i="6"/>
  <c r="B171" i="6"/>
  <c r="B107" i="6"/>
  <c r="B43" i="6"/>
  <c r="C300" i="6"/>
  <c r="B2526" i="6"/>
  <c r="C1063" i="6"/>
  <c r="B363" i="6"/>
  <c r="C1693" i="6"/>
  <c r="C2605" i="6"/>
  <c r="C1423" i="6"/>
  <c r="C1243" i="6"/>
  <c r="B235" i="6"/>
  <c r="C2053" i="6"/>
  <c r="C1603" i="6"/>
  <c r="C703" i="6"/>
  <c r="C1153" i="6"/>
  <c r="C2553" i="6"/>
  <c r="C43" i="6"/>
  <c r="G235" i="6"/>
  <c r="F2603" i="6"/>
  <c r="G2578" i="6"/>
  <c r="H2603" i="6" a="1"/>
  <c r="G432" i="6"/>
  <c r="F431" i="6"/>
  <c r="G1692" i="6"/>
  <c r="G702" i="6"/>
  <c r="F2525" i="6"/>
  <c r="F2551" i="6"/>
  <c r="G882" i="6"/>
  <c r="H2577" i="6" a="1"/>
  <c r="H2525" i="6" a="1"/>
  <c r="H41" i="6" a="1"/>
  <c r="G42" i="6"/>
  <c r="G107" i="6"/>
  <c r="H234" i="6" a="1"/>
  <c r="G1512" i="6"/>
  <c r="G2552" i="6"/>
  <c r="F2577" i="6"/>
  <c r="G1602" i="6"/>
  <c r="G2526" i="6"/>
  <c r="H2499" i="6" a="1"/>
  <c r="F234" i="6"/>
  <c r="G1782" i="6"/>
  <c r="H2629" i="6" a="1"/>
  <c r="G2500" i="6"/>
  <c r="F2499" i="6"/>
  <c r="G2631" i="6"/>
  <c r="H170" i="6" a="1"/>
  <c r="H2473" i="6" a="1"/>
  <c r="H2630" i="6" a="1"/>
  <c r="G1152" i="6"/>
  <c r="G612" i="6"/>
  <c r="F495" i="6"/>
  <c r="G1872" i="6"/>
  <c r="F2473" i="6"/>
  <c r="G364" i="6"/>
  <c r="F2630" i="6"/>
  <c r="H495" i="6" a="1"/>
  <c r="G299" i="6"/>
  <c r="G171" i="6"/>
  <c r="G1332" i="6"/>
  <c r="G972" i="6"/>
  <c r="G2604" i="6"/>
  <c r="G792" i="6"/>
  <c r="F42" i="6"/>
  <c r="G522" i="6"/>
  <c r="F170" i="6"/>
  <c r="G1062" i="6"/>
  <c r="F363" i="6"/>
  <c r="H431" i="6" a="1"/>
  <c r="H298" i="6" a="1"/>
  <c r="G1422" i="6"/>
  <c r="H106" i="6" a="1"/>
  <c r="G1962" i="6"/>
  <c r="F106" i="6"/>
  <c r="G1242" i="6"/>
  <c r="H2551" i="6" a="1"/>
  <c r="G2053" i="6"/>
  <c r="F298" i="6"/>
  <c r="H2630" i="6" l="1"/>
  <c r="H234" i="6"/>
  <c r="H2577" i="6"/>
  <c r="H2473" i="6"/>
  <c r="H170" i="6"/>
  <c r="H2629" i="6"/>
  <c r="H2551" i="6"/>
  <c r="H106" i="6"/>
  <c r="H41" i="6"/>
  <c r="H298" i="6"/>
  <c r="H431" i="6"/>
  <c r="H495" i="6"/>
  <c r="H2499" i="6"/>
  <c r="H2603" i="6"/>
  <c r="H2525" i="6"/>
  <c r="B44" i="6"/>
  <c r="C2606" i="6"/>
  <c r="C1064" i="6"/>
  <c r="C173" i="6"/>
  <c r="C109" i="6"/>
  <c r="C1334" i="6"/>
  <c r="C884" i="6"/>
  <c r="C237" i="6"/>
  <c r="B433" i="6"/>
  <c r="B497" i="6"/>
  <c r="C44" i="6"/>
  <c r="C1694" i="6"/>
  <c r="C1514" i="6"/>
  <c r="C1154" i="6"/>
  <c r="B172" i="6"/>
  <c r="B108" i="6"/>
  <c r="C1424" i="6"/>
  <c r="C524" i="6"/>
  <c r="C434" i="6"/>
  <c r="C2632" i="6"/>
  <c r="B236" i="6"/>
  <c r="C301" i="6"/>
  <c r="B2579" i="6"/>
  <c r="C794" i="6"/>
  <c r="B2553" i="6"/>
  <c r="C614" i="6"/>
  <c r="C2580" i="6"/>
  <c r="B2605" i="6"/>
  <c r="C1874" i="6"/>
  <c r="C1784" i="6"/>
  <c r="B2527" i="6"/>
  <c r="B2631" i="6"/>
  <c r="C1604" i="6"/>
  <c r="B300" i="6"/>
  <c r="C2554" i="6"/>
  <c r="C1244" i="6"/>
  <c r="C365" i="6"/>
  <c r="C2054" i="6"/>
  <c r="C974" i="6"/>
  <c r="C704" i="6"/>
  <c r="C1964" i="6"/>
  <c r="B364" i="6"/>
  <c r="H363" i="6" a="1"/>
  <c r="H2526" i="6" a="1"/>
  <c r="G2054" i="6"/>
  <c r="G2553" i="6"/>
  <c r="G1513" i="6"/>
  <c r="H2500" i="6" a="1"/>
  <c r="G2579" i="6"/>
  <c r="F496" i="6"/>
  <c r="F235" i="6"/>
  <c r="H2631" i="6" a="1"/>
  <c r="F2500" i="6"/>
  <c r="G108" i="6"/>
  <c r="G43" i="6"/>
  <c r="G1693" i="6"/>
  <c r="G2632" i="6"/>
  <c r="G1243" i="6"/>
  <c r="G433" i="6"/>
  <c r="F2552" i="6"/>
  <c r="G1783" i="6"/>
  <c r="H2552" i="6" a="1"/>
  <c r="F43" i="6"/>
  <c r="G236" i="6"/>
  <c r="H299" i="6" a="1"/>
  <c r="F432" i="6"/>
  <c r="G1333" i="6"/>
  <c r="G172" i="6"/>
  <c r="G1963" i="6"/>
  <c r="H235" i="6" a="1"/>
  <c r="H42" i="6" a="1"/>
  <c r="G1063" i="6"/>
  <c r="G1603" i="6"/>
  <c r="H2578" i="6" a="1"/>
  <c r="H171" i="6" a="1"/>
  <c r="F364" i="6"/>
  <c r="H432" i="6" a="1"/>
  <c r="G1873" i="6"/>
  <c r="G523" i="6"/>
  <c r="G703" i="6"/>
  <c r="G1153" i="6"/>
  <c r="H107" i="6" a="1"/>
  <c r="G793" i="6"/>
  <c r="F171" i="6"/>
  <c r="F2631" i="6"/>
  <c r="H364" i="6" a="1"/>
  <c r="G2527" i="6"/>
  <c r="G883" i="6"/>
  <c r="G365" i="6"/>
  <c r="G1423" i="6"/>
  <c r="G300" i="6"/>
  <c r="H496" i="6" a="1"/>
  <c r="F2578" i="6"/>
  <c r="G2605" i="6"/>
  <c r="F299" i="6"/>
  <c r="F2604" i="6"/>
  <c r="F107" i="6"/>
  <c r="H2604" i="6" a="1"/>
  <c r="G613" i="6"/>
  <c r="F2526" i="6"/>
  <c r="G973" i="6"/>
  <c r="H364" i="6" l="1"/>
  <c r="H299" i="6"/>
  <c r="H496" i="6"/>
  <c r="H235" i="6"/>
  <c r="H2604" i="6"/>
  <c r="H107" i="6"/>
  <c r="H2631" i="6"/>
  <c r="H2552" i="6"/>
  <c r="H42" i="6"/>
  <c r="H432" i="6"/>
  <c r="H2526" i="6"/>
  <c r="H363" i="6"/>
  <c r="H171" i="6"/>
  <c r="H2578" i="6"/>
  <c r="H2500" i="6"/>
  <c r="C174" i="6"/>
  <c r="C110" i="6"/>
  <c r="B2580" i="6"/>
  <c r="C1605" i="6"/>
  <c r="B498" i="6"/>
  <c r="B434" i="6"/>
  <c r="C615" i="6"/>
  <c r="C705" i="6"/>
  <c r="C1695" i="6"/>
  <c r="B301" i="6"/>
  <c r="C238" i="6"/>
  <c r="C2055" i="6"/>
  <c r="C1515" i="6"/>
  <c r="C302" i="6"/>
  <c r="C1875" i="6"/>
  <c r="C366" i="6"/>
  <c r="C1245" i="6"/>
  <c r="B45" i="6"/>
  <c r="C1965" i="6"/>
  <c r="C795" i="6"/>
  <c r="C1335" i="6"/>
  <c r="B2632" i="6"/>
  <c r="C885" i="6"/>
  <c r="B173" i="6"/>
  <c r="B109" i="6"/>
  <c r="C1785" i="6"/>
  <c r="C975" i="6"/>
  <c r="C1155" i="6"/>
  <c r="C1425" i="6"/>
  <c r="C1065" i="6"/>
  <c r="C2581" i="6"/>
  <c r="C2607" i="6"/>
  <c r="B2606" i="6"/>
  <c r="C435" i="6"/>
  <c r="C525" i="6"/>
  <c r="B365" i="6"/>
  <c r="B2554" i="6"/>
  <c r="B237" i="6"/>
  <c r="C45" i="6"/>
  <c r="C2633" i="6"/>
  <c r="G237" i="6"/>
  <c r="H108" i="6" a="1"/>
  <c r="F300" i="6"/>
  <c r="H2579" i="6" a="1"/>
  <c r="G1514" i="6"/>
  <c r="G1154" i="6"/>
  <c r="G974" i="6"/>
  <c r="H365" i="6" a="1"/>
  <c r="H172" i="6" a="1"/>
  <c r="G1784" i="6"/>
  <c r="F44" i="6"/>
  <c r="G2606" i="6"/>
  <c r="G1424" i="6"/>
  <c r="G2633" i="6"/>
  <c r="H2605" i="6" a="1"/>
  <c r="F433" i="6"/>
  <c r="F2553" i="6"/>
  <c r="F365" i="6"/>
  <c r="G1064" i="6"/>
  <c r="G301" i="6"/>
  <c r="G1244" i="6"/>
  <c r="G1604" i="6"/>
  <c r="G1874" i="6"/>
  <c r="H236" i="6" a="1"/>
  <c r="H300" i="6" a="1"/>
  <c r="G2580" i="6"/>
  <c r="F108" i="6"/>
  <c r="F497" i="6"/>
  <c r="F2527" i="6"/>
  <c r="H43" i="6" a="1"/>
  <c r="G44" i="6"/>
  <c r="G704" i="6"/>
  <c r="F172" i="6"/>
  <c r="H497" i="6" a="1"/>
  <c r="G1694" i="6"/>
  <c r="F2579" i="6"/>
  <c r="H2527" i="6" a="1"/>
  <c r="G173" i="6"/>
  <c r="G434" i="6"/>
  <c r="H433" i="6" a="1"/>
  <c r="G614" i="6"/>
  <c r="G1334" i="6"/>
  <c r="G109" i="6"/>
  <c r="G2055" i="6"/>
  <c r="G366" i="6"/>
  <c r="G1964" i="6"/>
  <c r="G884" i="6"/>
  <c r="G794" i="6"/>
  <c r="F2605" i="6"/>
  <c r="H2553" i="6" a="1"/>
  <c r="F2632" i="6"/>
  <c r="G2554" i="6"/>
  <c r="F236" i="6"/>
  <c r="G524" i="6"/>
  <c r="H365" i="6" l="1"/>
  <c r="H236" i="6"/>
  <c r="H108" i="6"/>
  <c r="H172" i="6"/>
  <c r="H2579" i="6"/>
  <c r="H497" i="6"/>
  <c r="H2605" i="6"/>
  <c r="H433" i="6"/>
  <c r="H43" i="6"/>
  <c r="H300" i="6"/>
  <c r="H2553" i="6"/>
  <c r="H2527" i="6"/>
  <c r="C46" i="6"/>
  <c r="C616" i="6"/>
  <c r="C976" i="6"/>
  <c r="C2056" i="6"/>
  <c r="C1966" i="6"/>
  <c r="C303" i="6"/>
  <c r="C706" i="6"/>
  <c r="C175" i="6"/>
  <c r="C111" i="6"/>
  <c r="B2581" i="6"/>
  <c r="C436" i="6"/>
  <c r="C526" i="6"/>
  <c r="C1066" i="6"/>
  <c r="C1156" i="6"/>
  <c r="B302" i="6"/>
  <c r="C1516" i="6"/>
  <c r="B46" i="6"/>
  <c r="C367" i="6"/>
  <c r="B366" i="6"/>
  <c r="B499" i="6"/>
  <c r="B435" i="6"/>
  <c r="C239" i="6"/>
  <c r="B2633" i="6"/>
  <c r="C1876" i="6"/>
  <c r="C1606" i="6"/>
  <c r="B174" i="6"/>
  <c r="B110" i="6"/>
  <c r="C1426" i="6"/>
  <c r="C1336" i="6"/>
  <c r="C1786" i="6"/>
  <c r="C1696" i="6"/>
  <c r="C796" i="6"/>
  <c r="C2634" i="6"/>
  <c r="B238" i="6"/>
  <c r="B2607" i="6"/>
  <c r="C886" i="6"/>
  <c r="C2608" i="6"/>
  <c r="C1246" i="6"/>
  <c r="H173" i="6" a="1"/>
  <c r="G110" i="6"/>
  <c r="G174" i="6"/>
  <c r="G705" i="6"/>
  <c r="F498" i="6"/>
  <c r="F2554" i="6"/>
  <c r="G1965" i="6"/>
  <c r="G45" i="6"/>
  <c r="H2606" i="6" a="1"/>
  <c r="H44" i="6" a="1"/>
  <c r="G1515" i="6"/>
  <c r="G435" i="6"/>
  <c r="H2580" i="6" a="1"/>
  <c r="F173" i="6"/>
  <c r="F2606" i="6"/>
  <c r="G975" i="6"/>
  <c r="G1875" i="6"/>
  <c r="G1605" i="6"/>
  <c r="F109" i="6"/>
  <c r="H2632" i="6" a="1"/>
  <c r="G615" i="6"/>
  <c r="G238" i="6"/>
  <c r="F2580" i="6"/>
  <c r="G2607" i="6"/>
  <c r="H237" i="6" a="1"/>
  <c r="F366" i="6"/>
  <c r="G885" i="6"/>
  <c r="H434" i="6" a="1"/>
  <c r="G1155" i="6"/>
  <c r="G795" i="6"/>
  <c r="F45" i="6"/>
  <c r="G1425" i="6"/>
  <c r="F2633" i="6"/>
  <c r="G525" i="6"/>
  <c r="H498" i="6" a="1"/>
  <c r="F237" i="6"/>
  <c r="G1065" i="6"/>
  <c r="G1335" i="6"/>
  <c r="F434" i="6"/>
  <c r="G2056" i="6"/>
  <c r="H109" i="6" a="1"/>
  <c r="G1785" i="6"/>
  <c r="G1245" i="6"/>
  <c r="H301" i="6" a="1"/>
  <c r="F301" i="6"/>
  <c r="G2634" i="6"/>
  <c r="G1695" i="6"/>
  <c r="G302" i="6"/>
  <c r="G2581" i="6"/>
  <c r="G367" i="6"/>
  <c r="H2554" i="6" a="1"/>
  <c r="H173" i="6" l="1"/>
  <c r="H2580" i="6"/>
  <c r="H109" i="6"/>
  <c r="H237" i="6"/>
  <c r="H2554" i="6"/>
  <c r="H2632" i="6"/>
  <c r="H434" i="6"/>
  <c r="H498" i="6"/>
  <c r="H44" i="6"/>
  <c r="H301" i="6"/>
  <c r="H2606" i="6"/>
  <c r="C1517" i="6"/>
  <c r="C1157" i="6"/>
  <c r="C240" i="6"/>
  <c r="C1967" i="6"/>
  <c r="B500" i="6"/>
  <c r="B436" i="6"/>
  <c r="C797" i="6"/>
  <c r="C977" i="6"/>
  <c r="B175" i="6"/>
  <c r="B111" i="6"/>
  <c r="C1607" i="6"/>
  <c r="C617" i="6"/>
  <c r="C1067" i="6"/>
  <c r="C887" i="6"/>
  <c r="C1697" i="6"/>
  <c r="B2634" i="6"/>
  <c r="C1787" i="6"/>
  <c r="B367" i="6"/>
  <c r="C437" i="6"/>
  <c r="C527" i="6"/>
  <c r="C368" i="6"/>
  <c r="B239" i="6"/>
  <c r="C707" i="6"/>
  <c r="B303" i="6"/>
  <c r="C1877" i="6"/>
  <c r="C1247" i="6"/>
  <c r="B2608" i="6"/>
  <c r="C304" i="6"/>
  <c r="C176" i="6"/>
  <c r="C112" i="6"/>
  <c r="C2057" i="6"/>
  <c r="C47" i="6"/>
  <c r="C1337" i="6"/>
  <c r="C2635" i="6"/>
  <c r="C1427" i="6"/>
  <c r="B47" i="6"/>
  <c r="H45" i="6" a="1"/>
  <c r="G2057" i="6"/>
  <c r="G1156" i="6"/>
  <c r="G111" i="6"/>
  <c r="G436" i="6"/>
  <c r="G239" i="6"/>
  <c r="G616" i="6"/>
  <c r="H366" i="6" a="1"/>
  <c r="F2581" i="6"/>
  <c r="F46" i="6"/>
  <c r="G2635" i="6"/>
  <c r="G303" i="6"/>
  <c r="G526" i="6"/>
  <c r="H367" i="6" a="1"/>
  <c r="F2607" i="6"/>
  <c r="G1606" i="6"/>
  <c r="G976" i="6"/>
  <c r="H499" i="6" a="1"/>
  <c r="H2581" i="6" a="1"/>
  <c r="G1966" i="6"/>
  <c r="G1786" i="6"/>
  <c r="G706" i="6"/>
  <c r="G1516" i="6"/>
  <c r="H174" i="6" a="1"/>
  <c r="F302" i="6"/>
  <c r="F499" i="6"/>
  <c r="H110" i="6" a="1"/>
  <c r="G886" i="6"/>
  <c r="G368" i="6"/>
  <c r="H2607" i="6" a="1"/>
  <c r="G1246" i="6"/>
  <c r="H2633" i="6" a="1"/>
  <c r="F174" i="6"/>
  <c r="G46" i="6"/>
  <c r="G1696" i="6"/>
  <c r="G175" i="6"/>
  <c r="G1066" i="6"/>
  <c r="H435" i="6" a="1"/>
  <c r="F367" i="6"/>
  <c r="H238" i="6" a="1"/>
  <c r="H302" i="6" a="1"/>
  <c r="F110" i="6"/>
  <c r="G1876" i="6"/>
  <c r="G796" i="6"/>
  <c r="G1336" i="6"/>
  <c r="G1426" i="6"/>
  <c r="F238" i="6"/>
  <c r="G2608" i="6"/>
  <c r="F2634" i="6"/>
  <c r="F435" i="6"/>
  <c r="H367" i="6" l="1"/>
  <c r="H435" i="6"/>
  <c r="H2633" i="6"/>
  <c r="H2581" i="6"/>
  <c r="H45" i="6"/>
  <c r="H366" i="6"/>
  <c r="H110" i="6"/>
  <c r="H499" i="6"/>
  <c r="H174" i="6"/>
  <c r="H302" i="6"/>
  <c r="H2607" i="6"/>
  <c r="H238" i="6"/>
  <c r="C1158" i="6"/>
  <c r="C1608" i="6"/>
  <c r="C369" i="6"/>
  <c r="B368" i="6"/>
  <c r="C708" i="6"/>
  <c r="B240" i="6"/>
  <c r="C2058" i="6"/>
  <c r="B48" i="6"/>
  <c r="C1428" i="6"/>
  <c r="C48" i="6"/>
  <c r="C618" i="6"/>
  <c r="C1788" i="6"/>
  <c r="C1068" i="6"/>
  <c r="C305" i="6"/>
  <c r="C241" i="6"/>
  <c r="C438" i="6"/>
  <c r="C528" i="6"/>
  <c r="C1698" i="6"/>
  <c r="C1518" i="6"/>
  <c r="C1338" i="6"/>
  <c r="C798" i="6"/>
  <c r="C888" i="6"/>
  <c r="B2635" i="6"/>
  <c r="C113" i="6"/>
  <c r="C177" i="6"/>
  <c r="B304" i="6"/>
  <c r="C978" i="6"/>
  <c r="C1248" i="6"/>
  <c r="C1968" i="6"/>
  <c r="C1878" i="6"/>
  <c r="B112" i="6"/>
  <c r="B176" i="6"/>
  <c r="B501" i="6"/>
  <c r="B437" i="6"/>
  <c r="F175" i="6"/>
  <c r="G1967" i="6"/>
  <c r="H303" i="6" a="1"/>
  <c r="F303" i="6"/>
  <c r="F500" i="6"/>
  <c r="G797" i="6"/>
  <c r="G1427" i="6"/>
  <c r="G1337" i="6"/>
  <c r="H2608" i="6" a="1"/>
  <c r="H175" i="6" a="1"/>
  <c r="H46" i="6" a="1"/>
  <c r="G437" i="6"/>
  <c r="G1157" i="6"/>
  <c r="H111" i="6" a="1"/>
  <c r="G176" i="6"/>
  <c r="G240" i="6"/>
  <c r="G1697" i="6"/>
  <c r="F239" i="6"/>
  <c r="H436" i="6" a="1"/>
  <c r="H500" i="6" a="1"/>
  <c r="G112" i="6"/>
  <c r="F2608" i="6"/>
  <c r="F436" i="6"/>
  <c r="G1607" i="6"/>
  <c r="G1787" i="6"/>
  <c r="G1517" i="6"/>
  <c r="F47" i="6"/>
  <c r="G304" i="6"/>
  <c r="G47" i="6"/>
  <c r="G369" i="6"/>
  <c r="G887" i="6"/>
  <c r="F368" i="6"/>
  <c r="F2635" i="6"/>
  <c r="G617" i="6"/>
  <c r="F111" i="6"/>
  <c r="H2634" i="6" a="1"/>
  <c r="G527" i="6"/>
  <c r="G1877" i="6"/>
  <c r="G1067" i="6"/>
  <c r="G707" i="6"/>
  <c r="G2058" i="6"/>
  <c r="H239" i="6" a="1"/>
  <c r="H368" i="6" a="1"/>
  <c r="G977" i="6"/>
  <c r="G1247" i="6"/>
  <c r="H368" i="6" l="1"/>
  <c r="H436" i="6"/>
  <c r="H303" i="6"/>
  <c r="H46" i="6"/>
  <c r="H2608" i="6"/>
  <c r="H175" i="6"/>
  <c r="H500" i="6"/>
  <c r="H111" i="6"/>
  <c r="H2634" i="6"/>
  <c r="H239" i="6"/>
  <c r="C1249" i="6"/>
  <c r="C2059" i="6"/>
  <c r="C1879" i="6"/>
  <c r="C114" i="6"/>
  <c r="C178" i="6"/>
  <c r="C1429" i="6"/>
  <c r="C306" i="6"/>
  <c r="C709" i="6"/>
  <c r="C1339" i="6"/>
  <c r="B241" i="6"/>
  <c r="C1609" i="6"/>
  <c r="C370" i="6"/>
  <c r="C49" i="6"/>
  <c r="B305" i="6"/>
  <c r="B502" i="6"/>
  <c r="B438" i="6"/>
  <c r="C1969" i="6"/>
  <c r="B369" i="6"/>
  <c r="C979" i="6"/>
  <c r="C1789" i="6"/>
  <c r="C1159" i="6"/>
  <c r="C799" i="6"/>
  <c r="C529" i="6"/>
  <c r="C439" i="6"/>
  <c r="B113" i="6"/>
  <c r="B177" i="6"/>
  <c r="C1069" i="6"/>
  <c r="C1699" i="6"/>
  <c r="C1519" i="6"/>
  <c r="C242" i="6"/>
  <c r="C889" i="6"/>
  <c r="C619" i="6"/>
  <c r="B49" i="6"/>
  <c r="H240" i="6" a="1"/>
  <c r="F112" i="6"/>
  <c r="F304" i="6"/>
  <c r="G177" i="6"/>
  <c r="G708" i="6"/>
  <c r="F501" i="6"/>
  <c r="G241" i="6"/>
  <c r="F437" i="6"/>
  <c r="G1158" i="6"/>
  <c r="F176" i="6"/>
  <c r="G1878" i="6"/>
  <c r="G528" i="6"/>
  <c r="G618" i="6"/>
  <c r="H2635" i="6" a="1"/>
  <c r="H47" i="6" a="1"/>
  <c r="H112" i="6" a="1"/>
  <c r="G305" i="6"/>
  <c r="G438" i="6"/>
  <c r="G978" i="6"/>
  <c r="G1248" i="6"/>
  <c r="H176" i="6" a="1"/>
  <c r="G370" i="6"/>
  <c r="F369" i="6"/>
  <c r="G113" i="6"/>
  <c r="F240" i="6"/>
  <c r="H437" i="6" a="1"/>
  <c r="G48" i="6"/>
  <c r="G798" i="6"/>
  <c r="G1698" i="6"/>
  <c r="G1428" i="6"/>
  <c r="F48" i="6"/>
  <c r="H304" i="6" a="1"/>
  <c r="G888" i="6"/>
  <c r="G1518" i="6"/>
  <c r="G1068" i="6"/>
  <c r="G1788" i="6"/>
  <c r="G1608" i="6"/>
  <c r="H501" i="6" a="1"/>
  <c r="G2059" i="6"/>
  <c r="G1968" i="6"/>
  <c r="G1338" i="6"/>
  <c r="H2635" i="6" l="1"/>
  <c r="H176" i="6"/>
  <c r="H47" i="6"/>
  <c r="H112" i="6"/>
  <c r="H501" i="6"/>
  <c r="H304" i="6"/>
  <c r="H437" i="6"/>
  <c r="H240" i="6"/>
  <c r="B370" i="6"/>
  <c r="B306" i="6"/>
  <c r="B242" i="6"/>
  <c r="C890" i="6"/>
  <c r="C50" i="6"/>
  <c r="C243" i="6"/>
  <c r="C1340" i="6"/>
  <c r="C1520" i="6"/>
  <c r="C1250" i="6"/>
  <c r="B50" i="6"/>
  <c r="B178" i="6"/>
  <c r="B114" i="6"/>
  <c r="C2060" i="6"/>
  <c r="C179" i="6"/>
  <c r="C115" i="6"/>
  <c r="C1160" i="6"/>
  <c r="C1430" i="6"/>
  <c r="B503" i="6"/>
  <c r="B439" i="6"/>
  <c r="C800" i="6"/>
  <c r="C980" i="6"/>
  <c r="C1610" i="6"/>
  <c r="C620" i="6"/>
  <c r="C1880" i="6"/>
  <c r="C371" i="6"/>
  <c r="C307" i="6"/>
  <c r="C530" i="6"/>
  <c r="C440" i="6"/>
  <c r="C710" i="6"/>
  <c r="C1790" i="6"/>
  <c r="C1070" i="6"/>
  <c r="C1700" i="6"/>
  <c r="C1970" i="6"/>
  <c r="F370" i="6"/>
  <c r="G1339" i="6"/>
  <c r="H369" i="6" a="1"/>
  <c r="G1789" i="6"/>
  <c r="G371" i="6"/>
  <c r="G889" i="6"/>
  <c r="F438" i="6"/>
  <c r="F305" i="6"/>
  <c r="G709" i="6"/>
  <c r="G178" i="6"/>
  <c r="G114" i="6"/>
  <c r="F49" i="6"/>
  <c r="G1249" i="6"/>
  <c r="H438" i="6" a="1"/>
  <c r="G799" i="6"/>
  <c r="G1879" i="6"/>
  <c r="G979" i="6"/>
  <c r="G1609" i="6"/>
  <c r="G619" i="6"/>
  <c r="G306" i="6"/>
  <c r="G529" i="6"/>
  <c r="G439" i="6"/>
  <c r="G1069" i="6"/>
  <c r="F502" i="6"/>
  <c r="G2060" i="6"/>
  <c r="G1519" i="6"/>
  <c r="F177" i="6"/>
  <c r="G1969" i="6"/>
  <c r="H48" i="6" a="1"/>
  <c r="G49" i="6"/>
  <c r="H370" i="6" a="1"/>
  <c r="G242" i="6"/>
  <c r="H502" i="6" a="1"/>
  <c r="H177" i="6" a="1"/>
  <c r="H305" i="6" a="1"/>
  <c r="F113" i="6"/>
  <c r="F241" i="6"/>
  <c r="G1159" i="6"/>
  <c r="H113" i="6" a="1"/>
  <c r="H241" i="6" a="1"/>
  <c r="G1699" i="6"/>
  <c r="G1429" i="6"/>
  <c r="H113" i="6" l="1"/>
  <c r="H241" i="6"/>
  <c r="H438" i="6"/>
  <c r="H370" i="6"/>
  <c r="H369" i="6"/>
  <c r="H177" i="6"/>
  <c r="H305" i="6"/>
  <c r="H48" i="6"/>
  <c r="H502" i="6"/>
  <c r="C1071" i="6"/>
  <c r="C1251" i="6"/>
  <c r="B179" i="6"/>
  <c r="B115" i="6"/>
  <c r="B243" i="6"/>
  <c r="C1431" i="6"/>
  <c r="B307" i="6"/>
  <c r="C531" i="6"/>
  <c r="C441" i="6"/>
  <c r="C1971" i="6"/>
  <c r="C891" i="6"/>
  <c r="C1161" i="6"/>
  <c r="B504" i="6"/>
  <c r="B440" i="6"/>
  <c r="C180" i="6"/>
  <c r="C116" i="6"/>
  <c r="B51" i="6"/>
  <c r="C308" i="6"/>
  <c r="C1881" i="6"/>
  <c r="C372" i="6"/>
  <c r="C711" i="6"/>
  <c r="C244" i="6"/>
  <c r="C1341" i="6"/>
  <c r="C51" i="6"/>
  <c r="B371" i="6"/>
  <c r="C621" i="6"/>
  <c r="C1791" i="6"/>
  <c r="C1701" i="6"/>
  <c r="C2061" i="6"/>
  <c r="C801" i="6"/>
  <c r="C1521" i="6"/>
  <c r="C1611" i="6"/>
  <c r="C981" i="6"/>
  <c r="G440" i="6"/>
  <c r="G372" i="6"/>
  <c r="H306" i="6" a="1"/>
  <c r="G1700" i="6"/>
  <c r="F371" i="6"/>
  <c r="H242" i="6" a="1"/>
  <c r="H49" i="6" a="1"/>
  <c r="G1430" i="6"/>
  <c r="G243" i="6"/>
  <c r="G890" i="6"/>
  <c r="F114" i="6"/>
  <c r="G1880" i="6"/>
  <c r="G710" i="6"/>
  <c r="G980" i="6"/>
  <c r="G1520" i="6"/>
  <c r="G1340" i="6"/>
  <c r="G307" i="6"/>
  <c r="G50" i="6"/>
  <c r="F306" i="6"/>
  <c r="H371" i="6" a="1"/>
  <c r="G1610" i="6"/>
  <c r="G179" i="6"/>
  <c r="H503" i="6" a="1"/>
  <c r="F178" i="6"/>
  <c r="G1070" i="6"/>
  <c r="F242" i="6"/>
  <c r="H439" i="6" a="1"/>
  <c r="F439" i="6"/>
  <c r="H114" i="6" a="1"/>
  <c r="G1790" i="6"/>
  <c r="F503" i="6"/>
  <c r="G115" i="6"/>
  <c r="G2061" i="6"/>
  <c r="G1970" i="6"/>
  <c r="G530" i="6"/>
  <c r="G620" i="6"/>
  <c r="G1250" i="6"/>
  <c r="H178" i="6" a="1"/>
  <c r="F50" i="6"/>
  <c r="G800" i="6"/>
  <c r="G1160" i="6"/>
  <c r="H242" i="6" l="1"/>
  <c r="H371" i="6"/>
  <c r="H178" i="6"/>
  <c r="H114" i="6"/>
  <c r="H439" i="6"/>
  <c r="H306" i="6"/>
  <c r="H49" i="6"/>
  <c r="H503" i="6"/>
  <c r="C622" i="6"/>
  <c r="B180" i="6"/>
  <c r="B116" i="6"/>
  <c r="C1792" i="6"/>
  <c r="C52" i="6"/>
  <c r="C802" i="6"/>
  <c r="B52" i="6"/>
  <c r="C1252" i="6"/>
  <c r="B244" i="6"/>
  <c r="C1702" i="6"/>
  <c r="C982" i="6"/>
  <c r="B372" i="6"/>
  <c r="C1612" i="6"/>
  <c r="C1882" i="6"/>
  <c r="C1432" i="6"/>
  <c r="C181" i="6"/>
  <c r="C117" i="6"/>
  <c r="C1522" i="6"/>
  <c r="C1342" i="6"/>
  <c r="C245" i="6"/>
  <c r="C892" i="6"/>
  <c r="C712" i="6"/>
  <c r="C309" i="6"/>
  <c r="C1972" i="6"/>
  <c r="B505" i="6"/>
  <c r="B441" i="6"/>
  <c r="C2062" i="6"/>
  <c r="C1162" i="6"/>
  <c r="C1072" i="6"/>
  <c r="C532" i="6"/>
  <c r="C442" i="6"/>
  <c r="B308" i="6"/>
  <c r="C373" i="6"/>
  <c r="G244" i="6"/>
  <c r="G1161" i="6"/>
  <c r="F504" i="6"/>
  <c r="G1251" i="6"/>
  <c r="G711" i="6"/>
  <c r="H179" i="6" a="1"/>
  <c r="G441" i="6"/>
  <c r="G1971" i="6"/>
  <c r="G531" i="6"/>
  <c r="H440" i="6" a="1"/>
  <c r="G801" i="6"/>
  <c r="G981" i="6"/>
  <c r="H115" i="6" a="1"/>
  <c r="F440" i="6"/>
  <c r="G621" i="6"/>
  <c r="G116" i="6"/>
  <c r="F372" i="6"/>
  <c r="G1521" i="6"/>
  <c r="G891" i="6"/>
  <c r="F243" i="6"/>
  <c r="G1071" i="6"/>
  <c r="F179" i="6"/>
  <c r="H504" i="6" a="1"/>
  <c r="F51" i="6"/>
  <c r="H50" i="6" a="1"/>
  <c r="F307" i="6"/>
  <c r="G2062" i="6"/>
  <c r="G1701" i="6"/>
  <c r="H307" i="6" a="1"/>
  <c r="F115" i="6"/>
  <c r="G373" i="6"/>
  <c r="G51" i="6"/>
  <c r="G1791" i="6"/>
  <c r="G1341" i="6"/>
  <c r="G308" i="6"/>
  <c r="G1881" i="6"/>
  <c r="H243" i="6" a="1"/>
  <c r="G180" i="6"/>
  <c r="G1431" i="6"/>
  <c r="G1611" i="6"/>
  <c r="H307" i="6" l="1"/>
  <c r="H115" i="6"/>
  <c r="H243" i="6"/>
  <c r="H50" i="6"/>
  <c r="H504" i="6"/>
  <c r="H440" i="6"/>
  <c r="H179" i="6"/>
  <c r="C1343" i="6"/>
  <c r="C1883" i="6"/>
  <c r="B373" i="6"/>
  <c r="C310" i="6"/>
  <c r="B181" i="6"/>
  <c r="B117" i="6"/>
  <c r="C246" i="6"/>
  <c r="C1523" i="6"/>
  <c r="C1073" i="6"/>
  <c r="B53" i="6"/>
  <c r="C2063" i="6"/>
  <c r="C1163" i="6"/>
  <c r="C623" i="6"/>
  <c r="C1613" i="6"/>
  <c r="C1973" i="6"/>
  <c r="C1793" i="6"/>
  <c r="C893" i="6"/>
  <c r="C443" i="6"/>
  <c r="C533" i="6"/>
  <c r="C1253" i="6"/>
  <c r="B245" i="6"/>
  <c r="C713" i="6"/>
  <c r="C374" i="6"/>
  <c r="C1433" i="6"/>
  <c r="B506" i="6"/>
  <c r="B442" i="6"/>
  <c r="C803" i="6"/>
  <c r="C983" i="6"/>
  <c r="C182" i="6"/>
  <c r="C118" i="6"/>
  <c r="C1703" i="6"/>
  <c r="B309" i="6"/>
  <c r="C53" i="6"/>
  <c r="F180" i="6"/>
  <c r="G309" i="6"/>
  <c r="H372" i="6" a="1"/>
  <c r="G1972" i="6"/>
  <c r="G982" i="6"/>
  <c r="F308" i="6"/>
  <c r="F116" i="6"/>
  <c r="G1162" i="6"/>
  <c r="H308" i="6" a="1"/>
  <c r="G532" i="6"/>
  <c r="G442" i="6"/>
  <c r="G1612" i="6"/>
  <c r="G1432" i="6"/>
  <c r="H505" i="6" a="1"/>
  <c r="G52" i="6"/>
  <c r="G892" i="6"/>
  <c r="F505" i="6"/>
  <c r="G181" i="6"/>
  <c r="H441" i="6" a="1"/>
  <c r="G1882" i="6"/>
  <c r="G1792" i="6"/>
  <c r="F373" i="6"/>
  <c r="G1342" i="6"/>
  <c r="G712" i="6"/>
  <c r="H244" i="6" a="1"/>
  <c r="F244" i="6"/>
  <c r="G374" i="6"/>
  <c r="F52" i="6"/>
  <c r="G802" i="6"/>
  <c r="H116" i="6" a="1"/>
  <c r="H180" i="6" a="1"/>
  <c r="H51" i="6" a="1"/>
  <c r="G622" i="6"/>
  <c r="G1702" i="6"/>
  <c r="G1072" i="6"/>
  <c r="G1252" i="6"/>
  <c r="G117" i="6"/>
  <c r="G1522" i="6"/>
  <c r="F441" i="6"/>
  <c r="G2063" i="6"/>
  <c r="G245" i="6"/>
  <c r="H51" i="6" l="1"/>
  <c r="H116" i="6"/>
  <c r="H505" i="6"/>
  <c r="H308" i="6"/>
  <c r="H441" i="6"/>
  <c r="H180" i="6"/>
  <c r="H372" i="6"/>
  <c r="H244" i="6"/>
  <c r="C1164" i="6"/>
  <c r="C54" i="6"/>
  <c r="C1884" i="6"/>
  <c r="C1254" i="6"/>
  <c r="C375" i="6"/>
  <c r="C1344" i="6"/>
  <c r="C1614" i="6"/>
  <c r="C1074" i="6"/>
  <c r="C1524" i="6"/>
  <c r="C1794" i="6"/>
  <c r="C2064" i="6"/>
  <c r="C1704" i="6"/>
  <c r="B310" i="6"/>
  <c r="B374" i="6"/>
  <c r="C183" i="6"/>
  <c r="C119" i="6"/>
  <c r="C804" i="6"/>
  <c r="C444" i="6"/>
  <c r="C534" i="6"/>
  <c r="B182" i="6"/>
  <c r="B118" i="6"/>
  <c r="C1974" i="6"/>
  <c r="C311" i="6"/>
  <c r="B54" i="6"/>
  <c r="C894" i="6"/>
  <c r="C624" i="6"/>
  <c r="C247" i="6"/>
  <c r="B507" i="6"/>
  <c r="B443" i="6"/>
  <c r="C984" i="6"/>
  <c r="C714" i="6"/>
  <c r="B246" i="6"/>
  <c r="C1434" i="6"/>
  <c r="G1433" i="6"/>
  <c r="G1793" i="6"/>
  <c r="H442" i="6" a="1"/>
  <c r="F374" i="6"/>
  <c r="G713" i="6"/>
  <c r="G983" i="6"/>
  <c r="G375" i="6"/>
  <c r="F442" i="6"/>
  <c r="H117" i="6" a="1"/>
  <c r="G246" i="6"/>
  <c r="G1973" i="6"/>
  <c r="H373" i="6" a="1"/>
  <c r="G53" i="6"/>
  <c r="G182" i="6"/>
  <c r="G1613" i="6"/>
  <c r="G1343" i="6"/>
  <c r="G2064" i="6"/>
  <c r="F117" i="6"/>
  <c r="G533" i="6"/>
  <c r="G1703" i="6"/>
  <c r="G1163" i="6"/>
  <c r="H181" i="6" a="1"/>
  <c r="G310" i="6"/>
  <c r="G1883" i="6"/>
  <c r="G1073" i="6"/>
  <c r="F181" i="6"/>
  <c r="G118" i="6"/>
  <c r="G443" i="6"/>
  <c r="H374" i="6" a="1"/>
  <c r="G803" i="6"/>
  <c r="G893" i="6"/>
  <c r="F506" i="6"/>
  <c r="H506" i="6" a="1"/>
  <c r="F245" i="6"/>
  <c r="G1523" i="6"/>
  <c r="H245" i="6" a="1"/>
  <c r="G1253" i="6"/>
  <c r="H309" i="6" a="1"/>
  <c r="H52" i="6" a="1"/>
  <c r="F309" i="6"/>
  <c r="G623" i="6"/>
  <c r="F53" i="6"/>
  <c r="H374" i="6" l="1"/>
  <c r="H181" i="6"/>
  <c r="H52" i="6"/>
  <c r="H442" i="6"/>
  <c r="H309" i="6"/>
  <c r="H117" i="6"/>
  <c r="H245" i="6"/>
  <c r="H373" i="6"/>
  <c r="H506" i="6"/>
  <c r="C805" i="6"/>
  <c r="B311" i="6"/>
  <c r="B55" i="6"/>
  <c r="B247" i="6"/>
  <c r="C248" i="6"/>
  <c r="C1165" i="6"/>
  <c r="C1345" i="6"/>
  <c r="C376" i="6"/>
  <c r="C625" i="6"/>
  <c r="C1705" i="6"/>
  <c r="C1975" i="6"/>
  <c r="C445" i="6"/>
  <c r="C535" i="6"/>
  <c r="B375" i="6"/>
  <c r="C1885" i="6"/>
  <c r="C1435" i="6"/>
  <c r="C55" i="6"/>
  <c r="C2065" i="6"/>
  <c r="C1795" i="6"/>
  <c r="C1615" i="6"/>
  <c r="C312" i="6"/>
  <c r="C715" i="6"/>
  <c r="C1525" i="6"/>
  <c r="C985" i="6"/>
  <c r="B183" i="6"/>
  <c r="B119" i="6"/>
  <c r="C184" i="6"/>
  <c r="C120" i="6"/>
  <c r="C1255" i="6"/>
  <c r="C895" i="6"/>
  <c r="C1075" i="6"/>
  <c r="B508" i="6"/>
  <c r="B444" i="6"/>
  <c r="F443" i="6"/>
  <c r="G1434" i="6"/>
  <c r="G247" i="6"/>
  <c r="H443" i="6" a="1"/>
  <c r="G624" i="6"/>
  <c r="G444" i="6"/>
  <c r="G1074" i="6"/>
  <c r="G1524" i="6"/>
  <c r="G54" i="6"/>
  <c r="G1704" i="6"/>
  <c r="F507" i="6"/>
  <c r="G311" i="6"/>
  <c r="G2065" i="6"/>
  <c r="F54" i="6"/>
  <c r="G119" i="6"/>
  <c r="G183" i="6"/>
  <c r="H53" i="6" a="1"/>
  <c r="G1794" i="6"/>
  <c r="G1164" i="6"/>
  <c r="G1974" i="6"/>
  <c r="H182" i="6" a="1"/>
  <c r="F118" i="6"/>
  <c r="F182" i="6"/>
  <c r="G534" i="6"/>
  <c r="G894" i="6"/>
  <c r="H507" i="6" a="1"/>
  <c r="F246" i="6"/>
  <c r="G376" i="6"/>
  <c r="G984" i="6"/>
  <c r="G1614" i="6"/>
  <c r="G1884" i="6"/>
  <c r="H118" i="6" a="1"/>
  <c r="G804" i="6"/>
  <c r="G714" i="6"/>
  <c r="F375" i="6"/>
  <c r="F310" i="6"/>
  <c r="G1254" i="6"/>
  <c r="H310" i="6" a="1"/>
  <c r="G1344" i="6"/>
  <c r="H246" i="6" a="1"/>
  <c r="H507" i="6" l="1"/>
  <c r="H182" i="6"/>
  <c r="H118" i="6"/>
  <c r="H53" i="6"/>
  <c r="H246" i="6"/>
  <c r="H310" i="6"/>
  <c r="H443" i="6"/>
  <c r="C1796" i="6"/>
  <c r="C1256" i="6"/>
  <c r="C1166" i="6"/>
  <c r="B120" i="6"/>
  <c r="B184" i="6"/>
  <c r="C806" i="6"/>
  <c r="C716" i="6"/>
  <c r="C313" i="6"/>
  <c r="B376" i="6"/>
  <c r="C249" i="6"/>
  <c r="C1886" i="6"/>
  <c r="C626" i="6"/>
  <c r="B312" i="6"/>
  <c r="C896" i="6"/>
  <c r="C377" i="6"/>
  <c r="C1076" i="6"/>
  <c r="C1706" i="6"/>
  <c r="C1526" i="6"/>
  <c r="C2066" i="6"/>
  <c r="C1436" i="6"/>
  <c r="B56" i="6"/>
  <c r="C56" i="6"/>
  <c r="C986" i="6"/>
  <c r="B248" i="6"/>
  <c r="C1346" i="6"/>
  <c r="C446" i="6"/>
  <c r="C536" i="6"/>
  <c r="B509" i="6"/>
  <c r="B445" i="6"/>
  <c r="C121" i="6"/>
  <c r="C185" i="6"/>
  <c r="C1616" i="6"/>
  <c r="C1976" i="6"/>
  <c r="F376" i="6"/>
  <c r="G1525" i="6"/>
  <c r="G1435" i="6"/>
  <c r="H375" i="6" a="1"/>
  <c r="G1705" i="6"/>
  <c r="H54" i="6" a="1"/>
  <c r="G1615" i="6"/>
  <c r="G535" i="6"/>
  <c r="G1075" i="6"/>
  <c r="F311" i="6"/>
  <c r="G184" i="6"/>
  <c r="G445" i="6"/>
  <c r="G625" i="6"/>
  <c r="F55" i="6"/>
  <c r="G805" i="6"/>
  <c r="H119" i="6" a="1"/>
  <c r="G1255" i="6"/>
  <c r="G55" i="6"/>
  <c r="G1795" i="6"/>
  <c r="H247" i="6" a="1"/>
  <c r="G1165" i="6"/>
  <c r="G248" i="6"/>
  <c r="F508" i="6"/>
  <c r="G1975" i="6"/>
  <c r="F247" i="6"/>
  <c r="H183" i="6" a="1"/>
  <c r="G120" i="6"/>
  <c r="G312" i="6"/>
  <c r="G895" i="6"/>
  <c r="F119" i="6"/>
  <c r="G2066" i="6"/>
  <c r="F444" i="6"/>
  <c r="G985" i="6"/>
  <c r="G715" i="6"/>
  <c r="G377" i="6"/>
  <c r="H508" i="6" a="1"/>
  <c r="H444" i="6" a="1"/>
  <c r="F183" i="6"/>
  <c r="H311" i="6" a="1"/>
  <c r="G1345" i="6"/>
  <c r="H376" i="6" a="1"/>
  <c r="G1885" i="6"/>
  <c r="H376" i="6" l="1"/>
  <c r="H247" i="6"/>
  <c r="H375" i="6"/>
  <c r="H183" i="6"/>
  <c r="H311" i="6"/>
  <c r="H444" i="6"/>
  <c r="H54" i="6"/>
  <c r="H508" i="6"/>
  <c r="H119" i="6"/>
  <c r="C1167" i="6"/>
  <c r="C717" i="6"/>
  <c r="C378" i="6"/>
  <c r="B121" i="6"/>
  <c r="B185" i="6"/>
  <c r="C1077" i="6"/>
  <c r="C1527" i="6"/>
  <c r="C627" i="6"/>
  <c r="C1977" i="6"/>
  <c r="C807" i="6"/>
  <c r="C1257" i="6"/>
  <c r="C57" i="6"/>
  <c r="C1707" i="6"/>
  <c r="C537" i="6"/>
  <c r="C447" i="6"/>
  <c r="C1437" i="6"/>
  <c r="C1617" i="6"/>
  <c r="C987" i="6"/>
  <c r="C314" i="6"/>
  <c r="C1347" i="6"/>
  <c r="C186" i="6"/>
  <c r="C122" i="6"/>
  <c r="B313" i="6"/>
  <c r="B57" i="6"/>
  <c r="B377" i="6"/>
  <c r="C897" i="6"/>
  <c r="C1887" i="6"/>
  <c r="C250" i="6"/>
  <c r="C2067" i="6"/>
  <c r="B510" i="6"/>
  <c r="B446" i="6"/>
  <c r="C1797" i="6"/>
  <c r="B249" i="6"/>
  <c r="G1256" i="6"/>
  <c r="G185" i="6"/>
  <c r="G986" i="6"/>
  <c r="G1706" i="6"/>
  <c r="H120" i="6" a="1"/>
  <c r="G536" i="6"/>
  <c r="G806" i="6"/>
  <c r="F56" i="6"/>
  <c r="G1436" i="6"/>
  <c r="H445" i="6" a="1"/>
  <c r="G1346" i="6"/>
  <c r="H55" i="6" a="1"/>
  <c r="G1076" i="6"/>
  <c r="G1976" i="6"/>
  <c r="H509" i="6" a="1"/>
  <c r="H312" i="6" a="1"/>
  <c r="G56" i="6"/>
  <c r="H248" i="6" a="1"/>
  <c r="G1616" i="6"/>
  <c r="F312" i="6"/>
  <c r="G121" i="6"/>
  <c r="G1166" i="6"/>
  <c r="G1796" i="6"/>
  <c r="G716" i="6"/>
  <c r="F184" i="6"/>
  <c r="G313" i="6"/>
  <c r="F248" i="6"/>
  <c r="G896" i="6"/>
  <c r="H377" i="6" a="1"/>
  <c r="G378" i="6"/>
  <c r="H184" i="6" a="1"/>
  <c r="G249" i="6"/>
  <c r="G446" i="6"/>
  <c r="G1886" i="6"/>
  <c r="G2067" i="6"/>
  <c r="G626" i="6"/>
  <c r="F509" i="6"/>
  <c r="F377" i="6"/>
  <c r="G1526" i="6"/>
  <c r="F445" i="6"/>
  <c r="F120" i="6"/>
  <c r="H377" i="6" l="1"/>
  <c r="H312" i="6"/>
  <c r="H120" i="6"/>
  <c r="H55" i="6"/>
  <c r="H184" i="6"/>
  <c r="H509" i="6"/>
  <c r="H445" i="6"/>
  <c r="H248" i="6"/>
  <c r="C718" i="6"/>
  <c r="C1078" i="6"/>
  <c r="C1618" i="6"/>
  <c r="C538" i="6"/>
  <c r="C448" i="6"/>
  <c r="C1978" i="6"/>
  <c r="C1168" i="6"/>
  <c r="C808" i="6"/>
  <c r="C1258" i="6"/>
  <c r="C187" i="6"/>
  <c r="C123" i="6"/>
  <c r="C1708" i="6"/>
  <c r="C2068" i="6"/>
  <c r="C628" i="6"/>
  <c r="B511" i="6"/>
  <c r="B447" i="6"/>
  <c r="C898" i="6"/>
  <c r="B250" i="6"/>
  <c r="C379" i="6"/>
  <c r="C1888" i="6"/>
  <c r="B378" i="6"/>
  <c r="C1348" i="6"/>
  <c r="C988" i="6"/>
  <c r="C1798" i="6"/>
  <c r="C251" i="6"/>
  <c r="B314" i="6"/>
  <c r="C1438" i="6"/>
  <c r="C315" i="6"/>
  <c r="B58" i="6"/>
  <c r="C1528" i="6"/>
  <c r="C58" i="6"/>
  <c r="B186" i="6"/>
  <c r="B122" i="6"/>
  <c r="H313" i="6" a="1"/>
  <c r="G250" i="6"/>
  <c r="G2068" i="6"/>
  <c r="G1257" i="6"/>
  <c r="G987" i="6"/>
  <c r="F121" i="6"/>
  <c r="G1887" i="6"/>
  <c r="G122" i="6"/>
  <c r="H121" i="6" a="1"/>
  <c r="G1437" i="6"/>
  <c r="H446" i="6" a="1"/>
  <c r="F378" i="6"/>
  <c r="G1527" i="6"/>
  <c r="G897" i="6"/>
  <c r="G186" i="6"/>
  <c r="G1707" i="6"/>
  <c r="G1977" i="6"/>
  <c r="F313" i="6"/>
  <c r="G717" i="6"/>
  <c r="H510" i="6" a="1"/>
  <c r="G447" i="6"/>
  <c r="G807" i="6"/>
  <c r="G1167" i="6"/>
  <c r="G1077" i="6"/>
  <c r="G537" i="6"/>
  <c r="G627" i="6"/>
  <c r="H56" i="6" a="1"/>
  <c r="H249" i="6" a="1"/>
  <c r="G57" i="6"/>
  <c r="H185" i="6" a="1"/>
  <c r="F446" i="6"/>
  <c r="G379" i="6"/>
  <c r="G1797" i="6"/>
  <c r="F57" i="6"/>
  <c r="H378" i="6" a="1"/>
  <c r="G314" i="6"/>
  <c r="F510" i="6"/>
  <c r="F185" i="6"/>
  <c r="G1347" i="6"/>
  <c r="F249" i="6"/>
  <c r="G1617" i="6"/>
  <c r="H378" i="6" l="1"/>
  <c r="H185" i="6"/>
  <c r="H121" i="6"/>
  <c r="H249" i="6"/>
  <c r="H313" i="6"/>
  <c r="H510" i="6"/>
  <c r="H56" i="6"/>
  <c r="H446" i="6"/>
  <c r="C899" i="6"/>
  <c r="C1709" i="6"/>
  <c r="B251" i="6"/>
  <c r="C1979" i="6"/>
  <c r="C1529" i="6"/>
  <c r="C1079" i="6"/>
  <c r="B576" i="6"/>
  <c r="C1259" i="6"/>
  <c r="B512" i="6"/>
  <c r="B448" i="6"/>
  <c r="C188" i="6"/>
  <c r="C124" i="6"/>
  <c r="C1169" i="6"/>
  <c r="C380" i="6"/>
  <c r="C1889" i="6"/>
  <c r="C59" i="6"/>
  <c r="B187" i="6"/>
  <c r="B123" i="6"/>
  <c r="C1619" i="6"/>
  <c r="B379" i="6"/>
  <c r="C1439" i="6"/>
  <c r="B315" i="6"/>
  <c r="C719" i="6"/>
  <c r="C1349" i="6"/>
  <c r="C539" i="6"/>
  <c r="C449" i="6"/>
  <c r="C809" i="6"/>
  <c r="C1799" i="6"/>
  <c r="C252" i="6"/>
  <c r="C2069" i="6"/>
  <c r="B59" i="6"/>
  <c r="C316" i="6"/>
  <c r="C989" i="6"/>
  <c r="C629" i="6"/>
  <c r="H314" i="6" a="1"/>
  <c r="G628" i="6"/>
  <c r="G1168" i="6"/>
  <c r="F314" i="6"/>
  <c r="F122" i="6"/>
  <c r="G315" i="6"/>
  <c r="F447" i="6"/>
  <c r="G808" i="6"/>
  <c r="G1798" i="6"/>
  <c r="G1258" i="6"/>
  <c r="G1978" i="6"/>
  <c r="H250" i="6" a="1"/>
  <c r="H186" i="6" a="1"/>
  <c r="G123" i="6"/>
  <c r="G538" i="6"/>
  <c r="F58" i="6"/>
  <c r="G1348" i="6"/>
  <c r="G988" i="6"/>
  <c r="F186" i="6"/>
  <c r="H57" i="6" a="1"/>
  <c r="G1438" i="6"/>
  <c r="G187" i="6"/>
  <c r="H447" i="6" a="1"/>
  <c r="H511" i="6" a="1"/>
  <c r="H122" i="6" a="1"/>
  <c r="G718" i="6"/>
  <c r="G58" i="6"/>
  <c r="F511" i="6"/>
  <c r="G1528" i="6"/>
  <c r="G2069" i="6"/>
  <c r="G251" i="6"/>
  <c r="G898" i="6"/>
  <c r="G380" i="6"/>
  <c r="G448" i="6"/>
  <c r="G1618" i="6"/>
  <c r="G1708" i="6"/>
  <c r="H379" i="6" a="1"/>
  <c r="G1888" i="6"/>
  <c r="F379" i="6"/>
  <c r="G1078" i="6"/>
  <c r="F250" i="6"/>
  <c r="H379" i="6" l="1"/>
  <c r="H511" i="6"/>
  <c r="H186" i="6"/>
  <c r="H314" i="6"/>
  <c r="H122" i="6"/>
  <c r="H57" i="6"/>
  <c r="H447" i="6"/>
  <c r="H250" i="6"/>
  <c r="C1530" i="6"/>
  <c r="C2070" i="6"/>
  <c r="C317" i="6"/>
  <c r="C60" i="6"/>
  <c r="C189" i="6"/>
  <c r="C125" i="6"/>
  <c r="C1890" i="6"/>
  <c r="C1080" i="6"/>
  <c r="C630" i="6"/>
  <c r="C1980" i="6"/>
  <c r="B513" i="6"/>
  <c r="B449" i="6"/>
  <c r="C1440" i="6"/>
  <c r="C253" i="6"/>
  <c r="C810" i="6"/>
  <c r="C1710" i="6"/>
  <c r="B577" i="6"/>
  <c r="C1170" i="6"/>
  <c r="C1800" i="6"/>
  <c r="C381" i="6"/>
  <c r="C900" i="6"/>
  <c r="C990" i="6"/>
  <c r="C540" i="6"/>
  <c r="C450" i="6"/>
  <c r="B380" i="6"/>
  <c r="B188" i="6"/>
  <c r="B124" i="6"/>
  <c r="C1260" i="6"/>
  <c r="C1620" i="6"/>
  <c r="B316" i="6"/>
  <c r="B60" i="6"/>
  <c r="C720" i="6"/>
  <c r="B252" i="6"/>
  <c r="C1350" i="6"/>
  <c r="F576" i="6"/>
  <c r="G1439" i="6"/>
  <c r="F315" i="6"/>
  <c r="F251" i="6"/>
  <c r="G719" i="6"/>
  <c r="H512" i="6" a="1"/>
  <c r="G188" i="6"/>
  <c r="G989" i="6"/>
  <c r="G1529" i="6"/>
  <c r="H380" i="6" a="1"/>
  <c r="G1169" i="6"/>
  <c r="G2070" i="6"/>
  <c r="G1259" i="6"/>
  <c r="H576" i="6" a="1"/>
  <c r="G381" i="6"/>
  <c r="G316" i="6"/>
  <c r="H58" i="6" a="1"/>
  <c r="G1979" i="6"/>
  <c r="G124" i="6"/>
  <c r="H123" i="6" a="1"/>
  <c r="G1709" i="6"/>
  <c r="G539" i="6"/>
  <c r="F448" i="6"/>
  <c r="F512" i="6"/>
  <c r="G1889" i="6"/>
  <c r="G252" i="6"/>
  <c r="H315" i="6" a="1"/>
  <c r="G629" i="6"/>
  <c r="H448" i="6" a="1"/>
  <c r="G1079" i="6"/>
  <c r="H251" i="6" a="1"/>
  <c r="G809" i="6"/>
  <c r="H187" i="6" a="1"/>
  <c r="G1619" i="6"/>
  <c r="F187" i="6"/>
  <c r="G1799" i="6"/>
  <c r="G1349" i="6"/>
  <c r="F123" i="6"/>
  <c r="G449" i="6"/>
  <c r="F380" i="6"/>
  <c r="G59" i="6"/>
  <c r="G899" i="6"/>
  <c r="F59" i="6"/>
  <c r="H380" i="6" l="1"/>
  <c r="H315" i="6"/>
  <c r="H576" i="6"/>
  <c r="H448" i="6"/>
  <c r="H251" i="6"/>
  <c r="H58" i="6"/>
  <c r="H123" i="6"/>
  <c r="H187" i="6"/>
  <c r="H512" i="6"/>
  <c r="C991" i="6"/>
  <c r="C1801" i="6"/>
  <c r="B578" i="6"/>
  <c r="C61" i="6"/>
  <c r="C811" i="6"/>
  <c r="C1351" i="6"/>
  <c r="C631" i="6"/>
  <c r="C1891" i="6"/>
  <c r="C1981" i="6"/>
  <c r="B189" i="6"/>
  <c r="B125" i="6"/>
  <c r="C901" i="6"/>
  <c r="C382" i="6"/>
  <c r="B61" i="6"/>
  <c r="C1081" i="6"/>
  <c r="C1261" i="6"/>
  <c r="C2071" i="6"/>
  <c r="C1441" i="6"/>
  <c r="B381" i="6"/>
  <c r="C1531" i="6"/>
  <c r="C721" i="6"/>
  <c r="C190" i="6"/>
  <c r="C126" i="6"/>
  <c r="B253" i="6"/>
  <c r="C254" i="6"/>
  <c r="C1621" i="6"/>
  <c r="C318" i="6"/>
  <c r="B317" i="6"/>
  <c r="C1711" i="6"/>
  <c r="C451" i="6"/>
  <c r="C541" i="6"/>
  <c r="B514" i="6"/>
  <c r="B450" i="6"/>
  <c r="C1171" i="6"/>
  <c r="G1530" i="6"/>
  <c r="G189" i="6"/>
  <c r="H577" i="6" a="1"/>
  <c r="G990" i="6"/>
  <c r="G1260" i="6"/>
  <c r="G253" i="6"/>
  <c r="G540" i="6"/>
  <c r="F381" i="6"/>
  <c r="G1800" i="6"/>
  <c r="G1710" i="6"/>
  <c r="G1080" i="6"/>
  <c r="G630" i="6"/>
  <c r="G382" i="6"/>
  <c r="G450" i="6"/>
  <c r="H449" i="6" a="1"/>
  <c r="G1620" i="6"/>
  <c r="H381" i="6" a="1"/>
  <c r="G317" i="6"/>
  <c r="G1170" i="6"/>
  <c r="G720" i="6"/>
  <c r="G1440" i="6"/>
  <c r="F124" i="6"/>
  <c r="F188" i="6"/>
  <c r="H513" i="6" a="1"/>
  <c r="G810" i="6"/>
  <c r="H188" i="6" a="1"/>
  <c r="G900" i="6"/>
  <c r="G60" i="6"/>
  <c r="G1350" i="6"/>
  <c r="H252" i="6" a="1"/>
  <c r="F60" i="6"/>
  <c r="F449" i="6"/>
  <c r="G125" i="6"/>
  <c r="G1890" i="6"/>
  <c r="F252" i="6"/>
  <c r="G2071" i="6"/>
  <c r="F316" i="6"/>
  <c r="G1980" i="6"/>
  <c r="H59" i="6" a="1"/>
  <c r="H316" i="6" a="1"/>
  <c r="F577" i="6"/>
  <c r="F513" i="6"/>
  <c r="H124" i="6" a="1"/>
  <c r="H381" i="6" l="1"/>
  <c r="H124" i="6"/>
  <c r="H188" i="6"/>
  <c r="H449" i="6"/>
  <c r="H577" i="6"/>
  <c r="H59" i="6"/>
  <c r="H316" i="6"/>
  <c r="H252" i="6"/>
  <c r="H513" i="6"/>
  <c r="C1262" i="6"/>
  <c r="C383" i="6"/>
  <c r="C319" i="6"/>
  <c r="C722" i="6"/>
  <c r="C632" i="6"/>
  <c r="C1712" i="6"/>
  <c r="C255" i="6"/>
  <c r="C1172" i="6"/>
  <c r="B190" i="6"/>
  <c r="B126" i="6"/>
  <c r="C1442" i="6"/>
  <c r="C191" i="6"/>
  <c r="C127" i="6"/>
  <c r="C812" i="6"/>
  <c r="B254" i="6"/>
  <c r="C452" i="6"/>
  <c r="C542" i="6"/>
  <c r="C1802" i="6"/>
  <c r="C1532" i="6"/>
  <c r="B62" i="6"/>
  <c r="C902" i="6"/>
  <c r="C1892" i="6"/>
  <c r="C2072" i="6"/>
  <c r="C1082" i="6"/>
  <c r="C1622" i="6"/>
  <c r="B515" i="6"/>
  <c r="B451" i="6"/>
  <c r="B318" i="6"/>
  <c r="C1982" i="6"/>
  <c r="C62" i="6"/>
  <c r="B382" i="6"/>
  <c r="B579" i="6"/>
  <c r="C1352" i="6"/>
  <c r="C992" i="6"/>
  <c r="G1081" i="6"/>
  <c r="G1531" i="6"/>
  <c r="G1261" i="6"/>
  <c r="G1441" i="6"/>
  <c r="G1891" i="6"/>
  <c r="F253" i="6"/>
  <c r="G383" i="6"/>
  <c r="G901" i="6"/>
  <c r="G254" i="6"/>
  <c r="H450" i="6" a="1"/>
  <c r="F514" i="6"/>
  <c r="F125" i="6"/>
  <c r="G811" i="6"/>
  <c r="G721" i="6"/>
  <c r="G190" i="6"/>
  <c r="G318" i="6"/>
  <c r="H125" i="6" a="1"/>
  <c r="G991" i="6"/>
  <c r="H189" i="6" a="1"/>
  <c r="G451" i="6"/>
  <c r="G61" i="6"/>
  <c r="H317" i="6" a="1"/>
  <c r="G1351" i="6"/>
  <c r="G541" i="6"/>
  <c r="F189" i="6"/>
  <c r="H60" i="6" a="1"/>
  <c r="F382" i="6"/>
  <c r="F450" i="6"/>
  <c r="G126" i="6"/>
  <c r="G1711" i="6"/>
  <c r="H253" i="6" a="1"/>
  <c r="H578" i="6" a="1"/>
  <c r="G1981" i="6"/>
  <c r="F578" i="6"/>
  <c r="G1621" i="6"/>
  <c r="G1171" i="6"/>
  <c r="F61" i="6"/>
  <c r="G2072" i="6"/>
  <c r="H514" i="6" a="1"/>
  <c r="F317" i="6"/>
  <c r="G631" i="6"/>
  <c r="G1801" i="6"/>
  <c r="H125" i="6" l="1"/>
  <c r="H253" i="6"/>
  <c r="H317" i="6"/>
  <c r="H60" i="6"/>
  <c r="H450" i="6"/>
  <c r="H189" i="6"/>
  <c r="H514" i="6"/>
  <c r="H578" i="6"/>
  <c r="B319" i="6"/>
  <c r="C320" i="6"/>
  <c r="C384" i="6"/>
  <c r="C1533" i="6"/>
  <c r="C1623" i="6"/>
  <c r="C903" i="6"/>
  <c r="C1803" i="6"/>
  <c r="B516" i="6"/>
  <c r="B452" i="6"/>
  <c r="C1893" i="6"/>
  <c r="B191" i="6"/>
  <c r="B127" i="6"/>
  <c r="C1173" i="6"/>
  <c r="C192" i="6"/>
  <c r="C128" i="6"/>
  <c r="C1983" i="6"/>
  <c r="B255" i="6"/>
  <c r="C256" i="6"/>
  <c r="C723" i="6"/>
  <c r="C1353" i="6"/>
  <c r="C1083" i="6"/>
  <c r="C63" i="6"/>
  <c r="C1713" i="6"/>
  <c r="C1443" i="6"/>
  <c r="C993" i="6"/>
  <c r="C633" i="6"/>
  <c r="C813" i="6"/>
  <c r="B383" i="6"/>
  <c r="B580" i="6"/>
  <c r="C2073" i="6"/>
  <c r="B63" i="6"/>
  <c r="C453" i="6"/>
  <c r="C543" i="6"/>
  <c r="C1263" i="6"/>
  <c r="H515" i="6" a="1"/>
  <c r="G1442" i="6"/>
  <c r="G191" i="6"/>
  <c r="G62" i="6"/>
  <c r="F579" i="6"/>
  <c r="G1082" i="6"/>
  <c r="G542" i="6"/>
  <c r="H318" i="6" a="1"/>
  <c r="H190" i="6" a="1"/>
  <c r="G1532" i="6"/>
  <c r="F126" i="6"/>
  <c r="G255" i="6"/>
  <c r="H126" i="6" a="1"/>
  <c r="G2073" i="6"/>
  <c r="G384" i="6"/>
  <c r="G1262" i="6"/>
  <c r="G812" i="6"/>
  <c r="G1622" i="6"/>
  <c r="H451" i="6" a="1"/>
  <c r="F318" i="6"/>
  <c r="G902" i="6"/>
  <c r="F254" i="6"/>
  <c r="G1172" i="6"/>
  <c r="F190" i="6"/>
  <c r="G992" i="6"/>
  <c r="H382" i="6" a="1"/>
  <c r="G722" i="6"/>
  <c r="G1802" i="6"/>
  <c r="G1712" i="6"/>
  <c r="G319" i="6"/>
  <c r="H61" i="6" a="1"/>
  <c r="G1892" i="6"/>
  <c r="F515" i="6"/>
  <c r="F451" i="6"/>
  <c r="G1982" i="6"/>
  <c r="G1352" i="6"/>
  <c r="G452" i="6"/>
  <c r="H254" i="6" a="1"/>
  <c r="G127" i="6"/>
  <c r="H579" i="6" a="1"/>
  <c r="F383" i="6"/>
  <c r="F62" i="6"/>
  <c r="G632" i="6"/>
  <c r="H382" i="6" l="1"/>
  <c r="H451" i="6"/>
  <c r="H318" i="6"/>
  <c r="H254" i="6"/>
  <c r="H515" i="6"/>
  <c r="H190" i="6"/>
  <c r="H61" i="6"/>
  <c r="H126" i="6"/>
  <c r="H579" i="6"/>
  <c r="C994" i="6"/>
  <c r="B64" i="6"/>
  <c r="C1084" i="6"/>
  <c r="C1174" i="6"/>
  <c r="B320" i="6"/>
  <c r="C1264" i="6"/>
  <c r="B581" i="6"/>
  <c r="B192" i="6"/>
  <c r="B128" i="6"/>
  <c r="C1894" i="6"/>
  <c r="C1534" i="6"/>
  <c r="C1444" i="6"/>
  <c r="C2074" i="6"/>
  <c r="B256" i="6"/>
  <c r="C385" i="6"/>
  <c r="C724" i="6"/>
  <c r="C64" i="6"/>
  <c r="C814" i="6"/>
  <c r="C257" i="6"/>
  <c r="B384" i="6"/>
  <c r="C634" i="6"/>
  <c r="C321" i="6"/>
  <c r="C1714" i="6"/>
  <c r="C1354" i="6"/>
  <c r="C904" i="6"/>
  <c r="C1804" i="6"/>
  <c r="C129" i="6"/>
  <c r="C193" i="6"/>
  <c r="C1984" i="6"/>
  <c r="C454" i="6"/>
  <c r="C544" i="6"/>
  <c r="B517" i="6"/>
  <c r="B453" i="6"/>
  <c r="C1624" i="6"/>
  <c r="G1623" i="6"/>
  <c r="F580" i="6"/>
  <c r="F319" i="6"/>
  <c r="G543" i="6"/>
  <c r="G723" i="6"/>
  <c r="F516" i="6"/>
  <c r="G1173" i="6"/>
  <c r="F63" i="6"/>
  <c r="G1263" i="6"/>
  <c r="G813" i="6"/>
  <c r="G385" i="6"/>
  <c r="G993" i="6"/>
  <c r="G453" i="6"/>
  <c r="G128" i="6"/>
  <c r="F452" i="6"/>
  <c r="G1713" i="6"/>
  <c r="G1803" i="6"/>
  <c r="F255" i="6"/>
  <c r="G1983" i="6"/>
  <c r="G320" i="6"/>
  <c r="G2074" i="6"/>
  <c r="G256" i="6"/>
  <c r="G192" i="6"/>
  <c r="G1893" i="6"/>
  <c r="G63" i="6"/>
  <c r="H255" i="6" a="1"/>
  <c r="H580" i="6" a="1"/>
  <c r="H383" i="6" a="1"/>
  <c r="H191" i="6" a="1"/>
  <c r="H319" i="6" a="1"/>
  <c r="F191" i="6"/>
  <c r="F384" i="6"/>
  <c r="H127" i="6" a="1"/>
  <c r="G1533" i="6"/>
  <c r="H516" i="6" a="1"/>
  <c r="H452" i="6" a="1"/>
  <c r="H384" i="6" a="1"/>
  <c r="F127" i="6"/>
  <c r="H62" i="6" a="1"/>
  <c r="G1443" i="6"/>
  <c r="G633" i="6"/>
  <c r="G1083" i="6"/>
  <c r="G1353" i="6"/>
  <c r="G903" i="6"/>
  <c r="H384" i="6" l="1"/>
  <c r="H580" i="6"/>
  <c r="H255" i="6"/>
  <c r="H319" i="6"/>
  <c r="H383" i="6"/>
  <c r="H452" i="6"/>
  <c r="H127" i="6"/>
  <c r="H516" i="6"/>
  <c r="H191" i="6"/>
  <c r="H62" i="6"/>
  <c r="B321" i="6"/>
  <c r="C1985" i="6"/>
  <c r="C905" i="6"/>
  <c r="B65" i="6"/>
  <c r="C1625" i="6"/>
  <c r="C995" i="6"/>
  <c r="C1715" i="6"/>
  <c r="C2075" i="6"/>
  <c r="C1445" i="6"/>
  <c r="C725" i="6"/>
  <c r="C65" i="6"/>
  <c r="C1355" i="6"/>
  <c r="C545" i="6"/>
  <c r="C455" i="6"/>
  <c r="C258" i="6"/>
  <c r="B129" i="6"/>
  <c r="B193" i="6"/>
  <c r="B385" i="6"/>
  <c r="C1085" i="6"/>
  <c r="B518" i="6"/>
  <c r="B454" i="6"/>
  <c r="C194" i="6"/>
  <c r="C130" i="6"/>
  <c r="C1805" i="6"/>
  <c r="C815" i="6"/>
  <c r="B257" i="6"/>
  <c r="C635" i="6"/>
  <c r="C1895" i="6"/>
  <c r="C1535" i="6"/>
  <c r="C1175" i="6"/>
  <c r="B582" i="6"/>
  <c r="C386" i="6"/>
  <c r="C322" i="6"/>
  <c r="C1265" i="6"/>
  <c r="H128" i="6" a="1"/>
  <c r="F320" i="6"/>
  <c r="G2075" i="6"/>
  <c r="G1714" i="6"/>
  <c r="G1264" i="6"/>
  <c r="H581" i="6" a="1"/>
  <c r="F128" i="6"/>
  <c r="G1984" i="6"/>
  <c r="F256" i="6"/>
  <c r="G193" i="6"/>
  <c r="G1894" i="6"/>
  <c r="F453" i="6"/>
  <c r="G321" i="6"/>
  <c r="G544" i="6"/>
  <c r="G386" i="6"/>
  <c r="G1624" i="6"/>
  <c r="G1174" i="6"/>
  <c r="F64" i="6"/>
  <c r="G1354" i="6"/>
  <c r="G814" i="6"/>
  <c r="G1804" i="6"/>
  <c r="G724" i="6"/>
  <c r="H192" i="6" a="1"/>
  <c r="F385" i="6"/>
  <c r="G129" i="6"/>
  <c r="F192" i="6"/>
  <c r="G64" i="6"/>
  <c r="G454" i="6"/>
  <c r="G257" i="6"/>
  <c r="H256" i="6" a="1"/>
  <c r="G1084" i="6"/>
  <c r="G634" i="6"/>
  <c r="G1534" i="6"/>
  <c r="F581" i="6"/>
  <c r="H385" i="6" a="1"/>
  <c r="H320" i="6" a="1"/>
  <c r="H63" i="6" a="1"/>
  <c r="F517" i="6"/>
  <c r="G994" i="6"/>
  <c r="H517" i="6" a="1"/>
  <c r="G904" i="6"/>
  <c r="H453" i="6" a="1"/>
  <c r="G1444" i="6"/>
  <c r="H385" i="6" l="1"/>
  <c r="H192" i="6"/>
  <c r="H128" i="6"/>
  <c r="H453" i="6"/>
  <c r="H63" i="6"/>
  <c r="H256" i="6"/>
  <c r="H320" i="6"/>
  <c r="H517" i="6"/>
  <c r="H581" i="6"/>
  <c r="C1896" i="6"/>
  <c r="C546" i="6"/>
  <c r="C456" i="6"/>
  <c r="C816" i="6"/>
  <c r="C1086" i="6"/>
  <c r="C195" i="6"/>
  <c r="C131" i="6"/>
  <c r="C636" i="6"/>
  <c r="C1356" i="6"/>
  <c r="C726" i="6"/>
  <c r="C259" i="6"/>
  <c r="C1536" i="6"/>
  <c r="C1716" i="6"/>
  <c r="C2076" i="6"/>
  <c r="C1266" i="6"/>
  <c r="B322" i="6"/>
  <c r="B258" i="6"/>
  <c r="C1446" i="6"/>
  <c r="B66" i="6"/>
  <c r="B386" i="6"/>
  <c r="B194" i="6"/>
  <c r="B130" i="6"/>
  <c r="C387" i="6"/>
  <c r="B519" i="6"/>
  <c r="B455" i="6"/>
  <c r="B583" i="6"/>
  <c r="C66" i="6"/>
  <c r="C1626" i="6"/>
  <c r="C906" i="6"/>
  <c r="C323" i="6"/>
  <c r="C1806" i="6"/>
  <c r="C996" i="6"/>
  <c r="C1986" i="6"/>
  <c r="C1176" i="6"/>
  <c r="G130" i="6"/>
  <c r="G1535" i="6"/>
  <c r="F582" i="6"/>
  <c r="H321" i="6" a="1"/>
  <c r="G725" i="6"/>
  <c r="G1625" i="6"/>
  <c r="F257" i="6"/>
  <c r="H386" i="6" a="1"/>
  <c r="H582" i="6" a="1"/>
  <c r="F518" i="6"/>
  <c r="G815" i="6"/>
  <c r="G322" i="6"/>
  <c r="H454" i="6" a="1"/>
  <c r="G995" i="6"/>
  <c r="G1715" i="6"/>
  <c r="F454" i="6"/>
  <c r="F129" i="6"/>
  <c r="G905" i="6"/>
  <c r="G1445" i="6"/>
  <c r="F193" i="6"/>
  <c r="G1085" i="6"/>
  <c r="G635" i="6"/>
  <c r="G1895" i="6"/>
  <c r="G1985" i="6"/>
  <c r="G1265" i="6"/>
  <c r="F386" i="6"/>
  <c r="G1355" i="6"/>
  <c r="G1175" i="6"/>
  <c r="F65" i="6"/>
  <c r="G1805" i="6"/>
  <c r="H257" i="6" a="1"/>
  <c r="G545" i="6"/>
  <c r="G387" i="6"/>
  <c r="H193" i="6" a="1"/>
  <c r="H129" i="6" a="1"/>
  <c r="H64" i="6" a="1"/>
  <c r="G455" i="6"/>
  <c r="H518" i="6" a="1"/>
  <c r="G65" i="6"/>
  <c r="G2076" i="6"/>
  <c r="G194" i="6"/>
  <c r="F321" i="6"/>
  <c r="G258" i="6"/>
  <c r="H386" i="6" l="1"/>
  <c r="H193" i="6"/>
  <c r="H518" i="6"/>
  <c r="H321" i="6"/>
  <c r="H257" i="6"/>
  <c r="H129" i="6"/>
  <c r="H582" i="6"/>
  <c r="H64" i="6"/>
  <c r="H454" i="6"/>
  <c r="C1357" i="6"/>
  <c r="C907" i="6"/>
  <c r="B67" i="6"/>
  <c r="C324" i="6"/>
  <c r="C727" i="6"/>
  <c r="C547" i="6"/>
  <c r="C457" i="6"/>
  <c r="C637" i="6"/>
  <c r="C1717" i="6"/>
  <c r="C1897" i="6"/>
  <c r="C67" i="6"/>
  <c r="C1537" i="6"/>
  <c r="C817" i="6"/>
  <c r="C196" i="6"/>
  <c r="C132" i="6"/>
  <c r="B259" i="6"/>
  <c r="B323" i="6"/>
  <c r="C1807" i="6"/>
  <c r="C1447" i="6"/>
  <c r="C1987" i="6"/>
  <c r="C260" i="6"/>
  <c r="C2077" i="6"/>
  <c r="C997" i="6"/>
  <c r="B520" i="6"/>
  <c r="B456" i="6"/>
  <c r="C1177" i="6"/>
  <c r="C1267" i="6"/>
  <c r="C388" i="6"/>
  <c r="B195" i="6"/>
  <c r="B131" i="6"/>
  <c r="C1087" i="6"/>
  <c r="B584" i="6"/>
  <c r="B387" i="6"/>
  <c r="C1627" i="6"/>
  <c r="H455" i="6" a="1"/>
  <c r="G546" i="6"/>
  <c r="G816" i="6"/>
  <c r="G1176" i="6"/>
  <c r="G1536" i="6"/>
  <c r="H194" i="6" a="1"/>
  <c r="H258" i="6" a="1"/>
  <c r="G1356" i="6"/>
  <c r="G66" i="6"/>
  <c r="G1086" i="6"/>
  <c r="H65" i="6" a="1"/>
  <c r="G195" i="6"/>
  <c r="F322" i="6"/>
  <c r="F519" i="6"/>
  <c r="F455" i="6"/>
  <c r="F387" i="6"/>
  <c r="F258" i="6"/>
  <c r="G906" i="6"/>
  <c r="G1716" i="6"/>
  <c r="H387" i="6" a="1"/>
  <c r="G323" i="6"/>
  <c r="G1626" i="6"/>
  <c r="G456" i="6"/>
  <c r="H583" i="6" a="1"/>
  <c r="G1806" i="6"/>
  <c r="H130" i="6" a="1"/>
  <c r="H322" i="6" a="1"/>
  <c r="F583" i="6"/>
  <c r="G1446" i="6"/>
  <c r="F194" i="6"/>
  <c r="F130" i="6"/>
  <c r="G388" i="6"/>
  <c r="G636" i="6"/>
  <c r="F66" i="6"/>
  <c r="G1986" i="6"/>
  <c r="G1896" i="6"/>
  <c r="G1266" i="6"/>
  <c r="G2077" i="6"/>
  <c r="G131" i="6"/>
  <c r="H519" i="6" a="1"/>
  <c r="G726" i="6"/>
  <c r="G259" i="6"/>
  <c r="G996" i="6"/>
  <c r="H387" i="6" l="1"/>
  <c r="H65" i="6"/>
  <c r="H455" i="6"/>
  <c r="H258" i="6"/>
  <c r="H322" i="6"/>
  <c r="H130" i="6"/>
  <c r="H519" i="6"/>
  <c r="H583" i="6"/>
  <c r="H194" i="6"/>
  <c r="C1628" i="6"/>
  <c r="C728" i="6"/>
  <c r="B585" i="6"/>
  <c r="C2078" i="6"/>
  <c r="B324" i="6"/>
  <c r="C548" i="6"/>
  <c r="C458" i="6"/>
  <c r="B68" i="6"/>
  <c r="C1088" i="6"/>
  <c r="C68" i="6"/>
  <c r="C998" i="6"/>
  <c r="C1358" i="6"/>
  <c r="C1538" i="6"/>
  <c r="C197" i="6"/>
  <c r="C133" i="6"/>
  <c r="C638" i="6"/>
  <c r="C1178" i="6"/>
  <c r="B196" i="6"/>
  <c r="B132" i="6"/>
  <c r="C1268" i="6"/>
  <c r="C1898" i="6"/>
  <c r="C818" i="6"/>
  <c r="C1448" i="6"/>
  <c r="C1718" i="6"/>
  <c r="C1988" i="6"/>
  <c r="B260" i="6"/>
  <c r="C908" i="6"/>
  <c r="C1808" i="6"/>
  <c r="C261" i="6"/>
  <c r="B521" i="6"/>
  <c r="B457" i="6"/>
  <c r="C325" i="6"/>
  <c r="B388" i="6"/>
  <c r="C389" i="6"/>
  <c r="F520" i="6"/>
  <c r="G1357" i="6"/>
  <c r="G132" i="6"/>
  <c r="G1267" i="6"/>
  <c r="H520" i="6" a="1"/>
  <c r="G1537" i="6"/>
  <c r="F323" i="6"/>
  <c r="G907" i="6"/>
  <c r="F67" i="6"/>
  <c r="G1627" i="6"/>
  <c r="G817" i="6"/>
  <c r="H131" i="6" a="1"/>
  <c r="H66" i="6" a="1"/>
  <c r="F456" i="6"/>
  <c r="G196" i="6"/>
  <c r="H195" i="6" a="1"/>
  <c r="G547" i="6"/>
  <c r="H456" i="6" a="1"/>
  <c r="H323" i="6" a="1"/>
  <c r="F584" i="6"/>
  <c r="G1987" i="6"/>
  <c r="G457" i="6"/>
  <c r="G260" i="6"/>
  <c r="H388" i="6" a="1"/>
  <c r="H584" i="6" a="1"/>
  <c r="G1807" i="6"/>
  <c r="G637" i="6"/>
  <c r="G727" i="6"/>
  <c r="G1177" i="6"/>
  <c r="F68" i="6"/>
  <c r="F388" i="6"/>
  <c r="G67" i="6"/>
  <c r="F131" i="6"/>
  <c r="H259" i="6" a="1"/>
  <c r="G389" i="6"/>
  <c r="G1447" i="6"/>
  <c r="G324" i="6"/>
  <c r="G1717" i="6"/>
  <c r="G2078" i="6"/>
  <c r="G997" i="6"/>
  <c r="G1087" i="6"/>
  <c r="G1897" i="6"/>
  <c r="F195" i="6"/>
  <c r="G68" i="6"/>
  <c r="F259" i="6"/>
  <c r="H388" i="6" l="1"/>
  <c r="H131" i="6"/>
  <c r="H584" i="6"/>
  <c r="H520" i="6"/>
  <c r="H259" i="6"/>
  <c r="H66" i="6"/>
  <c r="H456" i="6"/>
  <c r="H195" i="6"/>
  <c r="H323" i="6"/>
  <c r="C639" i="6"/>
  <c r="C999" i="6"/>
  <c r="C1539" i="6"/>
  <c r="C198" i="6"/>
  <c r="B522" i="6"/>
  <c r="B458" i="6"/>
  <c r="B261" i="6"/>
  <c r="B389" i="6"/>
  <c r="B197" i="6"/>
  <c r="B133" i="6"/>
  <c r="B325" i="6"/>
  <c r="C909" i="6"/>
  <c r="C1629" i="6"/>
  <c r="C1179" i="6"/>
  <c r="C819" i="6"/>
  <c r="C1269" i="6"/>
  <c r="C262" i="6"/>
  <c r="C1719" i="6"/>
  <c r="C390" i="6"/>
  <c r="B586" i="6"/>
  <c r="C326" i="6"/>
  <c r="C2079" i="6"/>
  <c r="C1989" i="6"/>
  <c r="C1449" i="6"/>
  <c r="C729" i="6"/>
  <c r="C459" i="6"/>
  <c r="C549" i="6"/>
  <c r="C1899" i="6"/>
  <c r="C1809" i="6"/>
  <c r="C1359" i="6"/>
  <c r="C1089" i="6"/>
  <c r="F389" i="6"/>
  <c r="H324" i="6" a="1"/>
  <c r="G390" i="6"/>
  <c r="F260" i="6"/>
  <c r="H68" i="6" a="1"/>
  <c r="G548" i="6"/>
  <c r="F521" i="6"/>
  <c r="G1988" i="6"/>
  <c r="F196" i="6"/>
  <c r="G728" i="6"/>
  <c r="G1718" i="6"/>
  <c r="H196" i="6" a="1"/>
  <c r="F457" i="6"/>
  <c r="G998" i="6"/>
  <c r="H260" i="6" a="1"/>
  <c r="H67" i="6" a="1"/>
  <c r="G908" i="6"/>
  <c r="G1088" i="6"/>
  <c r="G261" i="6"/>
  <c r="G1358" i="6"/>
  <c r="H132" i="6" a="1"/>
  <c r="G1538" i="6"/>
  <c r="G1808" i="6"/>
  <c r="G818" i="6"/>
  <c r="G1268" i="6"/>
  <c r="H521" i="6" a="1"/>
  <c r="G1898" i="6"/>
  <c r="F324" i="6"/>
  <c r="G133" i="6"/>
  <c r="G1178" i="6"/>
  <c r="H585" i="6" a="1"/>
  <c r="H457" i="6" a="1"/>
  <c r="G197" i="6"/>
  <c r="F132" i="6"/>
  <c r="G1448" i="6"/>
  <c r="G325" i="6"/>
  <c r="G638" i="6"/>
  <c r="F585" i="6"/>
  <c r="G458" i="6"/>
  <c r="G1628" i="6"/>
  <c r="G2079" i="6"/>
  <c r="H324" i="6" l="1"/>
  <c r="H457" i="6"/>
  <c r="H67" i="6"/>
  <c r="H521" i="6"/>
  <c r="H132" i="6"/>
  <c r="H196" i="6"/>
  <c r="H68" i="6"/>
  <c r="H585" i="6"/>
  <c r="H260" i="6"/>
  <c r="C1630" i="6"/>
  <c r="C1450" i="6"/>
  <c r="C640" i="6"/>
  <c r="B390" i="6"/>
  <c r="C1090" i="6"/>
  <c r="C460" i="6"/>
  <c r="C550" i="6"/>
  <c r="B523" i="6"/>
  <c r="B459" i="6"/>
  <c r="C1180" i="6"/>
  <c r="C1360" i="6"/>
  <c r="C2080" i="6"/>
  <c r="C910" i="6"/>
  <c r="C820" i="6"/>
  <c r="C1270" i="6"/>
  <c r="B198" i="6"/>
  <c r="C730" i="6"/>
  <c r="C1900" i="6"/>
  <c r="C1810" i="6"/>
  <c r="B587" i="6"/>
  <c r="C391" i="6"/>
  <c r="C1720" i="6"/>
  <c r="B262" i="6"/>
  <c r="B326" i="6"/>
  <c r="C1990" i="6"/>
  <c r="C327" i="6"/>
  <c r="C263" i="6"/>
  <c r="C1540" i="6"/>
  <c r="C1000" i="6"/>
  <c r="G1899" i="6"/>
  <c r="G1359" i="6"/>
  <c r="H586" i="6" a="1"/>
  <c r="G326" i="6"/>
  <c r="F133" i="6"/>
  <c r="F458" i="6"/>
  <c r="G262" i="6"/>
  <c r="G1629" i="6"/>
  <c r="H197" i="6" a="1"/>
  <c r="F197" i="6"/>
  <c r="F390" i="6"/>
  <c r="G391" i="6"/>
  <c r="G1269" i="6"/>
  <c r="G1539" i="6"/>
  <c r="G819" i="6"/>
  <c r="G1809" i="6"/>
  <c r="H522" i="6" a="1"/>
  <c r="H458" i="6" a="1"/>
  <c r="G1179" i="6"/>
  <c r="G549" i="6"/>
  <c r="F261" i="6"/>
  <c r="G1719" i="6"/>
  <c r="H390" i="6" a="1"/>
  <c r="G1989" i="6"/>
  <c r="G459" i="6"/>
  <c r="G1089" i="6"/>
  <c r="H261" i="6" a="1"/>
  <c r="F586" i="6"/>
  <c r="G729" i="6"/>
  <c r="G2080" i="6"/>
  <c r="H389" i="6" a="1"/>
  <c r="G639" i="6"/>
  <c r="H133" i="6" a="1"/>
  <c r="H325" i="6" a="1"/>
  <c r="G999" i="6"/>
  <c r="F325" i="6"/>
  <c r="G198" i="6"/>
  <c r="G1449" i="6"/>
  <c r="F522" i="6"/>
  <c r="G909" i="6"/>
  <c r="H390" i="6" l="1"/>
  <c r="H133" i="6"/>
  <c r="H197" i="6"/>
  <c r="H586" i="6"/>
  <c r="H458" i="6"/>
  <c r="H261" i="6"/>
  <c r="H325" i="6"/>
  <c r="H522" i="6"/>
  <c r="H389" i="6"/>
  <c r="B524" i="6"/>
  <c r="B460" i="6"/>
  <c r="C1451" i="6"/>
  <c r="B588" i="6"/>
  <c r="C392" i="6"/>
  <c r="C1811" i="6"/>
  <c r="C1901" i="6"/>
  <c r="C1361" i="6"/>
  <c r="C731" i="6"/>
  <c r="C911" i="6"/>
  <c r="C641" i="6"/>
  <c r="C1541" i="6"/>
  <c r="C1991" i="6"/>
  <c r="C328" i="6"/>
  <c r="C821" i="6"/>
  <c r="C1721" i="6"/>
  <c r="B327" i="6"/>
  <c r="C461" i="6"/>
  <c r="C551" i="6"/>
  <c r="C1091" i="6"/>
  <c r="C1001" i="6"/>
  <c r="C1271" i="6"/>
  <c r="C1181" i="6"/>
  <c r="C2081" i="6"/>
  <c r="B391" i="6"/>
  <c r="C1631" i="6"/>
  <c r="B263" i="6"/>
  <c r="G1180" i="6"/>
  <c r="G1900" i="6"/>
  <c r="F391" i="6"/>
  <c r="G550" i="6"/>
  <c r="H262" i="6" a="1"/>
  <c r="G2081" i="6"/>
  <c r="G1810" i="6"/>
  <c r="H587" i="6" a="1"/>
  <c r="G1000" i="6"/>
  <c r="F523" i="6"/>
  <c r="G327" i="6"/>
  <c r="G910" i="6"/>
  <c r="F587" i="6"/>
  <c r="G263" i="6"/>
  <c r="G730" i="6"/>
  <c r="H459" i="6" a="1"/>
  <c r="H523" i="6" a="1"/>
  <c r="H198" i="6" a="1"/>
  <c r="F459" i="6"/>
  <c r="G1990" i="6"/>
  <c r="G1450" i="6"/>
  <c r="G392" i="6"/>
  <c r="F198" i="6"/>
  <c r="G820" i="6"/>
  <c r="G640" i="6"/>
  <c r="F326" i="6"/>
  <c r="G1540" i="6"/>
  <c r="H391" i="6" a="1"/>
  <c r="G1720" i="6"/>
  <c r="G1270" i="6"/>
  <c r="G1090" i="6"/>
  <c r="G1630" i="6"/>
  <c r="G1360" i="6"/>
  <c r="F262" i="6"/>
  <c r="H326" i="6" a="1"/>
  <c r="G460" i="6"/>
  <c r="H523" i="6" l="1"/>
  <c r="H587" i="6"/>
  <c r="H391" i="6"/>
  <c r="H198" i="6"/>
  <c r="H262" i="6"/>
  <c r="H326" i="6"/>
  <c r="H459" i="6"/>
  <c r="C1632" i="6"/>
  <c r="C912" i="6"/>
  <c r="C1452" i="6"/>
  <c r="C1272" i="6"/>
  <c r="C642" i="6"/>
  <c r="C732" i="6"/>
  <c r="C1992" i="6"/>
  <c r="C462" i="6"/>
  <c r="C552" i="6"/>
  <c r="C1362" i="6"/>
  <c r="B392" i="6"/>
  <c r="C393" i="6"/>
  <c r="C1542" i="6"/>
  <c r="C1182" i="6"/>
  <c r="C1002" i="6"/>
  <c r="C1902" i="6"/>
  <c r="B328" i="6"/>
  <c r="C1092" i="6"/>
  <c r="B525" i="6"/>
  <c r="B461" i="6"/>
  <c r="C1722" i="6"/>
  <c r="C2082" i="6"/>
  <c r="C1812" i="6"/>
  <c r="C822" i="6"/>
  <c r="B589" i="6"/>
  <c r="G1001" i="6"/>
  <c r="F588" i="6"/>
  <c r="G1091" i="6"/>
  <c r="H392" i="6" a="1"/>
  <c r="G641" i="6"/>
  <c r="G1271" i="6"/>
  <c r="G1181" i="6"/>
  <c r="F392" i="6"/>
  <c r="G2082" i="6"/>
  <c r="H327" i="6" a="1"/>
  <c r="G821" i="6"/>
  <c r="F327" i="6"/>
  <c r="F460" i="6"/>
  <c r="G1451" i="6"/>
  <c r="F524" i="6"/>
  <c r="G461" i="6"/>
  <c r="G1631" i="6"/>
  <c r="H588" i="6" a="1"/>
  <c r="H524" i="6" a="1"/>
  <c r="G1811" i="6"/>
  <c r="G1901" i="6"/>
  <c r="G1721" i="6"/>
  <c r="G1541" i="6"/>
  <c r="H263" i="6" a="1"/>
  <c r="G393" i="6"/>
  <c r="G911" i="6"/>
  <c r="G1361" i="6"/>
  <c r="G328" i="6"/>
  <c r="G551" i="6"/>
  <c r="F263" i="6"/>
  <c r="G1991" i="6"/>
  <c r="G731" i="6"/>
  <c r="H460" i="6" a="1"/>
  <c r="H392" i="6" l="1"/>
  <c r="H524" i="6"/>
  <c r="H263" i="6"/>
  <c r="H588" i="6"/>
  <c r="H327" i="6"/>
  <c r="H460" i="6"/>
  <c r="C1003" i="6"/>
  <c r="C1633" i="6"/>
  <c r="C643" i="6"/>
  <c r="C733" i="6"/>
  <c r="B393" i="6"/>
  <c r="C1993" i="6"/>
  <c r="C553" i="6"/>
  <c r="C463" i="6"/>
  <c r="C1723" i="6"/>
  <c r="C913" i="6"/>
  <c r="B526" i="6"/>
  <c r="B462" i="6"/>
  <c r="C2083" i="6"/>
  <c r="C1813" i="6"/>
  <c r="C1363" i="6"/>
  <c r="C1903" i="6"/>
  <c r="B590" i="6"/>
  <c r="C1093" i="6"/>
  <c r="C1183" i="6"/>
  <c r="C1453" i="6"/>
  <c r="C1543" i="6"/>
  <c r="C1273" i="6"/>
  <c r="C823" i="6"/>
  <c r="H461" i="6" a="1"/>
  <c r="F525" i="6"/>
  <c r="G642" i="6"/>
  <c r="G1092" i="6"/>
  <c r="F461" i="6"/>
  <c r="G822" i="6"/>
  <c r="G1272" i="6"/>
  <c r="F328" i="6"/>
  <c r="H328" i="6" a="1"/>
  <c r="G1362" i="6"/>
  <c r="G1182" i="6"/>
  <c r="H589" i="6" a="1"/>
  <c r="G1632" i="6"/>
  <c r="G1542" i="6"/>
  <c r="G1722" i="6"/>
  <c r="G2083" i="6"/>
  <c r="G552" i="6"/>
  <c r="G912" i="6"/>
  <c r="H525" i="6" a="1"/>
  <c r="F393" i="6"/>
  <c r="G1002" i="6"/>
  <c r="G1452" i="6"/>
  <c r="G1902" i="6"/>
  <c r="G732" i="6"/>
  <c r="G462" i="6"/>
  <c r="H393" i="6" a="1"/>
  <c r="G1992" i="6"/>
  <c r="G1812" i="6"/>
  <c r="F589" i="6"/>
  <c r="H393" i="6" l="1"/>
  <c r="H525" i="6"/>
  <c r="H328" i="6"/>
  <c r="H589" i="6"/>
  <c r="H461" i="6"/>
  <c r="C734" i="6"/>
  <c r="C2084" i="6"/>
  <c r="C1724" i="6"/>
  <c r="C1904" i="6"/>
  <c r="C1094" i="6"/>
  <c r="C1544" i="6"/>
  <c r="C1994" i="6"/>
  <c r="C1814" i="6"/>
  <c r="C1274" i="6"/>
  <c r="C554" i="6"/>
  <c r="C464" i="6"/>
  <c r="C824" i="6"/>
  <c r="C1364" i="6"/>
  <c r="C1184" i="6"/>
  <c r="B591" i="6"/>
  <c r="C1634" i="6"/>
  <c r="C1004" i="6"/>
  <c r="C914" i="6"/>
  <c r="C1454" i="6"/>
  <c r="B527" i="6"/>
  <c r="B463" i="6"/>
  <c r="C644" i="6"/>
  <c r="G463" i="6"/>
  <c r="G1273" i="6"/>
  <c r="F462" i="6"/>
  <c r="G1453" i="6"/>
  <c r="F590" i="6"/>
  <c r="G1813" i="6"/>
  <c r="G1993" i="6"/>
  <c r="G553" i="6"/>
  <c r="H590" i="6" a="1"/>
  <c r="H526" i="6" a="1"/>
  <c r="G1723" i="6"/>
  <c r="G2084" i="6"/>
  <c r="G733" i="6"/>
  <c r="G1633" i="6"/>
  <c r="G823" i="6"/>
  <c r="G643" i="6"/>
  <c r="G1543" i="6"/>
  <c r="G1003" i="6"/>
  <c r="G1903" i="6"/>
  <c r="G1093" i="6"/>
  <c r="G1363" i="6"/>
  <c r="H462" i="6" a="1"/>
  <c r="G913" i="6"/>
  <c r="G1183" i="6"/>
  <c r="F526" i="6"/>
  <c r="H526" i="6" l="1"/>
  <c r="H590" i="6"/>
  <c r="H462" i="6"/>
  <c r="C555" i="6"/>
  <c r="C465" i="6"/>
  <c r="C645" i="6"/>
  <c r="C915" i="6"/>
  <c r="C1005" i="6"/>
  <c r="C1635" i="6"/>
  <c r="C1815" i="6"/>
  <c r="C1275" i="6"/>
  <c r="B528" i="6"/>
  <c r="B464" i="6"/>
  <c r="C1365" i="6"/>
  <c r="C1185" i="6"/>
  <c r="C1545" i="6"/>
  <c r="C2085" i="6"/>
  <c r="C1095" i="6"/>
  <c r="C1455" i="6"/>
  <c r="C735" i="6"/>
  <c r="B592" i="6"/>
  <c r="C1725" i="6"/>
  <c r="C1905" i="6"/>
  <c r="C1995" i="6"/>
  <c r="C825" i="6"/>
  <c r="H527" i="6" a="1"/>
  <c r="G464" i="6"/>
  <c r="F527" i="6"/>
  <c r="G1364" i="6"/>
  <c r="G1094" i="6"/>
  <c r="G1004" i="6"/>
  <c r="G1454" i="6"/>
  <c r="G1634" i="6"/>
  <c r="G1994" i="6"/>
  <c r="G1904" i="6"/>
  <c r="G824" i="6"/>
  <c r="G1544" i="6"/>
  <c r="G1184" i="6"/>
  <c r="G1724" i="6"/>
  <c r="G914" i="6"/>
  <c r="G1274" i="6"/>
  <c r="H463" i="6" a="1"/>
  <c r="G1814" i="6"/>
  <c r="G734" i="6"/>
  <c r="F463" i="6"/>
  <c r="F591" i="6"/>
  <c r="G2085" i="6"/>
  <c r="H591" i="6" a="1"/>
  <c r="G554" i="6"/>
  <c r="G644" i="6"/>
  <c r="H463" i="6" l="1"/>
  <c r="H591" i="6"/>
  <c r="H527" i="6"/>
  <c r="C646" i="6"/>
  <c r="C1276" i="6"/>
  <c r="C826" i="6"/>
  <c r="C1996" i="6"/>
  <c r="C1006" i="6"/>
  <c r="C2086" i="6"/>
  <c r="C1546" i="6"/>
  <c r="C1816" i="6"/>
  <c r="C1906" i="6"/>
  <c r="C1186" i="6"/>
  <c r="C1456" i="6"/>
  <c r="C1636" i="6"/>
  <c r="C1366" i="6"/>
  <c r="C916" i="6"/>
  <c r="B529" i="6"/>
  <c r="B465" i="6"/>
  <c r="C1726" i="6"/>
  <c r="C736" i="6"/>
  <c r="B593" i="6"/>
  <c r="C1096" i="6"/>
  <c r="C556" i="6"/>
  <c r="C466" i="6"/>
  <c r="G465" i="6"/>
  <c r="G1725" i="6"/>
  <c r="H464" i="6" a="1"/>
  <c r="G1455" i="6"/>
  <c r="G735" i="6"/>
  <c r="G555" i="6"/>
  <c r="G2086" i="6"/>
  <c r="G1275" i="6"/>
  <c r="G1905" i="6"/>
  <c r="G1995" i="6"/>
  <c r="H528" i="6" a="1"/>
  <c r="G1095" i="6"/>
  <c r="H592" i="6" a="1"/>
  <c r="G1815" i="6"/>
  <c r="G1005" i="6"/>
  <c r="G915" i="6"/>
  <c r="G645" i="6"/>
  <c r="F592" i="6"/>
  <c r="G825" i="6"/>
  <c r="G1185" i="6"/>
  <c r="G1545" i="6"/>
  <c r="G1635" i="6"/>
  <c r="F528" i="6"/>
  <c r="G1365" i="6"/>
  <c r="F464" i="6"/>
  <c r="H528" i="6" l="1"/>
  <c r="H592" i="6"/>
  <c r="H464" i="6"/>
  <c r="C1997" i="6"/>
  <c r="C1097" i="6"/>
  <c r="C737" i="6"/>
  <c r="C1727" i="6"/>
  <c r="C1907" i="6"/>
  <c r="C2087" i="6"/>
  <c r="C1817" i="6"/>
  <c r="C467" i="6"/>
  <c r="C557" i="6"/>
  <c r="C1547" i="6"/>
  <c r="C1637" i="6"/>
  <c r="C917" i="6"/>
  <c r="C1457" i="6"/>
  <c r="C1187" i="6"/>
  <c r="B594" i="6"/>
  <c r="C827" i="6"/>
  <c r="B530" i="6"/>
  <c r="B466" i="6"/>
  <c r="C647" i="6"/>
  <c r="C1007" i="6"/>
  <c r="C1277" i="6"/>
  <c r="C1367" i="6"/>
  <c r="G1366" i="6"/>
  <c r="G1726" i="6"/>
  <c r="H529" i="6" a="1"/>
  <c r="F465" i="6"/>
  <c r="G556" i="6"/>
  <c r="G1276" i="6"/>
  <c r="G1096" i="6"/>
  <c r="G916" i="6"/>
  <c r="G1006" i="6"/>
  <c r="G1456" i="6"/>
  <c r="F529" i="6"/>
  <c r="G1906" i="6"/>
  <c r="F593" i="6"/>
  <c r="G826" i="6"/>
  <c r="H593" i="6" a="1"/>
  <c r="G1546" i="6"/>
  <c r="H465" i="6" a="1"/>
  <c r="G466" i="6"/>
  <c r="G646" i="6"/>
  <c r="G1636" i="6"/>
  <c r="G2087" i="6"/>
  <c r="G1996" i="6"/>
  <c r="G736" i="6"/>
  <c r="G1186" i="6"/>
  <c r="G1816" i="6"/>
  <c r="H593" i="6" l="1"/>
  <c r="H465" i="6"/>
  <c r="H529" i="6"/>
  <c r="C1368" i="6"/>
  <c r="C918" i="6"/>
  <c r="C1548" i="6"/>
  <c r="C648" i="6"/>
  <c r="C1008" i="6"/>
  <c r="C468" i="6"/>
  <c r="C558" i="6"/>
  <c r="C1818" i="6"/>
  <c r="C2088" i="6"/>
  <c r="C1098" i="6"/>
  <c r="C1728" i="6"/>
  <c r="C1908" i="6"/>
  <c r="C738" i="6"/>
  <c r="C828" i="6"/>
  <c r="C1458" i="6"/>
  <c r="B531" i="6"/>
  <c r="B467" i="6"/>
  <c r="C1278" i="6"/>
  <c r="C1638" i="6"/>
  <c r="B595" i="6"/>
  <c r="C1998" i="6"/>
  <c r="C1188" i="6"/>
  <c r="G1367" i="6"/>
  <c r="G1187" i="6"/>
  <c r="G827" i="6"/>
  <c r="H594" i="6" a="1"/>
  <c r="G467" i="6"/>
  <c r="G2088" i="6"/>
  <c r="G737" i="6"/>
  <c r="G1097" i="6"/>
  <c r="G1907" i="6"/>
  <c r="G917" i="6"/>
  <c r="G557" i="6"/>
  <c r="F530" i="6"/>
  <c r="F594" i="6"/>
  <c r="G647" i="6"/>
  <c r="G1637" i="6"/>
  <c r="G1547" i="6"/>
  <c r="G1277" i="6"/>
  <c r="G1997" i="6"/>
  <c r="F466" i="6"/>
  <c r="H530" i="6" a="1"/>
  <c r="G1727" i="6"/>
  <c r="G1457" i="6"/>
  <c r="G1007" i="6"/>
  <c r="G1817" i="6"/>
  <c r="H466" i="6" a="1"/>
  <c r="H530" i="6" l="1"/>
  <c r="H466" i="6"/>
  <c r="H594" i="6"/>
  <c r="C1189" i="6"/>
  <c r="C1099" i="6"/>
  <c r="C1459" i="6"/>
  <c r="B532" i="6"/>
  <c r="B468" i="6"/>
  <c r="B596" i="6"/>
  <c r="C1549" i="6"/>
  <c r="C1999" i="6"/>
  <c r="C1909" i="6"/>
  <c r="C739" i="6"/>
  <c r="C1729" i="6"/>
  <c r="C1639" i="6"/>
  <c r="C649" i="6"/>
  <c r="C2089" i="6"/>
  <c r="C919" i="6"/>
  <c r="C1819" i="6"/>
  <c r="C1279" i="6"/>
  <c r="C1369" i="6"/>
  <c r="C829" i="6"/>
  <c r="C469" i="6"/>
  <c r="C559" i="6"/>
  <c r="C1009" i="6"/>
  <c r="F595" i="6"/>
  <c r="G1368" i="6"/>
  <c r="G1818" i="6"/>
  <c r="G1638" i="6"/>
  <c r="H531" i="6" a="1"/>
  <c r="G918" i="6"/>
  <c r="H595" i="6" a="1"/>
  <c r="G1998" i="6"/>
  <c r="G558" i="6"/>
  <c r="F531" i="6"/>
  <c r="F467" i="6"/>
  <c r="G738" i="6"/>
  <c r="G1008" i="6"/>
  <c r="H467" i="6" a="1"/>
  <c r="G468" i="6"/>
  <c r="G2089" i="6"/>
  <c r="G1548" i="6"/>
  <c r="G1908" i="6"/>
  <c r="G828" i="6"/>
  <c r="G648" i="6"/>
  <c r="G1458" i="6"/>
  <c r="G1098" i="6"/>
  <c r="G1278" i="6"/>
  <c r="G1728" i="6"/>
  <c r="G1188" i="6"/>
  <c r="H467" i="6" l="1"/>
  <c r="H595" i="6"/>
  <c r="H531" i="6"/>
  <c r="C650" i="6"/>
  <c r="C1910" i="6"/>
  <c r="C2090" i="6"/>
  <c r="C1280" i="6"/>
  <c r="C470" i="6"/>
  <c r="C560" i="6"/>
  <c r="C1730" i="6"/>
  <c r="C1640" i="6"/>
  <c r="B533" i="6"/>
  <c r="B469" i="6"/>
  <c r="C920" i="6"/>
  <c r="C1010" i="6"/>
  <c r="C1820" i="6"/>
  <c r="B597" i="6"/>
  <c r="C830" i="6"/>
  <c r="C1550" i="6"/>
  <c r="C740" i="6"/>
  <c r="C2000" i="6"/>
  <c r="C1460" i="6"/>
  <c r="C1100" i="6"/>
  <c r="C1370" i="6"/>
  <c r="C1190" i="6"/>
  <c r="G1909" i="6"/>
  <c r="G919" i="6"/>
  <c r="G1819" i="6"/>
  <c r="F532" i="6"/>
  <c r="F468" i="6"/>
  <c r="G1009" i="6"/>
  <c r="F596" i="6"/>
  <c r="G1459" i="6"/>
  <c r="G1549" i="6"/>
  <c r="G1729" i="6"/>
  <c r="G559" i="6"/>
  <c r="G1369" i="6"/>
  <c r="G2090" i="6"/>
  <c r="H596" i="6" a="1"/>
  <c r="G1279" i="6"/>
  <c r="G649" i="6"/>
  <c r="G1099" i="6"/>
  <c r="G1189" i="6"/>
  <c r="G1999" i="6"/>
  <c r="H532" i="6" a="1"/>
  <c r="H468" i="6" a="1"/>
  <c r="G739" i="6"/>
  <c r="G469" i="6"/>
  <c r="G829" i="6"/>
  <c r="G1639" i="6"/>
  <c r="H596" i="6" l="1"/>
  <c r="H532" i="6"/>
  <c r="H468" i="6"/>
  <c r="B598" i="6"/>
  <c r="C741" i="6"/>
  <c r="C1731" i="6"/>
  <c r="C1191" i="6"/>
  <c r="C1911" i="6"/>
  <c r="C1371" i="6"/>
  <c r="C1101" i="6"/>
  <c r="C921" i="6"/>
  <c r="C1551" i="6"/>
  <c r="C1641" i="6"/>
  <c r="C1821" i="6"/>
  <c r="C1011" i="6"/>
  <c r="C1281" i="6"/>
  <c r="C2091" i="6"/>
  <c r="C651" i="6"/>
  <c r="C2001" i="6"/>
  <c r="C1461" i="6"/>
  <c r="C831" i="6"/>
  <c r="B534" i="6"/>
  <c r="B470" i="6"/>
  <c r="C561" i="6"/>
  <c r="C471" i="6"/>
  <c r="G650" i="6"/>
  <c r="G1280" i="6"/>
  <c r="G1010" i="6"/>
  <c r="G1100" i="6"/>
  <c r="F533" i="6"/>
  <c r="G740" i="6"/>
  <c r="G920" i="6"/>
  <c r="G1370" i="6"/>
  <c r="G1910" i="6"/>
  <c r="F469" i="6"/>
  <c r="G1460" i="6"/>
  <c r="G1820" i="6"/>
  <c r="G2091" i="6"/>
  <c r="H597" i="6" a="1"/>
  <c r="G1730" i="6"/>
  <c r="G1190" i="6"/>
  <c r="G470" i="6"/>
  <c r="G830" i="6"/>
  <c r="G1550" i="6"/>
  <c r="F597" i="6"/>
  <c r="G560" i="6"/>
  <c r="G1640" i="6"/>
  <c r="H533" i="6" a="1"/>
  <c r="G2000" i="6"/>
  <c r="H469" i="6" a="1"/>
  <c r="H597" i="6" l="1"/>
  <c r="H469" i="6"/>
  <c r="H533" i="6"/>
  <c r="C1642" i="6"/>
  <c r="C1282" i="6"/>
  <c r="C2092" i="6"/>
  <c r="C1102" i="6"/>
  <c r="C1012" i="6"/>
  <c r="C1192" i="6"/>
  <c r="B535" i="6"/>
  <c r="B471" i="6"/>
  <c r="C1552" i="6"/>
  <c r="B599" i="6"/>
  <c r="C742" i="6"/>
  <c r="C1912" i="6"/>
  <c r="C1822" i="6"/>
  <c r="C1462" i="6"/>
  <c r="C562" i="6"/>
  <c r="C472" i="6"/>
  <c r="C652" i="6"/>
  <c r="C922" i="6"/>
  <c r="C1732" i="6"/>
  <c r="C832" i="6"/>
  <c r="C1372" i="6"/>
  <c r="C2002" i="6"/>
  <c r="H470" i="6" a="1"/>
  <c r="G1641" i="6"/>
  <c r="G1731" i="6"/>
  <c r="G1371" i="6"/>
  <c r="F534" i="6"/>
  <c r="G651" i="6"/>
  <c r="G1461" i="6"/>
  <c r="G1911" i="6"/>
  <c r="G2001" i="6"/>
  <c r="G921" i="6"/>
  <c r="G1551" i="6"/>
  <c r="G831" i="6"/>
  <c r="G471" i="6"/>
  <c r="H534" i="6" a="1"/>
  <c r="G1011" i="6"/>
  <c r="G561" i="6"/>
  <c r="G741" i="6"/>
  <c r="G1191" i="6"/>
  <c r="G2092" i="6"/>
  <c r="G1821" i="6"/>
  <c r="G1281" i="6"/>
  <c r="F470" i="6"/>
  <c r="F598" i="6"/>
  <c r="H598" i="6" a="1"/>
  <c r="G1101" i="6"/>
  <c r="H534" i="6" l="1"/>
  <c r="H470" i="6"/>
  <c r="H598" i="6"/>
  <c r="C743" i="6"/>
  <c r="C2003" i="6"/>
  <c r="C1193" i="6"/>
  <c r="C1733" i="6"/>
  <c r="C1643" i="6"/>
  <c r="C563" i="6"/>
  <c r="C473" i="6"/>
  <c r="B536" i="6"/>
  <c r="B472" i="6"/>
  <c r="C923" i="6"/>
  <c r="C653" i="6"/>
  <c r="B600" i="6"/>
  <c r="C833" i="6"/>
  <c r="C1553" i="6"/>
  <c r="C1283" i="6"/>
  <c r="C1463" i="6"/>
  <c r="C1823" i="6"/>
  <c r="C2093" i="6"/>
  <c r="C1013" i="6"/>
  <c r="C1103" i="6"/>
  <c r="C1373" i="6"/>
  <c r="C1913" i="6"/>
  <c r="G1102" i="6"/>
  <c r="F599" i="6"/>
  <c r="H471" i="6" a="1"/>
  <c r="G1732" i="6"/>
  <c r="H535" i="6" a="1"/>
  <c r="F471" i="6"/>
  <c r="H599" i="6" a="1"/>
  <c r="F535" i="6"/>
  <c r="G922" i="6"/>
  <c r="G1282" i="6"/>
  <c r="G1912" i="6"/>
  <c r="G742" i="6"/>
  <c r="G1012" i="6"/>
  <c r="G1552" i="6"/>
  <c r="G562" i="6"/>
  <c r="G2093" i="6"/>
  <c r="G832" i="6"/>
  <c r="G1822" i="6"/>
  <c r="G472" i="6"/>
  <c r="G1642" i="6"/>
  <c r="G652" i="6"/>
  <c r="G1372" i="6"/>
  <c r="G1462" i="6"/>
  <c r="G2002" i="6"/>
  <c r="G1192" i="6"/>
  <c r="H471" i="6" l="1"/>
  <c r="H535" i="6"/>
  <c r="H599" i="6"/>
  <c r="C1734" i="6"/>
  <c r="C834" i="6"/>
  <c r="C1464" i="6"/>
  <c r="C1644" i="6"/>
  <c r="C1194" i="6"/>
  <c r="C1104" i="6"/>
  <c r="C1374" i="6"/>
  <c r="B601" i="6"/>
  <c r="C1824" i="6"/>
  <c r="C1284" i="6"/>
  <c r="C1554" i="6"/>
  <c r="C564" i="6"/>
  <c r="C474" i="6"/>
  <c r="C1914" i="6"/>
  <c r="C1014" i="6"/>
  <c r="C924" i="6"/>
  <c r="C2004" i="6"/>
  <c r="B537" i="6"/>
  <c r="B473" i="6"/>
  <c r="C744" i="6"/>
  <c r="C654" i="6"/>
  <c r="C2094" i="6"/>
  <c r="F472" i="6"/>
  <c r="F600" i="6"/>
  <c r="G743" i="6"/>
  <c r="F536" i="6"/>
  <c r="H536" i="6" a="1"/>
  <c r="G1823" i="6"/>
  <c r="G1733" i="6"/>
  <c r="G923" i="6"/>
  <c r="G1283" i="6"/>
  <c r="G473" i="6"/>
  <c r="G1463" i="6"/>
  <c r="G1913" i="6"/>
  <c r="G653" i="6"/>
  <c r="G833" i="6"/>
  <c r="G1103" i="6"/>
  <c r="G1013" i="6"/>
  <c r="G2094" i="6"/>
  <c r="H472" i="6" a="1"/>
  <c r="G2003" i="6"/>
  <c r="G1373" i="6"/>
  <c r="G1553" i="6"/>
  <c r="G1643" i="6"/>
  <c r="G1193" i="6"/>
  <c r="G563" i="6"/>
  <c r="H600" i="6" a="1"/>
  <c r="H472" i="6" l="1"/>
  <c r="H536" i="6"/>
  <c r="H600" i="6"/>
  <c r="C655" i="6"/>
  <c r="C1015" i="6"/>
  <c r="C1825" i="6"/>
  <c r="C1915" i="6"/>
  <c r="C1735" i="6"/>
  <c r="C1285" i="6"/>
  <c r="C1375" i="6"/>
  <c r="B538" i="6"/>
  <c r="B474" i="6"/>
  <c r="C2005" i="6"/>
  <c r="C1465" i="6"/>
  <c r="C1555" i="6"/>
  <c r="C745" i="6"/>
  <c r="B602" i="6"/>
  <c r="C835" i="6"/>
  <c r="C1645" i="6"/>
  <c r="C1105" i="6"/>
  <c r="C475" i="6"/>
  <c r="C565" i="6"/>
  <c r="C2095" i="6"/>
  <c r="C1195" i="6"/>
  <c r="C925" i="6"/>
  <c r="G474" i="6"/>
  <c r="G2004" i="6"/>
  <c r="G1194" i="6"/>
  <c r="G1824" i="6"/>
  <c r="G924" i="6"/>
  <c r="G1014" i="6"/>
  <c r="G834" i="6"/>
  <c r="G1104" i="6"/>
  <c r="G744" i="6"/>
  <c r="H537" i="6" a="1"/>
  <c r="H473" i="6" a="1"/>
  <c r="F537" i="6"/>
  <c r="G1374" i="6"/>
  <c r="H601" i="6" a="1"/>
  <c r="G1644" i="6"/>
  <c r="G564" i="6"/>
  <c r="F473" i="6"/>
  <c r="F601" i="6"/>
  <c r="G654" i="6"/>
  <c r="G1554" i="6"/>
  <c r="G1464" i="6"/>
  <c r="G1284" i="6"/>
  <c r="G1914" i="6"/>
  <c r="G2095" i="6"/>
  <c r="G1734" i="6"/>
  <c r="H473" i="6" l="1"/>
  <c r="H537" i="6"/>
  <c r="H601" i="6"/>
  <c r="B603" i="6"/>
  <c r="C1826" i="6"/>
  <c r="C746" i="6"/>
  <c r="C1286" i="6"/>
  <c r="C1736" i="6"/>
  <c r="C1646" i="6"/>
  <c r="C1466" i="6"/>
  <c r="C2006" i="6"/>
  <c r="B539" i="6"/>
  <c r="B475" i="6"/>
  <c r="C1556" i="6"/>
  <c r="C476" i="6"/>
  <c r="C566" i="6"/>
  <c r="C1916" i="6"/>
  <c r="C926" i="6"/>
  <c r="B667" i="6"/>
  <c r="C2096" i="6"/>
  <c r="C656" i="6"/>
  <c r="C1016" i="6"/>
  <c r="C1196" i="6"/>
  <c r="C836" i="6"/>
  <c r="C1376" i="6"/>
  <c r="C1106" i="6"/>
  <c r="G1915" i="6"/>
  <c r="H474" i="6" a="1"/>
  <c r="G1735" i="6"/>
  <c r="G475" i="6"/>
  <c r="F602" i="6"/>
  <c r="G2096" i="6"/>
  <c r="G925" i="6"/>
  <c r="G1465" i="6"/>
  <c r="F474" i="6"/>
  <c r="G655" i="6"/>
  <c r="G1285" i="6"/>
  <c r="G1195" i="6"/>
  <c r="G835" i="6"/>
  <c r="G1825" i="6"/>
  <c r="G2005" i="6"/>
  <c r="F538" i="6"/>
  <c r="G1015" i="6"/>
  <c r="G1375" i="6"/>
  <c r="H602" i="6" a="1"/>
  <c r="G1555" i="6"/>
  <c r="H538" i="6" a="1"/>
  <c r="G745" i="6"/>
  <c r="G565" i="6"/>
  <c r="G1105" i="6"/>
  <c r="G1645" i="6"/>
  <c r="H474" i="6" l="1"/>
  <c r="H602" i="6"/>
  <c r="H538" i="6"/>
  <c r="C927" i="6"/>
  <c r="C2007" i="6"/>
  <c r="B604" i="6"/>
  <c r="B668" i="6"/>
  <c r="C477" i="6"/>
  <c r="C567" i="6"/>
  <c r="C1557" i="6"/>
  <c r="C837" i="6"/>
  <c r="C1377" i="6"/>
  <c r="C1287" i="6"/>
  <c r="C1197" i="6"/>
  <c r="C1107" i="6"/>
  <c r="C1647" i="6"/>
  <c r="C1737" i="6"/>
  <c r="C1467" i="6"/>
  <c r="C1017" i="6"/>
  <c r="C1917" i="6"/>
  <c r="C657" i="6"/>
  <c r="C2097" i="6"/>
  <c r="C747" i="6"/>
  <c r="B540" i="6"/>
  <c r="B476" i="6"/>
  <c r="C1827" i="6"/>
  <c r="G2097" i="6"/>
  <c r="H539" i="6" a="1"/>
  <c r="G836" i="6"/>
  <c r="G1376" i="6"/>
  <c r="H603" i="6" a="1"/>
  <c r="G1916" i="6"/>
  <c r="G1556" i="6"/>
  <c r="G1646" i="6"/>
  <c r="G746" i="6"/>
  <c r="G566" i="6"/>
  <c r="G2006" i="6"/>
  <c r="G1016" i="6"/>
  <c r="G1286" i="6"/>
  <c r="G1826" i="6"/>
  <c r="F539" i="6"/>
  <c r="G1466" i="6"/>
  <c r="H667" i="6" a="1"/>
  <c r="G1736" i="6"/>
  <c r="F603" i="6"/>
  <c r="F475" i="6"/>
  <c r="G476" i="6"/>
  <c r="H475" i="6" a="1"/>
  <c r="F667" i="6"/>
  <c r="G656" i="6"/>
  <c r="G926" i="6"/>
  <c r="G1106" i="6"/>
  <c r="G1196" i="6"/>
  <c r="H603" i="6" l="1"/>
  <c r="H539" i="6"/>
  <c r="H667" i="6"/>
  <c r="H475" i="6"/>
  <c r="C1018" i="6"/>
  <c r="C928" i="6"/>
  <c r="C1198" i="6"/>
  <c r="C748" i="6"/>
  <c r="C1288" i="6"/>
  <c r="C1558" i="6"/>
  <c r="C1378" i="6"/>
  <c r="B669" i="6"/>
  <c r="C838" i="6"/>
  <c r="C1738" i="6"/>
  <c r="C1648" i="6"/>
  <c r="B541" i="6"/>
  <c r="B477" i="6"/>
  <c r="B605" i="6"/>
  <c r="C2008" i="6"/>
  <c r="C1828" i="6"/>
  <c r="C658" i="6"/>
  <c r="C2098" i="6"/>
  <c r="C1108" i="6"/>
  <c r="C1468" i="6"/>
  <c r="C1918" i="6"/>
  <c r="C478" i="6"/>
  <c r="C568" i="6"/>
  <c r="G1287" i="6"/>
  <c r="F668" i="6"/>
  <c r="G1557" i="6"/>
  <c r="H604" i="6" a="1"/>
  <c r="G1647" i="6"/>
  <c r="F604" i="6"/>
  <c r="G1737" i="6"/>
  <c r="G837" i="6"/>
  <c r="H668" i="6" a="1"/>
  <c r="H540" i="6" a="1"/>
  <c r="F476" i="6"/>
  <c r="G657" i="6"/>
  <c r="G927" i="6"/>
  <c r="G1377" i="6"/>
  <c r="G1827" i="6"/>
  <c r="H476" i="6" a="1"/>
  <c r="F540" i="6"/>
  <c r="G1467" i="6"/>
  <c r="G2007" i="6"/>
  <c r="G747" i="6"/>
  <c r="G477" i="6"/>
  <c r="G2098" i="6"/>
  <c r="G1197" i="6"/>
  <c r="G1107" i="6"/>
  <c r="G1917" i="6"/>
  <c r="G567" i="6"/>
  <c r="G1017" i="6"/>
  <c r="H604" i="6" l="1"/>
  <c r="H476" i="6"/>
  <c r="H668" i="6"/>
  <c r="H540" i="6"/>
  <c r="C1919" i="6"/>
  <c r="B542" i="6"/>
  <c r="B478" i="6"/>
  <c r="C1379" i="6"/>
  <c r="C1109" i="6"/>
  <c r="B606" i="6"/>
  <c r="C839" i="6"/>
  <c r="C1199" i="6"/>
  <c r="C2099" i="6"/>
  <c r="C1739" i="6"/>
  <c r="C1469" i="6"/>
  <c r="C659" i="6"/>
  <c r="C2009" i="6"/>
  <c r="C1559" i="6"/>
  <c r="C479" i="6"/>
  <c r="C569" i="6"/>
  <c r="C1289" i="6"/>
  <c r="C1829" i="6"/>
  <c r="C749" i="6"/>
  <c r="B670" i="6"/>
  <c r="C1649" i="6"/>
  <c r="C1019" i="6"/>
  <c r="C929" i="6"/>
  <c r="G1288" i="6"/>
  <c r="G1738" i="6"/>
  <c r="G2008" i="6"/>
  <c r="G1018" i="6"/>
  <c r="H669" i="6" a="1"/>
  <c r="G1468" i="6"/>
  <c r="G2099" i="6"/>
  <c r="G1828" i="6"/>
  <c r="G748" i="6"/>
  <c r="G838" i="6"/>
  <c r="G1558" i="6"/>
  <c r="G1648" i="6"/>
  <c r="H541" i="6" a="1"/>
  <c r="F541" i="6"/>
  <c r="G1198" i="6"/>
  <c r="F477" i="6"/>
  <c r="G478" i="6"/>
  <c r="G1918" i="6"/>
  <c r="G1378" i="6"/>
  <c r="G928" i="6"/>
  <c r="H605" i="6" a="1"/>
  <c r="G658" i="6"/>
  <c r="G1108" i="6"/>
  <c r="F669" i="6"/>
  <c r="F605" i="6"/>
  <c r="G568" i="6"/>
  <c r="H477" i="6" a="1"/>
  <c r="H477" i="6" l="1"/>
  <c r="H669" i="6"/>
  <c r="H541" i="6"/>
  <c r="H605" i="6"/>
  <c r="C1200" i="6"/>
  <c r="C750" i="6"/>
  <c r="C1560" i="6"/>
  <c r="C1470" i="6"/>
  <c r="C1290" i="6"/>
  <c r="C1020" i="6"/>
  <c r="C840" i="6"/>
  <c r="C1830" i="6"/>
  <c r="B543" i="6"/>
  <c r="B479" i="6"/>
  <c r="C1110" i="6"/>
  <c r="C930" i="6"/>
  <c r="C2100" i="6"/>
  <c r="B607" i="6"/>
  <c r="C1650" i="6"/>
  <c r="C1920" i="6"/>
  <c r="C1740" i="6"/>
  <c r="C1380" i="6"/>
  <c r="B671" i="6"/>
  <c r="C660" i="6"/>
  <c r="C480" i="6"/>
  <c r="C570" i="6"/>
  <c r="C2010" i="6"/>
  <c r="F670" i="6"/>
  <c r="G1289" i="6"/>
  <c r="G1649" i="6"/>
  <c r="G1919" i="6"/>
  <c r="G1199" i="6"/>
  <c r="F478" i="6"/>
  <c r="H478" i="6" a="1"/>
  <c r="G929" i="6"/>
  <c r="H606" i="6" a="1"/>
  <c r="F542" i="6"/>
  <c r="G1559" i="6"/>
  <c r="H542" i="6" a="1"/>
  <c r="G659" i="6"/>
  <c r="G1109" i="6"/>
  <c r="H670" i="6" a="1"/>
  <c r="G1019" i="6"/>
  <c r="G2009" i="6"/>
  <c r="G2100" i="6"/>
  <c r="F606" i="6"/>
  <c r="G1829" i="6"/>
  <c r="G1379" i="6"/>
  <c r="G839" i="6"/>
  <c r="G569" i="6"/>
  <c r="G749" i="6"/>
  <c r="G479" i="6"/>
  <c r="G1469" i="6"/>
  <c r="G1739" i="6"/>
  <c r="H606" i="6" l="1"/>
  <c r="H478" i="6"/>
  <c r="H670" i="6"/>
  <c r="H542" i="6"/>
  <c r="C2011" i="6"/>
  <c r="C1921" i="6"/>
  <c r="C1561" i="6"/>
  <c r="C1291" i="6"/>
  <c r="C1021" i="6"/>
  <c r="C2101" i="6"/>
  <c r="C1741" i="6"/>
  <c r="C931" i="6"/>
  <c r="C1651" i="6"/>
  <c r="C571" i="6"/>
  <c r="C481" i="6"/>
  <c r="C1471" i="6"/>
  <c r="B672" i="6"/>
  <c r="B544" i="6"/>
  <c r="B480" i="6"/>
  <c r="C661" i="6"/>
  <c r="B608" i="6"/>
  <c r="C1201" i="6"/>
  <c r="C1111" i="6"/>
  <c r="C1831" i="6"/>
  <c r="C1381" i="6"/>
  <c r="C841" i="6"/>
  <c r="C751" i="6"/>
  <c r="F479" i="6"/>
  <c r="H607" i="6" a="1"/>
  <c r="G1650" i="6"/>
  <c r="F607" i="6"/>
  <c r="H543" i="6" a="1"/>
  <c r="G1290" i="6"/>
  <c r="G1740" i="6"/>
  <c r="F671" i="6"/>
  <c r="G1560" i="6"/>
  <c r="G480" i="6"/>
  <c r="H479" i="6" a="1"/>
  <c r="G840" i="6"/>
  <c r="G2010" i="6"/>
  <c r="G1920" i="6"/>
  <c r="G570" i="6"/>
  <c r="G750" i="6"/>
  <c r="H671" i="6" a="1"/>
  <c r="G1470" i="6"/>
  <c r="F543" i="6"/>
  <c r="G660" i="6"/>
  <c r="G930" i="6"/>
  <c r="G1830" i="6"/>
  <c r="G1380" i="6"/>
  <c r="G1200" i="6"/>
  <c r="G1110" i="6"/>
  <c r="G2101" i="6"/>
  <c r="G1020" i="6"/>
  <c r="H543" i="6" l="1"/>
  <c r="H479" i="6"/>
  <c r="H607" i="6"/>
  <c r="H671" i="6"/>
  <c r="C2102" i="6"/>
  <c r="C1562" i="6"/>
  <c r="C1382" i="6"/>
  <c r="C752" i="6"/>
  <c r="C842" i="6"/>
  <c r="C1202" i="6"/>
  <c r="B545" i="6"/>
  <c r="B481" i="6"/>
  <c r="C572" i="6"/>
  <c r="C482" i="6"/>
  <c r="C1832" i="6"/>
  <c r="C932" i="6"/>
  <c r="C662" i="6"/>
  <c r="C1652" i="6"/>
  <c r="C1112" i="6"/>
  <c r="C1472" i="6"/>
  <c r="C1742" i="6"/>
  <c r="C2012" i="6"/>
  <c r="C1292" i="6"/>
  <c r="B609" i="6"/>
  <c r="B673" i="6"/>
  <c r="C1922" i="6"/>
  <c r="C1022" i="6"/>
  <c r="G841" i="6"/>
  <c r="G1651" i="6"/>
  <c r="F480" i="6"/>
  <c r="G1921" i="6"/>
  <c r="G2102" i="6"/>
  <c r="G481" i="6"/>
  <c r="F544" i="6"/>
  <c r="G1291" i="6"/>
  <c r="H608" i="6" a="1"/>
  <c r="H672" i="6" a="1"/>
  <c r="G2011" i="6"/>
  <c r="G1471" i="6"/>
  <c r="G661" i="6"/>
  <c r="H480" i="6" a="1"/>
  <c r="G1831" i="6"/>
  <c r="G571" i="6"/>
  <c r="G1201" i="6"/>
  <c r="G1561" i="6"/>
  <c r="F672" i="6"/>
  <c r="G931" i="6"/>
  <c r="G1021" i="6"/>
  <c r="G1741" i="6"/>
  <c r="H544" i="6" a="1"/>
  <c r="G1381" i="6"/>
  <c r="F608" i="6"/>
  <c r="G751" i="6"/>
  <c r="G1111" i="6"/>
  <c r="H544" i="6" l="1"/>
  <c r="H672" i="6"/>
  <c r="H608" i="6"/>
  <c r="H480" i="6"/>
  <c r="C2103" i="6"/>
  <c r="C1743" i="6"/>
  <c r="C933" i="6"/>
  <c r="C663" i="6"/>
  <c r="C1113" i="6"/>
  <c r="C1833" i="6"/>
  <c r="C753" i="6"/>
  <c r="B546" i="6"/>
  <c r="B482" i="6"/>
  <c r="C843" i="6"/>
  <c r="B674" i="6"/>
  <c r="B610" i="6"/>
  <c r="C1473" i="6"/>
  <c r="C2013" i="6"/>
  <c r="C1563" i="6"/>
  <c r="C1023" i="6"/>
  <c r="C1383" i="6"/>
  <c r="C1203" i="6"/>
  <c r="C1923" i="6"/>
  <c r="C1293" i="6"/>
  <c r="C1653" i="6"/>
  <c r="C483" i="6"/>
  <c r="C573" i="6"/>
  <c r="G842" i="6"/>
  <c r="G1382" i="6"/>
  <c r="F545" i="6"/>
  <c r="H673" i="6" a="1"/>
  <c r="F673" i="6"/>
  <c r="G2103" i="6"/>
  <c r="G2012" i="6"/>
  <c r="H609" i="6" a="1"/>
  <c r="G752" i="6"/>
  <c r="G662" i="6"/>
  <c r="G1922" i="6"/>
  <c r="G482" i="6"/>
  <c r="G1742" i="6"/>
  <c r="H481" i="6" a="1"/>
  <c r="G1652" i="6"/>
  <c r="G1292" i="6"/>
  <c r="G932" i="6"/>
  <c r="G1562" i="6"/>
  <c r="G1112" i="6"/>
  <c r="G1022" i="6"/>
  <c r="G1202" i="6"/>
  <c r="G572" i="6"/>
  <c r="H545" i="6" a="1"/>
  <c r="G1832" i="6"/>
  <c r="F609" i="6"/>
  <c r="G1472" i="6"/>
  <c r="F481" i="6"/>
  <c r="H673" i="6" l="1"/>
  <c r="H545" i="6"/>
  <c r="H609" i="6"/>
  <c r="H481" i="6"/>
  <c r="B675" i="6"/>
  <c r="B611" i="6"/>
  <c r="C754" i="6"/>
  <c r="C2014" i="6"/>
  <c r="C844" i="6"/>
  <c r="C1654" i="6"/>
  <c r="C484" i="6"/>
  <c r="C574" i="6"/>
  <c r="C1744" i="6"/>
  <c r="C1474" i="6"/>
  <c r="C934" i="6"/>
  <c r="C1924" i="6"/>
  <c r="C1294" i="6"/>
  <c r="C1024" i="6"/>
  <c r="C1204" i="6"/>
  <c r="C1834" i="6"/>
  <c r="C664" i="6"/>
  <c r="C2104" i="6"/>
  <c r="C1564" i="6"/>
  <c r="C1384" i="6"/>
  <c r="C1114" i="6"/>
  <c r="B547" i="6"/>
  <c r="B483" i="6"/>
  <c r="G2013" i="6"/>
  <c r="G573" i="6"/>
  <c r="G1383" i="6"/>
  <c r="G1923" i="6"/>
  <c r="G1563" i="6"/>
  <c r="F546" i="6"/>
  <c r="H546" i="6" a="1"/>
  <c r="G663" i="6"/>
  <c r="H674" i="6" a="1"/>
  <c r="G843" i="6"/>
  <c r="G2104" i="6"/>
  <c r="G1113" i="6"/>
  <c r="F482" i="6"/>
  <c r="G1833" i="6"/>
  <c r="F610" i="6"/>
  <c r="G753" i="6"/>
  <c r="H610" i="6" a="1"/>
  <c r="F674" i="6"/>
  <c r="G1023" i="6"/>
  <c r="G1473" i="6"/>
  <c r="G483" i="6"/>
  <c r="G1743" i="6"/>
  <c r="G1653" i="6"/>
  <c r="G933" i="6"/>
  <c r="G1293" i="6"/>
  <c r="H482" i="6" a="1"/>
  <c r="G1203" i="6"/>
  <c r="H546" i="6" l="1"/>
  <c r="H482" i="6"/>
  <c r="H674" i="6"/>
  <c r="H610" i="6"/>
  <c r="C575" i="6"/>
  <c r="C2105" i="6"/>
  <c r="C1295" i="6"/>
  <c r="C1745" i="6"/>
  <c r="C1655" i="6"/>
  <c r="C1025" i="6"/>
  <c r="B548" i="6"/>
  <c r="B484" i="6"/>
  <c r="C935" i="6"/>
  <c r="C845" i="6"/>
  <c r="C1565" i="6"/>
  <c r="C1205" i="6"/>
  <c r="C755" i="6"/>
  <c r="C1385" i="6"/>
  <c r="C1835" i="6"/>
  <c r="B676" i="6"/>
  <c r="C1115" i="6"/>
  <c r="C1925" i="6"/>
  <c r="C2015" i="6"/>
  <c r="B612" i="6"/>
  <c r="C1475" i="6"/>
  <c r="C665" i="6"/>
  <c r="G1744" i="6"/>
  <c r="G1564" i="6"/>
  <c r="G1654" i="6"/>
  <c r="G1924" i="6"/>
  <c r="H483" i="6" a="1"/>
  <c r="G1384" i="6"/>
  <c r="G1024" i="6"/>
  <c r="G754" i="6"/>
  <c r="G1114" i="6"/>
  <c r="G934" i="6"/>
  <c r="F483" i="6"/>
  <c r="F611" i="6"/>
  <c r="G1474" i="6"/>
  <c r="G484" i="6"/>
  <c r="G2014" i="6"/>
  <c r="G1834" i="6"/>
  <c r="G2105" i="6"/>
  <c r="H547" i="6" a="1"/>
  <c r="F547" i="6"/>
  <c r="G1204" i="6"/>
  <c r="H675" i="6" a="1"/>
  <c r="F675" i="6"/>
  <c r="G1294" i="6"/>
  <c r="G844" i="6"/>
  <c r="H611" i="6" a="1"/>
  <c r="G664" i="6"/>
  <c r="G574" i="6"/>
  <c r="H675" i="6" l="1"/>
  <c r="H547" i="6"/>
  <c r="H611" i="6"/>
  <c r="H483" i="6"/>
  <c r="C1836" i="6"/>
  <c r="C666" i="6"/>
  <c r="B677" i="6"/>
  <c r="C2106" i="6"/>
  <c r="C1296" i="6"/>
  <c r="B549" i="6"/>
  <c r="C756" i="6"/>
  <c r="C1926" i="6"/>
  <c r="C1656" i="6"/>
  <c r="B613" i="6"/>
  <c r="C1386" i="6"/>
  <c r="C2016" i="6"/>
  <c r="C1116" i="6"/>
  <c r="C1476" i="6"/>
  <c r="C936" i="6"/>
  <c r="C1566" i="6"/>
  <c r="C1206" i="6"/>
  <c r="C846" i="6"/>
  <c r="C1746" i="6"/>
  <c r="C1026" i="6"/>
  <c r="G1835" i="6"/>
  <c r="G1025" i="6"/>
  <c r="F676" i="6"/>
  <c r="G1925" i="6"/>
  <c r="G575" i="6"/>
  <c r="F612" i="6"/>
  <c r="H676" i="6" a="1"/>
  <c r="H484" i="6" a="1"/>
  <c r="G2015" i="6"/>
  <c r="F484" i="6"/>
  <c r="G1475" i="6"/>
  <c r="G1205" i="6"/>
  <c r="G1115" i="6"/>
  <c r="G1295" i="6"/>
  <c r="G1655" i="6"/>
  <c r="G2106" i="6"/>
  <c r="G935" i="6"/>
  <c r="H548" i="6" a="1"/>
  <c r="G755" i="6"/>
  <c r="F548" i="6"/>
  <c r="G1745" i="6"/>
  <c r="G1565" i="6"/>
  <c r="G845" i="6"/>
  <c r="G1385" i="6"/>
  <c r="G665" i="6"/>
  <c r="H612" i="6" a="1"/>
  <c r="H548" i="6" l="1"/>
  <c r="H612" i="6"/>
  <c r="H484" i="6"/>
  <c r="H676" i="6"/>
  <c r="C1027" i="6"/>
  <c r="C1927" i="6"/>
  <c r="C1567" i="6"/>
  <c r="C847" i="6"/>
  <c r="C1207" i="6"/>
  <c r="B614" i="6"/>
  <c r="B550" i="6"/>
  <c r="C1747" i="6"/>
  <c r="C1387" i="6"/>
  <c r="C757" i="6"/>
  <c r="C937" i="6"/>
  <c r="C1117" i="6"/>
  <c r="C2107" i="6"/>
  <c r="C2017" i="6"/>
  <c r="B678" i="6"/>
  <c r="C1297" i="6"/>
  <c r="C1657" i="6"/>
  <c r="C1837" i="6"/>
  <c r="C1477" i="6"/>
  <c r="G1926" i="6"/>
  <c r="G1656" i="6"/>
  <c r="G1296" i="6"/>
  <c r="G1116" i="6"/>
  <c r="H613" i="6" a="1"/>
  <c r="G1836" i="6"/>
  <c r="G846" i="6"/>
  <c r="G1746" i="6"/>
  <c r="G2107" i="6"/>
  <c r="F549" i="6"/>
  <c r="G1476" i="6"/>
  <c r="G2016" i="6"/>
  <c r="H677" i="6" a="1"/>
  <c r="H549" i="6" a="1"/>
  <c r="G936" i="6"/>
  <c r="G756" i="6"/>
  <c r="F677" i="6"/>
  <c r="G666" i="6"/>
  <c r="G1566" i="6"/>
  <c r="G1386" i="6"/>
  <c r="F613" i="6"/>
  <c r="G1206" i="6"/>
  <c r="G1026" i="6"/>
  <c r="H677" i="6" l="1"/>
  <c r="H613" i="6"/>
  <c r="H549" i="6"/>
  <c r="C1298" i="6"/>
  <c r="C1838" i="6"/>
  <c r="C1118" i="6"/>
  <c r="C1028" i="6"/>
  <c r="C938" i="6"/>
  <c r="C1568" i="6"/>
  <c r="C848" i="6"/>
  <c r="B615" i="6"/>
  <c r="B551" i="6"/>
  <c r="C1658" i="6"/>
  <c r="C1928" i="6"/>
  <c r="C2108" i="6"/>
  <c r="C1748" i="6"/>
  <c r="C1478" i="6"/>
  <c r="B679" i="6"/>
  <c r="C2018" i="6"/>
  <c r="C1208" i="6"/>
  <c r="C1388" i="6"/>
  <c r="G1117" i="6"/>
  <c r="H614" i="6" a="1"/>
  <c r="G1477" i="6"/>
  <c r="G1207" i="6"/>
  <c r="G2108" i="6"/>
  <c r="G1927" i="6"/>
  <c r="G1567" i="6"/>
  <c r="G1387" i="6"/>
  <c r="H550" i="6" a="1"/>
  <c r="F550" i="6"/>
  <c r="F614" i="6"/>
  <c r="G937" i="6"/>
  <c r="G2017" i="6"/>
  <c r="H678" i="6" a="1"/>
  <c r="F678" i="6"/>
  <c r="G847" i="6"/>
  <c r="G1747" i="6"/>
  <c r="G1297" i="6"/>
  <c r="G1837" i="6"/>
  <c r="G1027" i="6"/>
  <c r="G757" i="6"/>
  <c r="G1657" i="6"/>
  <c r="H614" i="6" l="1"/>
  <c r="H678" i="6"/>
  <c r="H550" i="6"/>
  <c r="C1929" i="6"/>
  <c r="C1299" i="6"/>
  <c r="C1839" i="6"/>
  <c r="B616" i="6"/>
  <c r="B552" i="6"/>
  <c r="C1029" i="6"/>
  <c r="C2109" i="6"/>
  <c r="C2019" i="6"/>
  <c r="C939" i="6"/>
  <c r="B680" i="6"/>
  <c r="C1119" i="6"/>
  <c r="C1389" i="6"/>
  <c r="C1479" i="6"/>
  <c r="C1569" i="6"/>
  <c r="C1749" i="6"/>
  <c r="C1659" i="6"/>
  <c r="C1209" i="6"/>
  <c r="G938" i="6"/>
  <c r="F551" i="6"/>
  <c r="G1388" i="6"/>
  <c r="G2109" i="6"/>
  <c r="H551" i="6" a="1"/>
  <c r="G1118" i="6"/>
  <c r="G1478" i="6"/>
  <c r="G1208" i="6"/>
  <c r="H615" i="6" a="1"/>
  <c r="G1748" i="6"/>
  <c r="G1028" i="6"/>
  <c r="F679" i="6"/>
  <c r="G1658" i="6"/>
  <c r="G1928" i="6"/>
  <c r="G1838" i="6"/>
  <c r="H679" i="6" a="1"/>
  <c r="G1298" i="6"/>
  <c r="F615" i="6"/>
  <c r="G2018" i="6"/>
  <c r="G848" i="6"/>
  <c r="G1568" i="6"/>
  <c r="H551" i="6" l="1"/>
  <c r="H679" i="6"/>
  <c r="H615" i="6"/>
  <c r="C1930" i="6"/>
  <c r="C1300" i="6"/>
  <c r="C1570" i="6"/>
  <c r="C1390" i="6"/>
  <c r="C1030" i="6"/>
  <c r="C1480" i="6"/>
  <c r="C2110" i="6"/>
  <c r="B617" i="6"/>
  <c r="B553" i="6"/>
  <c r="C2020" i="6"/>
  <c r="C1840" i="6"/>
  <c r="C1210" i="6"/>
  <c r="B681" i="6"/>
  <c r="C1120" i="6"/>
  <c r="C1750" i="6"/>
  <c r="C1660" i="6"/>
  <c r="G1659" i="6"/>
  <c r="F680" i="6"/>
  <c r="G939" i="6"/>
  <c r="G2110" i="6"/>
  <c r="G1029" i="6"/>
  <c r="G1749" i="6"/>
  <c r="H680" i="6" a="1"/>
  <c r="F616" i="6"/>
  <c r="H552" i="6" a="1"/>
  <c r="G1209" i="6"/>
  <c r="G1299" i="6"/>
  <c r="G1479" i="6"/>
  <c r="F552" i="6"/>
  <c r="G1839" i="6"/>
  <c r="G1929" i="6"/>
  <c r="G1569" i="6"/>
  <c r="G1119" i="6"/>
  <c r="G2019" i="6"/>
  <c r="G1389" i="6"/>
  <c r="H616" i="6" a="1"/>
  <c r="H616" i="6" l="1"/>
  <c r="H680" i="6"/>
  <c r="H552" i="6"/>
  <c r="C1841" i="6"/>
  <c r="C2111" i="6"/>
  <c r="C1571" i="6"/>
  <c r="C1391" i="6"/>
  <c r="B618" i="6"/>
  <c r="B554" i="6"/>
  <c r="C1121" i="6"/>
  <c r="C2021" i="6"/>
  <c r="C1931" i="6"/>
  <c r="C1661" i="6"/>
  <c r="C1211" i="6"/>
  <c r="B682" i="6"/>
  <c r="C1751" i="6"/>
  <c r="C1301" i="6"/>
  <c r="C1481" i="6"/>
  <c r="G1300" i="6"/>
  <c r="G1660" i="6"/>
  <c r="G2020" i="6"/>
  <c r="G1480" i="6"/>
  <c r="G1030" i="6"/>
  <c r="G1750" i="6"/>
  <c r="G1120" i="6"/>
  <c r="H681" i="6" a="1"/>
  <c r="F617" i="6"/>
  <c r="F553" i="6"/>
  <c r="H553" i="6" a="1"/>
  <c r="G1390" i="6"/>
  <c r="H617" i="6" a="1"/>
  <c r="G1210" i="6"/>
  <c r="G1840" i="6"/>
  <c r="G1930" i="6"/>
  <c r="G2111" i="6"/>
  <c r="G1570" i="6"/>
  <c r="F681" i="6"/>
  <c r="H553" i="6" l="1"/>
  <c r="H617" i="6"/>
  <c r="H681" i="6"/>
  <c r="C1302" i="6"/>
  <c r="C1212" i="6"/>
  <c r="C1482" i="6"/>
  <c r="C1662" i="6"/>
  <c r="C1842" i="6"/>
  <c r="C1752" i="6"/>
  <c r="C2022" i="6"/>
  <c r="B683" i="6"/>
  <c r="C1392" i="6"/>
  <c r="C1572" i="6"/>
  <c r="C2112" i="6"/>
  <c r="C1932" i="6"/>
  <c r="B619" i="6"/>
  <c r="B555" i="6"/>
  <c r="G1571" i="6"/>
  <c r="F618" i="6"/>
  <c r="F682" i="6"/>
  <c r="G2021" i="6"/>
  <c r="G2112" i="6"/>
  <c r="F554" i="6"/>
  <c r="H554" i="6" a="1"/>
  <c r="G1481" i="6"/>
  <c r="G1841" i="6"/>
  <c r="G1211" i="6"/>
  <c r="G1391" i="6"/>
  <c r="G1301" i="6"/>
  <c r="H618" i="6" a="1"/>
  <c r="G1751" i="6"/>
  <c r="H682" i="6" a="1"/>
  <c r="G1931" i="6"/>
  <c r="G1121" i="6"/>
  <c r="G1661" i="6"/>
  <c r="H682" i="6" l="1"/>
  <c r="H554" i="6"/>
  <c r="H618" i="6"/>
  <c r="C1753" i="6"/>
  <c r="C1663" i="6"/>
  <c r="C1573" i="6"/>
  <c r="C2113" i="6"/>
  <c r="C1843" i="6"/>
  <c r="C1303" i="6"/>
  <c r="B620" i="6"/>
  <c r="B556" i="6"/>
  <c r="B684" i="6"/>
  <c r="C1483" i="6"/>
  <c r="C2023" i="6"/>
  <c r="C1933" i="6"/>
  <c r="C1393" i="6"/>
  <c r="F555" i="6"/>
  <c r="G1572" i="6"/>
  <c r="G1842" i="6"/>
  <c r="G1392" i="6"/>
  <c r="G1482" i="6"/>
  <c r="G2022" i="6"/>
  <c r="H683" i="6" a="1"/>
  <c r="G1212" i="6"/>
  <c r="H555" i="6" a="1"/>
  <c r="F619" i="6"/>
  <c r="G1662" i="6"/>
  <c r="H619" i="6" a="1"/>
  <c r="F683" i="6"/>
  <c r="G2113" i="6"/>
  <c r="G1752" i="6"/>
  <c r="G1932" i="6"/>
  <c r="G1302" i="6"/>
  <c r="H683" i="6" l="1"/>
  <c r="H619" i="6"/>
  <c r="H555" i="6"/>
  <c r="C1934" i="6"/>
  <c r="C1664" i="6"/>
  <c r="C1394" i="6"/>
  <c r="C1574" i="6"/>
  <c r="C1484" i="6"/>
  <c r="C1754" i="6"/>
  <c r="C2114" i="6"/>
  <c r="B621" i="6"/>
  <c r="B557" i="6"/>
  <c r="B685" i="6"/>
  <c r="C2024" i="6"/>
  <c r="C1844" i="6"/>
  <c r="F620" i="6"/>
  <c r="F684" i="6"/>
  <c r="G2114" i="6"/>
  <c r="G1573" i="6"/>
  <c r="G1843" i="6"/>
  <c r="G1303" i="6"/>
  <c r="G1393" i="6"/>
  <c r="G2023" i="6"/>
  <c r="H684" i="6" a="1"/>
  <c r="G1483" i="6"/>
  <c r="G1663" i="6"/>
  <c r="F556" i="6"/>
  <c r="H620" i="6" a="1"/>
  <c r="G1933" i="6"/>
  <c r="H556" i="6" a="1"/>
  <c r="G1753" i="6"/>
  <c r="H620" i="6" l="1"/>
  <c r="H684" i="6"/>
  <c r="H556" i="6"/>
  <c r="C2025" i="6"/>
  <c r="C1575" i="6"/>
  <c r="C2115" i="6"/>
  <c r="C1665" i="6"/>
  <c r="C1485" i="6"/>
  <c r="B622" i="6"/>
  <c r="B558" i="6"/>
  <c r="C1845" i="6"/>
  <c r="B686" i="6"/>
  <c r="C1935" i="6"/>
  <c r="C1755" i="6"/>
  <c r="H685" i="6" a="1"/>
  <c r="F621" i="6"/>
  <c r="G1574" i="6"/>
  <c r="G1664" i="6"/>
  <c r="G1394" i="6"/>
  <c r="F685" i="6"/>
  <c r="G2024" i="6"/>
  <c r="G1754" i="6"/>
  <c r="F557" i="6"/>
  <c r="H621" i="6" a="1"/>
  <c r="G1934" i="6"/>
  <c r="G1844" i="6"/>
  <c r="G1484" i="6"/>
  <c r="G2115" i="6"/>
  <c r="H557" i="6" a="1"/>
  <c r="H557" i="6" l="1"/>
  <c r="H621" i="6"/>
  <c r="H685" i="6"/>
  <c r="C1756" i="6"/>
  <c r="C1666" i="6"/>
  <c r="B623" i="6"/>
  <c r="B559" i="6"/>
  <c r="C2116" i="6"/>
  <c r="C1576" i="6"/>
  <c r="C1846" i="6"/>
  <c r="C2026" i="6"/>
  <c r="C1936" i="6"/>
  <c r="B687" i="6"/>
  <c r="G2025" i="6"/>
  <c r="H622" i="6" a="1"/>
  <c r="G1665" i="6"/>
  <c r="G1485" i="6"/>
  <c r="G1845" i="6"/>
  <c r="G1575" i="6"/>
  <c r="F686" i="6"/>
  <c r="F558" i="6"/>
  <c r="F622" i="6"/>
  <c r="H686" i="6" a="1"/>
  <c r="G1935" i="6"/>
  <c r="G1755" i="6"/>
  <c r="H558" i="6" a="1"/>
  <c r="G2116" i="6"/>
  <c r="H558" i="6" l="1"/>
  <c r="H686" i="6"/>
  <c r="H622" i="6"/>
  <c r="C2027" i="6"/>
  <c r="C1847" i="6"/>
  <c r="C2117" i="6"/>
  <c r="B688" i="6"/>
  <c r="C1937" i="6"/>
  <c r="B624" i="6"/>
  <c r="B560" i="6"/>
  <c r="C1667" i="6"/>
  <c r="C1757" i="6"/>
  <c r="H687" i="6" a="1"/>
  <c r="H623" i="6" a="1"/>
  <c r="G1576" i="6"/>
  <c r="F687" i="6"/>
  <c r="G1666" i="6"/>
  <c r="G2117" i="6"/>
  <c r="G1936" i="6"/>
  <c r="H559" i="6" a="1"/>
  <c r="F559" i="6"/>
  <c r="G2026" i="6"/>
  <c r="F623" i="6"/>
  <c r="G1756" i="6"/>
  <c r="G1846" i="6"/>
  <c r="H687" i="6" l="1"/>
  <c r="H559" i="6"/>
  <c r="H623" i="6"/>
  <c r="C1848" i="6"/>
  <c r="C1938" i="6"/>
  <c r="C2118" i="6"/>
  <c r="C2028" i="6"/>
  <c r="B689" i="6"/>
  <c r="C1758" i="6"/>
  <c r="B625" i="6"/>
  <c r="B561" i="6"/>
  <c r="G1937" i="6"/>
  <c r="G2118" i="6"/>
  <c r="G1847" i="6"/>
  <c r="F688" i="6"/>
  <c r="H560" i="6" a="1"/>
  <c r="F560" i="6"/>
  <c r="F624" i="6"/>
  <c r="G1667" i="6"/>
  <c r="G2027" i="6"/>
  <c r="H624" i="6" a="1"/>
  <c r="H688" i="6" a="1"/>
  <c r="G1757" i="6"/>
  <c r="H560" i="6" l="1"/>
  <c r="H624" i="6"/>
  <c r="H688" i="6"/>
  <c r="C1849" i="6"/>
  <c r="C2029" i="6"/>
  <c r="B690" i="6"/>
  <c r="C2119" i="6"/>
  <c r="C1939" i="6"/>
  <c r="B626" i="6"/>
  <c r="B562" i="6"/>
  <c r="F561" i="6"/>
  <c r="H689" i="6" a="1"/>
  <c r="G1938" i="6"/>
  <c r="F625" i="6"/>
  <c r="H561" i="6" a="1"/>
  <c r="H625" i="6" a="1"/>
  <c r="G1848" i="6"/>
  <c r="G2028" i="6"/>
  <c r="G1758" i="6"/>
  <c r="G2119" i="6"/>
  <c r="F689" i="6"/>
  <c r="H689" i="6" l="1"/>
  <c r="H625" i="6"/>
  <c r="H561" i="6"/>
  <c r="B627" i="6"/>
  <c r="B563" i="6"/>
  <c r="B691" i="6"/>
  <c r="C2120" i="6"/>
  <c r="C1940" i="6"/>
  <c r="C2030" i="6"/>
  <c r="G2029" i="6"/>
  <c r="F562" i="6"/>
  <c r="H562" i="6" a="1"/>
  <c r="G1849" i="6"/>
  <c r="H690" i="6" a="1"/>
  <c r="G1939" i="6"/>
  <c r="G2120" i="6"/>
  <c r="F626" i="6"/>
  <c r="F690" i="6"/>
  <c r="H626" i="6" a="1"/>
  <c r="H626" i="6" l="1"/>
  <c r="H690" i="6"/>
  <c r="H562" i="6"/>
  <c r="C2121" i="6"/>
  <c r="C2031" i="6"/>
  <c r="B628" i="6"/>
  <c r="B564" i="6"/>
  <c r="B692" i="6"/>
  <c r="F627" i="6"/>
  <c r="G2030" i="6"/>
  <c r="G2121" i="6"/>
  <c r="F691" i="6"/>
  <c r="F563" i="6"/>
  <c r="H627" i="6" a="1"/>
  <c r="H691" i="6" a="1"/>
  <c r="G1940" i="6"/>
  <c r="H563" i="6" a="1"/>
  <c r="H627" i="6" l="1"/>
  <c r="H563" i="6"/>
  <c r="H691" i="6"/>
  <c r="B693" i="6"/>
  <c r="C2122" i="6"/>
  <c r="B629" i="6"/>
  <c r="B565" i="6"/>
  <c r="F564" i="6"/>
  <c r="F628" i="6"/>
  <c r="G2031" i="6"/>
  <c r="H564" i="6" a="1"/>
  <c r="H628" i="6" a="1"/>
  <c r="F692" i="6"/>
  <c r="H692" i="6" a="1"/>
  <c r="G2122" i="6"/>
  <c r="H564" i="6" l="1"/>
  <c r="H692" i="6"/>
  <c r="H628" i="6"/>
  <c r="B758" i="6"/>
  <c r="B630" i="6"/>
  <c r="B566" i="6"/>
  <c r="B694" i="6"/>
  <c r="F565" i="6"/>
  <c r="H565" i="6" a="1"/>
  <c r="H693" i="6" a="1"/>
  <c r="F629" i="6"/>
  <c r="H629" i="6" a="1"/>
  <c r="F693" i="6"/>
  <c r="H629" i="6" l="1"/>
  <c r="H693" i="6"/>
  <c r="H565" i="6"/>
  <c r="B631" i="6"/>
  <c r="B567" i="6"/>
  <c r="B759" i="6"/>
  <c r="B695" i="6"/>
  <c r="F566" i="6"/>
  <c r="H694" i="6" a="1"/>
  <c r="F758" i="6"/>
  <c r="H566" i="6" a="1"/>
  <c r="F630" i="6"/>
  <c r="H758" i="6" a="1"/>
  <c r="H630" i="6" a="1"/>
  <c r="F694" i="6"/>
  <c r="H694" i="6" l="1"/>
  <c r="H630" i="6"/>
  <c r="H758" i="6"/>
  <c r="H566" i="6"/>
  <c r="B760" i="6"/>
  <c r="B632" i="6"/>
  <c r="B568" i="6"/>
  <c r="B696" i="6"/>
  <c r="H631" i="6" a="1"/>
  <c r="H695" i="6" a="1"/>
  <c r="F759" i="6"/>
  <c r="F631" i="6"/>
  <c r="F695" i="6"/>
  <c r="F567" i="6"/>
  <c r="H759" i="6" a="1"/>
  <c r="H567" i="6" a="1"/>
  <c r="H759" i="6" l="1"/>
  <c r="H695" i="6"/>
  <c r="H631" i="6"/>
  <c r="H567" i="6"/>
  <c r="B633" i="6"/>
  <c r="B569" i="6"/>
  <c r="B761" i="6"/>
  <c r="B697" i="6"/>
  <c r="H696" i="6" a="1"/>
  <c r="F696" i="6"/>
  <c r="F568" i="6"/>
  <c r="H632" i="6" a="1"/>
  <c r="H760" i="6" a="1"/>
  <c r="F632" i="6"/>
  <c r="H568" i="6" a="1"/>
  <c r="F760" i="6"/>
  <c r="H760" i="6" l="1"/>
  <c r="H632" i="6"/>
  <c r="H696" i="6"/>
  <c r="H568" i="6"/>
  <c r="B698" i="6"/>
  <c r="B762" i="6"/>
  <c r="B634" i="6"/>
  <c r="B570" i="6"/>
  <c r="F697" i="6"/>
  <c r="H761" i="6" a="1"/>
  <c r="H569" i="6" a="1"/>
  <c r="H633" i="6" a="1"/>
  <c r="F569" i="6"/>
  <c r="F633" i="6"/>
  <c r="F761" i="6"/>
  <c r="H697" i="6" a="1"/>
  <c r="H633" i="6" l="1"/>
  <c r="H697" i="6"/>
  <c r="H569" i="6"/>
  <c r="H761" i="6"/>
  <c r="B763" i="6"/>
  <c r="B635" i="6"/>
  <c r="B571" i="6"/>
  <c r="B699" i="6"/>
  <c r="F634" i="6"/>
  <c r="F698" i="6"/>
  <c r="H762" i="6" a="1"/>
  <c r="H570" i="6" a="1"/>
  <c r="H634" i="6" a="1"/>
  <c r="F762" i="6"/>
  <c r="F570" i="6"/>
  <c r="H698" i="6" a="1"/>
  <c r="H762" i="6" l="1"/>
  <c r="H634" i="6"/>
  <c r="H570" i="6"/>
  <c r="H698" i="6"/>
  <c r="B700" i="6"/>
  <c r="B764" i="6"/>
  <c r="B636" i="6"/>
  <c r="B572" i="6"/>
  <c r="H699" i="6" a="1"/>
  <c r="F571" i="6"/>
  <c r="H635" i="6" a="1"/>
  <c r="F635" i="6"/>
  <c r="H571" i="6" a="1"/>
  <c r="F763" i="6"/>
  <c r="H763" i="6" a="1"/>
  <c r="F699" i="6"/>
  <c r="H635" i="6" l="1"/>
  <c r="H699" i="6"/>
  <c r="H571" i="6"/>
  <c r="H763" i="6"/>
  <c r="B637" i="6"/>
  <c r="B573" i="6"/>
  <c r="B765" i="6"/>
  <c r="B701" i="6"/>
  <c r="F636" i="6"/>
  <c r="F764" i="6"/>
  <c r="F572" i="6"/>
  <c r="H764" i="6" a="1"/>
  <c r="F700" i="6"/>
  <c r="H636" i="6" a="1"/>
  <c r="H572" i="6" a="1"/>
  <c r="H700" i="6" a="1"/>
  <c r="H572" i="6" l="1"/>
  <c r="H636" i="6"/>
  <c r="H764" i="6"/>
  <c r="H700" i="6"/>
  <c r="B702" i="6"/>
  <c r="B766" i="6"/>
  <c r="B638" i="6"/>
  <c r="B574" i="6"/>
  <c r="F701" i="6"/>
  <c r="H765" i="6" a="1"/>
  <c r="H637" i="6" a="1"/>
  <c r="H701" i="6" a="1"/>
  <c r="H573" i="6" a="1"/>
  <c r="F637" i="6"/>
  <c r="F765" i="6"/>
  <c r="F573" i="6"/>
  <c r="H765" i="6" l="1"/>
  <c r="H637" i="6"/>
  <c r="H701" i="6"/>
  <c r="H573" i="6"/>
  <c r="B639" i="6"/>
  <c r="B575" i="6"/>
  <c r="B767" i="6"/>
  <c r="B703" i="6"/>
  <c r="F574" i="6"/>
  <c r="F702" i="6"/>
  <c r="F766" i="6"/>
  <c r="H574" i="6" a="1"/>
  <c r="H766" i="6" a="1"/>
  <c r="H638" i="6" a="1"/>
  <c r="H702" i="6" a="1"/>
  <c r="F638" i="6"/>
  <c r="H766" i="6" l="1"/>
  <c r="H574" i="6"/>
  <c r="H638" i="6"/>
  <c r="H702" i="6"/>
  <c r="B704" i="6"/>
  <c r="B768" i="6"/>
  <c r="B640" i="6"/>
  <c r="H703" i="6" a="1"/>
  <c r="F575" i="6"/>
  <c r="F703" i="6"/>
  <c r="H575" i="6" a="1"/>
  <c r="F767" i="6"/>
  <c r="F639" i="6"/>
  <c r="H639" i="6" a="1"/>
  <c r="H767" i="6" a="1"/>
  <c r="H767" i="6" l="1"/>
  <c r="H575" i="6"/>
  <c r="H703" i="6"/>
  <c r="H639" i="6"/>
  <c r="B705" i="6"/>
  <c r="B641" i="6"/>
  <c r="B769" i="6"/>
  <c r="H704" i="6" a="1"/>
  <c r="H640" i="6" a="1"/>
  <c r="F640" i="6"/>
  <c r="H768" i="6" a="1"/>
  <c r="F768" i="6"/>
  <c r="F704" i="6"/>
  <c r="H768" i="6" l="1"/>
  <c r="H704" i="6"/>
  <c r="H640" i="6"/>
  <c r="B770" i="6"/>
  <c r="B642" i="6"/>
  <c r="B706" i="6"/>
  <c r="H769" i="6" a="1"/>
  <c r="H705" i="6" a="1"/>
  <c r="H641" i="6" a="1"/>
  <c r="F769" i="6"/>
  <c r="F705" i="6"/>
  <c r="F641" i="6"/>
  <c r="H705" i="6" l="1"/>
  <c r="H769" i="6"/>
  <c r="H641" i="6"/>
  <c r="B771" i="6"/>
  <c r="B643" i="6"/>
  <c r="B707" i="6"/>
  <c r="H770" i="6" a="1"/>
  <c r="H706" i="6" a="1"/>
  <c r="F642" i="6"/>
  <c r="F770" i="6"/>
  <c r="H642" i="6" a="1"/>
  <c r="F706" i="6"/>
  <c r="H706" i="6" l="1"/>
  <c r="H642" i="6"/>
  <c r="H770" i="6"/>
  <c r="B772" i="6"/>
  <c r="B708" i="6"/>
  <c r="B644" i="6"/>
  <c r="F707" i="6"/>
  <c r="F643" i="6"/>
  <c r="H707" i="6" a="1"/>
  <c r="F771" i="6"/>
  <c r="H771" i="6" a="1"/>
  <c r="H643" i="6" a="1"/>
  <c r="H707" i="6" l="1"/>
  <c r="H643" i="6"/>
  <c r="H771" i="6"/>
  <c r="B709" i="6"/>
  <c r="B645" i="6"/>
  <c r="B773" i="6"/>
  <c r="H644" i="6" a="1"/>
  <c r="H772" i="6" a="1"/>
  <c r="H708" i="6" a="1"/>
  <c r="F708" i="6"/>
  <c r="F772" i="6"/>
  <c r="F644" i="6"/>
  <c r="H772" i="6" l="1"/>
  <c r="H708" i="6"/>
  <c r="H644" i="6"/>
  <c r="B774" i="6"/>
  <c r="B710" i="6"/>
  <c r="B646" i="6"/>
  <c r="H645" i="6" a="1"/>
  <c r="F773" i="6"/>
  <c r="F645" i="6"/>
  <c r="H773" i="6" a="1"/>
  <c r="H709" i="6" a="1"/>
  <c r="F709" i="6"/>
  <c r="H709" i="6" l="1"/>
  <c r="H645" i="6"/>
  <c r="H773" i="6"/>
  <c r="B711" i="6"/>
  <c r="B647" i="6"/>
  <c r="B775" i="6"/>
  <c r="F710" i="6"/>
  <c r="H774" i="6" a="1"/>
  <c r="F646" i="6"/>
  <c r="H710" i="6" a="1"/>
  <c r="H646" i="6" a="1"/>
  <c r="F774" i="6"/>
  <c r="H710" i="6" l="1"/>
  <c r="H646" i="6"/>
  <c r="H774" i="6"/>
  <c r="B712" i="6"/>
  <c r="B648" i="6"/>
  <c r="B776" i="6"/>
  <c r="H775" i="6" a="1"/>
  <c r="H711" i="6" a="1"/>
  <c r="F775" i="6"/>
  <c r="H647" i="6" a="1"/>
  <c r="F711" i="6"/>
  <c r="F647" i="6"/>
  <c r="H647" i="6" l="1"/>
  <c r="H711" i="6"/>
  <c r="H775" i="6"/>
  <c r="B777" i="6"/>
  <c r="B713" i="6"/>
  <c r="B649" i="6"/>
  <c r="H648" i="6" a="1"/>
  <c r="F648" i="6"/>
  <c r="H712" i="6" a="1"/>
  <c r="F776" i="6"/>
  <c r="F712" i="6"/>
  <c r="H776" i="6" a="1"/>
  <c r="H712" i="6" l="1"/>
  <c r="H776" i="6"/>
  <c r="H648" i="6"/>
  <c r="B778" i="6"/>
  <c r="B650" i="6"/>
  <c r="B714" i="6"/>
  <c r="H777" i="6" a="1"/>
  <c r="H649" i="6" a="1"/>
  <c r="H713" i="6" a="1"/>
  <c r="F713" i="6"/>
  <c r="F777" i="6"/>
  <c r="F649" i="6"/>
  <c r="H649" i="6" l="1"/>
  <c r="H777" i="6"/>
  <c r="H713" i="6"/>
  <c r="B779" i="6"/>
  <c r="B651" i="6"/>
  <c r="B715" i="6"/>
  <c r="H778" i="6" a="1"/>
  <c r="H714" i="6" a="1"/>
  <c r="H650" i="6" a="1"/>
  <c r="F650" i="6"/>
  <c r="F778" i="6"/>
  <c r="F714" i="6"/>
  <c r="H714" i="6" l="1"/>
  <c r="H650" i="6"/>
  <c r="H778" i="6"/>
  <c r="B780" i="6"/>
  <c r="B716" i="6"/>
  <c r="B652" i="6"/>
  <c r="F715" i="6"/>
  <c r="F779" i="6"/>
  <c r="F651" i="6"/>
  <c r="H779" i="6" a="1"/>
  <c r="H651" i="6" a="1"/>
  <c r="H715" i="6" a="1"/>
  <c r="H779" i="6" l="1"/>
  <c r="H651" i="6"/>
  <c r="H715" i="6"/>
  <c r="B717" i="6"/>
  <c r="B653" i="6"/>
  <c r="B781" i="6"/>
  <c r="H652" i="6" a="1"/>
  <c r="F780" i="6"/>
  <c r="F652" i="6"/>
  <c r="H716" i="6" a="1"/>
  <c r="F716" i="6"/>
  <c r="H780" i="6" a="1"/>
  <c r="H652" i="6" l="1"/>
  <c r="H716" i="6"/>
  <c r="H780" i="6"/>
  <c r="B782" i="6"/>
  <c r="B718" i="6"/>
  <c r="B654" i="6"/>
  <c r="H781" i="6" a="1"/>
  <c r="F653" i="6"/>
  <c r="F781" i="6"/>
  <c r="H653" i="6" a="1"/>
  <c r="F717" i="6"/>
  <c r="H717" i="6" a="1"/>
  <c r="H781" i="6" l="1"/>
  <c r="H653" i="6"/>
  <c r="H717" i="6"/>
  <c r="B719" i="6"/>
  <c r="B655" i="6"/>
  <c r="B783" i="6"/>
  <c r="H782" i="6" a="1"/>
  <c r="H718" i="6" a="1"/>
  <c r="F654" i="6"/>
  <c r="F782" i="6"/>
  <c r="H654" i="6" a="1"/>
  <c r="F718" i="6"/>
  <c r="H782" i="6" l="1"/>
  <c r="H718" i="6"/>
  <c r="H654" i="6"/>
  <c r="B720" i="6"/>
  <c r="B656" i="6"/>
  <c r="B784" i="6"/>
  <c r="F655" i="6"/>
  <c r="F719" i="6"/>
  <c r="H783" i="6" a="1"/>
  <c r="F783" i="6"/>
  <c r="H719" i="6" a="1"/>
  <c r="H655" i="6" a="1"/>
  <c r="H655" i="6" l="1"/>
  <c r="H783" i="6"/>
  <c r="H719" i="6"/>
  <c r="B785" i="6"/>
  <c r="B721" i="6"/>
  <c r="B657" i="6"/>
  <c r="B849" i="6"/>
  <c r="F784" i="6"/>
  <c r="F720" i="6"/>
  <c r="H720" i="6" a="1"/>
  <c r="F656" i="6"/>
  <c r="H784" i="6" a="1"/>
  <c r="H656" i="6" a="1"/>
  <c r="H720" i="6" l="1"/>
  <c r="H784" i="6"/>
  <c r="H656" i="6"/>
  <c r="B786" i="6"/>
  <c r="B850" i="6"/>
  <c r="B658" i="6"/>
  <c r="B722" i="6"/>
  <c r="H657" i="6" a="1"/>
  <c r="F849" i="6"/>
  <c r="F785" i="6"/>
  <c r="H721" i="6" a="1"/>
  <c r="H785" i="6" a="1"/>
  <c r="F721" i="6"/>
  <c r="F657" i="6"/>
  <c r="H849" i="6" a="1"/>
  <c r="H721" i="6" l="1"/>
  <c r="H849" i="6"/>
  <c r="H657" i="6"/>
  <c r="H785" i="6"/>
  <c r="B659" i="6"/>
  <c r="B723" i="6"/>
  <c r="B851" i="6"/>
  <c r="B787" i="6"/>
  <c r="F850" i="6"/>
  <c r="F786" i="6"/>
  <c r="H722" i="6" a="1"/>
  <c r="H786" i="6" a="1"/>
  <c r="H850" i="6" a="1"/>
  <c r="F722" i="6"/>
  <c r="H658" i="6" a="1"/>
  <c r="F658" i="6"/>
  <c r="H658" i="6" l="1"/>
  <c r="H850" i="6"/>
  <c r="H722" i="6"/>
  <c r="H786" i="6"/>
  <c r="B852" i="6"/>
  <c r="B788" i="6"/>
  <c r="B724" i="6"/>
  <c r="B660" i="6"/>
  <c r="F723" i="6"/>
  <c r="F659" i="6"/>
  <c r="F851" i="6"/>
  <c r="H723" i="6" a="1"/>
  <c r="H659" i="6" a="1"/>
  <c r="F787" i="6"/>
  <c r="H787" i="6" a="1"/>
  <c r="H851" i="6" a="1"/>
  <c r="H851" i="6" l="1"/>
  <c r="H787" i="6"/>
  <c r="H659" i="6"/>
  <c r="H723" i="6"/>
  <c r="B789" i="6"/>
  <c r="B853" i="6"/>
  <c r="B725" i="6"/>
  <c r="B661" i="6"/>
  <c r="F788" i="6"/>
  <c r="F852" i="6"/>
  <c r="H852" i="6" a="1"/>
  <c r="H724" i="6" a="1"/>
  <c r="H788" i="6" a="1"/>
  <c r="F660" i="6"/>
  <c r="F724" i="6"/>
  <c r="H660" i="6" a="1"/>
  <c r="H724" i="6" l="1"/>
  <c r="H852" i="6"/>
  <c r="H788" i="6"/>
  <c r="H660" i="6"/>
  <c r="B726" i="6"/>
  <c r="B662" i="6"/>
  <c r="B790" i="6"/>
  <c r="B854" i="6"/>
  <c r="F725" i="6"/>
  <c r="F789" i="6"/>
  <c r="F853" i="6"/>
  <c r="F661" i="6"/>
  <c r="H725" i="6" a="1"/>
  <c r="H853" i="6" a="1"/>
  <c r="H661" i="6" a="1"/>
  <c r="H789" i="6" a="1"/>
  <c r="H789" i="6" l="1"/>
  <c r="H661" i="6"/>
  <c r="H853" i="6"/>
  <c r="H725" i="6"/>
  <c r="B727" i="6"/>
  <c r="B663" i="6"/>
  <c r="B791" i="6"/>
  <c r="B855" i="6"/>
  <c r="F726" i="6"/>
  <c r="H662" i="6" a="1"/>
  <c r="H790" i="6" a="1"/>
  <c r="H854" i="6" a="1"/>
  <c r="F790" i="6"/>
  <c r="F854" i="6"/>
  <c r="H726" i="6" a="1"/>
  <c r="F662" i="6"/>
  <c r="H662" i="6" l="1"/>
  <c r="H790" i="6"/>
  <c r="H726" i="6"/>
  <c r="H854" i="6"/>
  <c r="B728" i="6"/>
  <c r="B664" i="6"/>
  <c r="B792" i="6"/>
  <c r="B856" i="6"/>
  <c r="F855" i="6"/>
  <c r="F727" i="6"/>
  <c r="H663" i="6" a="1"/>
  <c r="F663" i="6"/>
  <c r="H727" i="6" a="1"/>
  <c r="H791" i="6" a="1"/>
  <c r="F791" i="6"/>
  <c r="H855" i="6" a="1"/>
  <c r="H791" i="6" l="1"/>
  <c r="H727" i="6"/>
  <c r="H663" i="6"/>
  <c r="H855" i="6"/>
  <c r="B729" i="6"/>
  <c r="B665" i="6"/>
  <c r="B793" i="6"/>
  <c r="B857" i="6"/>
  <c r="F856" i="6"/>
  <c r="H856" i="6" a="1"/>
  <c r="F728" i="6"/>
  <c r="H792" i="6" a="1"/>
  <c r="F792" i="6"/>
  <c r="F664" i="6"/>
  <c r="H728" i="6" a="1"/>
  <c r="H664" i="6" a="1"/>
  <c r="H792" i="6" l="1"/>
  <c r="H856" i="6"/>
  <c r="H664" i="6"/>
  <c r="H728" i="6"/>
  <c r="B666" i="6"/>
  <c r="B730" i="6"/>
  <c r="B794" i="6"/>
  <c r="B858" i="6"/>
  <c r="F857" i="6"/>
  <c r="F729" i="6"/>
  <c r="H729" i="6" a="1"/>
  <c r="F793" i="6"/>
  <c r="H665" i="6" a="1"/>
  <c r="H793" i="6" a="1"/>
  <c r="F665" i="6"/>
  <c r="H857" i="6" a="1"/>
  <c r="H665" i="6" l="1"/>
  <c r="H857" i="6"/>
  <c r="H793" i="6"/>
  <c r="H729" i="6"/>
  <c r="B795" i="6"/>
  <c r="B731" i="6"/>
  <c r="B859" i="6"/>
  <c r="F730" i="6"/>
  <c r="H858" i="6" a="1"/>
  <c r="H794" i="6" a="1"/>
  <c r="F794" i="6"/>
  <c r="H730" i="6" a="1"/>
  <c r="F858" i="6"/>
  <c r="F666" i="6"/>
  <c r="H666" i="6" a="1"/>
  <c r="H858" i="6" l="1"/>
  <c r="H666" i="6"/>
  <c r="H794" i="6"/>
  <c r="H730" i="6"/>
  <c r="B860" i="6"/>
  <c r="B796" i="6"/>
  <c r="B732" i="6"/>
  <c r="H795" i="6" a="1"/>
  <c r="F859" i="6"/>
  <c r="H859" i="6" a="1"/>
  <c r="F795" i="6"/>
  <c r="H731" i="6" a="1"/>
  <c r="F731" i="6"/>
  <c r="H859" i="6" l="1"/>
  <c r="H731" i="6"/>
  <c r="H795" i="6"/>
  <c r="B797" i="6"/>
  <c r="B733" i="6"/>
  <c r="B861" i="6"/>
  <c r="H796" i="6" a="1"/>
  <c r="F796" i="6"/>
  <c r="F860" i="6"/>
  <c r="F732" i="6"/>
  <c r="H732" i="6" a="1"/>
  <c r="H860" i="6" a="1"/>
  <c r="H860" i="6" l="1"/>
  <c r="H796" i="6"/>
  <c r="H732" i="6"/>
  <c r="B798" i="6"/>
  <c r="B734" i="6"/>
  <c r="B862" i="6"/>
  <c r="F861" i="6"/>
  <c r="H733" i="6" a="1"/>
  <c r="H861" i="6" a="1"/>
  <c r="F797" i="6"/>
  <c r="F733" i="6"/>
  <c r="H797" i="6" a="1"/>
  <c r="H733" i="6" l="1"/>
  <c r="H797" i="6"/>
  <c r="H861" i="6"/>
  <c r="B799" i="6"/>
  <c r="B735" i="6"/>
  <c r="B863" i="6"/>
  <c r="F734" i="6"/>
  <c r="F862" i="6"/>
  <c r="H734" i="6" a="1"/>
  <c r="F798" i="6"/>
  <c r="H798" i="6" a="1"/>
  <c r="H862" i="6" a="1"/>
  <c r="H734" i="6" l="1"/>
  <c r="H798" i="6"/>
  <c r="H862" i="6"/>
  <c r="B800" i="6"/>
  <c r="B736" i="6"/>
  <c r="B864" i="6"/>
  <c r="F799" i="6"/>
  <c r="F863" i="6"/>
  <c r="H799" i="6" a="1"/>
  <c r="F735" i="6"/>
  <c r="H735" i="6" a="1"/>
  <c r="H863" i="6" a="1"/>
  <c r="H863" i="6" l="1"/>
  <c r="H799" i="6"/>
  <c r="H735" i="6"/>
  <c r="B801" i="6"/>
  <c r="B737" i="6"/>
  <c r="B865" i="6"/>
  <c r="F800" i="6"/>
  <c r="H800" i="6" a="1"/>
  <c r="H864" i="6" a="1"/>
  <c r="F864" i="6"/>
  <c r="F736" i="6"/>
  <c r="H736" i="6" a="1"/>
  <c r="H864" i="6" l="1"/>
  <c r="H800" i="6"/>
  <c r="H736" i="6"/>
  <c r="B802" i="6"/>
  <c r="B738" i="6"/>
  <c r="B866" i="6"/>
  <c r="F737" i="6"/>
  <c r="F801" i="6"/>
  <c r="F865" i="6"/>
  <c r="H737" i="6" a="1"/>
  <c r="H801" i="6" a="1"/>
  <c r="H865" i="6" a="1"/>
  <c r="H865" i="6" l="1"/>
  <c r="H801" i="6"/>
  <c r="H737" i="6"/>
  <c r="B803" i="6"/>
  <c r="B739" i="6"/>
  <c r="B867" i="6"/>
  <c r="F866" i="6"/>
  <c r="H866" i="6" a="1"/>
  <c r="H802" i="6" a="1"/>
  <c r="F738" i="6"/>
  <c r="H738" i="6" a="1"/>
  <c r="F802" i="6"/>
  <c r="H738" i="6" l="1"/>
  <c r="H802" i="6"/>
  <c r="H866" i="6"/>
  <c r="B804" i="6"/>
  <c r="B740" i="6"/>
  <c r="B868" i="6"/>
  <c r="F739" i="6"/>
  <c r="F803" i="6"/>
  <c r="F867" i="6"/>
  <c r="H867" i="6" a="1"/>
  <c r="H739" i="6" a="1"/>
  <c r="H803" i="6" a="1"/>
  <c r="H867" i="6" l="1"/>
  <c r="H803" i="6"/>
  <c r="H739" i="6"/>
  <c r="B869" i="6"/>
  <c r="B805" i="6"/>
  <c r="B741" i="6"/>
  <c r="F740" i="6"/>
  <c r="H868" i="6" a="1"/>
  <c r="H804" i="6" a="1"/>
  <c r="H740" i="6" a="1"/>
  <c r="F868" i="6"/>
  <c r="F804" i="6"/>
  <c r="H868" i="6" l="1"/>
  <c r="H740" i="6"/>
  <c r="H804" i="6"/>
  <c r="B806" i="6"/>
  <c r="B742" i="6"/>
  <c r="B870" i="6"/>
  <c r="H869" i="6" a="1"/>
  <c r="F869" i="6"/>
  <c r="H805" i="6" a="1"/>
  <c r="H741" i="6" a="1"/>
  <c r="F741" i="6"/>
  <c r="F805" i="6"/>
  <c r="H869" i="6" l="1"/>
  <c r="H805" i="6"/>
  <c r="H741" i="6"/>
  <c r="B807" i="6"/>
  <c r="B743" i="6"/>
  <c r="B871" i="6"/>
  <c r="H742" i="6" a="1"/>
  <c r="H870" i="6" a="1"/>
  <c r="F806" i="6"/>
  <c r="H806" i="6" a="1"/>
  <c r="F742" i="6"/>
  <c r="F870" i="6"/>
  <c r="H742" i="6" l="1"/>
  <c r="H806" i="6"/>
  <c r="H870" i="6"/>
  <c r="B808" i="6"/>
  <c r="B744" i="6"/>
  <c r="B872" i="6"/>
  <c r="F871" i="6"/>
  <c r="H807" i="6" a="1"/>
  <c r="H871" i="6" a="1"/>
  <c r="F743" i="6"/>
  <c r="F807" i="6"/>
  <c r="H743" i="6" a="1"/>
  <c r="H807" i="6" l="1"/>
  <c r="H743" i="6"/>
  <c r="H871" i="6"/>
  <c r="B809" i="6"/>
  <c r="B745" i="6"/>
  <c r="B873" i="6"/>
  <c r="F872" i="6"/>
  <c r="H872" i="6" a="1"/>
  <c r="H744" i="6" a="1"/>
  <c r="F808" i="6"/>
  <c r="F744" i="6"/>
  <c r="H808" i="6" a="1"/>
  <c r="H744" i="6" l="1"/>
  <c r="H808" i="6"/>
  <c r="H872" i="6"/>
  <c r="B874" i="6"/>
  <c r="B810" i="6"/>
  <c r="B746" i="6"/>
  <c r="F873" i="6"/>
  <c r="H809" i="6" a="1"/>
  <c r="F745" i="6"/>
  <c r="F809" i="6"/>
  <c r="H873" i="6" a="1"/>
  <c r="H745" i="6" a="1"/>
  <c r="H745" i="6" l="1"/>
  <c r="H873" i="6"/>
  <c r="H809" i="6"/>
  <c r="B747" i="6"/>
  <c r="B811" i="6"/>
  <c r="B875" i="6"/>
  <c r="F810" i="6"/>
  <c r="H746" i="6" a="1"/>
  <c r="H874" i="6" a="1"/>
  <c r="F874" i="6"/>
  <c r="F746" i="6"/>
  <c r="H810" i="6" a="1"/>
  <c r="H746" i="6" l="1"/>
  <c r="H874" i="6"/>
  <c r="H810" i="6"/>
  <c r="B876" i="6"/>
  <c r="B812" i="6"/>
  <c r="B748" i="6"/>
  <c r="B940" i="6"/>
  <c r="H747" i="6" a="1"/>
  <c r="F747" i="6"/>
  <c r="H811" i="6" a="1"/>
  <c r="F811" i="6"/>
  <c r="H875" i="6" a="1"/>
  <c r="F875" i="6"/>
  <c r="H875" i="6" l="1"/>
  <c r="H811" i="6"/>
  <c r="H747" i="6"/>
  <c r="B877" i="6"/>
  <c r="B813" i="6"/>
  <c r="B749" i="6"/>
  <c r="B941" i="6"/>
  <c r="H940" i="6" a="1"/>
  <c r="F876" i="6"/>
  <c r="H748" i="6" a="1"/>
  <c r="F812" i="6"/>
  <c r="F748" i="6"/>
  <c r="H876" i="6" a="1"/>
  <c r="F940" i="6"/>
  <c r="H812" i="6" a="1"/>
  <c r="H940" i="6" l="1"/>
  <c r="H812" i="6"/>
  <c r="H748" i="6"/>
  <c r="H876" i="6"/>
  <c r="B814" i="6"/>
  <c r="B750" i="6"/>
  <c r="B878" i="6"/>
  <c r="B942" i="6"/>
  <c r="H813" i="6" a="1"/>
  <c r="F941" i="6"/>
  <c r="F813" i="6"/>
  <c r="F749" i="6"/>
  <c r="H941" i="6" a="1"/>
  <c r="H749" i="6" a="1"/>
  <c r="F877" i="6"/>
  <c r="H877" i="6" a="1"/>
  <c r="H877" i="6" l="1"/>
  <c r="H749" i="6"/>
  <c r="H941" i="6"/>
  <c r="H813" i="6"/>
  <c r="B815" i="6"/>
  <c r="B751" i="6"/>
  <c r="B879" i="6"/>
  <c r="B943" i="6"/>
  <c r="H750" i="6" a="1"/>
  <c r="H878" i="6" a="1"/>
  <c r="F878" i="6"/>
  <c r="H814" i="6" a="1"/>
  <c r="F942" i="6"/>
  <c r="H942" i="6" a="1"/>
  <c r="F750" i="6"/>
  <c r="F814" i="6"/>
  <c r="H814" i="6" l="1"/>
  <c r="H878" i="6"/>
  <c r="H942" i="6"/>
  <c r="H750" i="6"/>
  <c r="B944" i="6"/>
  <c r="B816" i="6"/>
  <c r="B752" i="6"/>
  <c r="B880" i="6"/>
  <c r="H943" i="6" a="1"/>
  <c r="F943" i="6"/>
  <c r="F815" i="6"/>
  <c r="H751" i="6" a="1"/>
  <c r="F879" i="6"/>
  <c r="F751" i="6"/>
  <c r="H815" i="6" a="1"/>
  <c r="H879" i="6" a="1"/>
  <c r="H815" i="6" l="1"/>
  <c r="H879" i="6"/>
  <c r="H751" i="6"/>
  <c r="H943" i="6"/>
  <c r="B945" i="6"/>
  <c r="B881" i="6"/>
  <c r="B817" i="6"/>
  <c r="B753" i="6"/>
  <c r="H816" i="6" a="1"/>
  <c r="F944" i="6"/>
  <c r="F752" i="6"/>
  <c r="F816" i="6"/>
  <c r="F880" i="6"/>
  <c r="H944" i="6" a="1"/>
  <c r="H880" i="6" a="1"/>
  <c r="H752" i="6" a="1"/>
  <c r="H944" i="6" l="1"/>
  <c r="H880" i="6"/>
  <c r="H752" i="6"/>
  <c r="H816" i="6"/>
  <c r="B882" i="6"/>
  <c r="B818" i="6"/>
  <c r="B754" i="6"/>
  <c r="B946" i="6"/>
  <c r="H945" i="6" a="1"/>
  <c r="H817" i="6" a="1"/>
  <c r="H753" i="6" a="1"/>
  <c r="F881" i="6"/>
  <c r="F817" i="6"/>
  <c r="H881" i="6" a="1"/>
  <c r="F945" i="6"/>
  <c r="F753" i="6"/>
  <c r="H817" i="6" l="1"/>
  <c r="H881" i="6"/>
  <c r="H753" i="6"/>
  <c r="H945" i="6"/>
  <c r="B947" i="6"/>
  <c r="B819" i="6"/>
  <c r="B755" i="6"/>
  <c r="B883" i="6"/>
  <c r="H882" i="6" a="1"/>
  <c r="F818" i="6"/>
  <c r="H818" i="6" a="1"/>
  <c r="F754" i="6"/>
  <c r="H946" i="6" a="1"/>
  <c r="F882" i="6"/>
  <c r="H754" i="6" a="1"/>
  <c r="F946" i="6"/>
  <c r="H946" i="6" l="1"/>
  <c r="H754" i="6"/>
  <c r="H818" i="6"/>
  <c r="H882" i="6"/>
  <c r="B948" i="6"/>
  <c r="B884" i="6"/>
  <c r="B820" i="6"/>
  <c r="B756" i="6"/>
  <c r="F883" i="6"/>
  <c r="H755" i="6" a="1"/>
  <c r="F755" i="6"/>
  <c r="H819" i="6" a="1"/>
  <c r="H883" i="6" a="1"/>
  <c r="H947" i="6" a="1"/>
  <c r="F819" i="6"/>
  <c r="F947" i="6"/>
  <c r="H947" i="6" l="1"/>
  <c r="H883" i="6"/>
  <c r="H819" i="6"/>
  <c r="H755" i="6"/>
  <c r="B949" i="6"/>
  <c r="B885" i="6"/>
  <c r="B821" i="6"/>
  <c r="B757" i="6"/>
  <c r="F820" i="6"/>
  <c r="F884" i="6"/>
  <c r="F948" i="6"/>
  <c r="H820" i="6" a="1"/>
  <c r="H756" i="6" a="1"/>
  <c r="H884" i="6" a="1"/>
  <c r="H948" i="6" a="1"/>
  <c r="F756" i="6"/>
  <c r="H756" i="6" l="1"/>
  <c r="H948" i="6"/>
  <c r="H884" i="6"/>
  <c r="H820" i="6"/>
  <c r="B950" i="6"/>
  <c r="B822" i="6"/>
  <c r="B886" i="6"/>
  <c r="H885" i="6" a="1"/>
  <c r="F949" i="6"/>
  <c r="H821" i="6" a="1"/>
  <c r="H757" i="6" a="1"/>
  <c r="F885" i="6"/>
  <c r="H949" i="6" a="1"/>
  <c r="F757" i="6"/>
  <c r="F821" i="6"/>
  <c r="H885" i="6" l="1"/>
  <c r="H757" i="6"/>
  <c r="H821" i="6"/>
  <c r="H949" i="6"/>
  <c r="B887" i="6"/>
  <c r="B823" i="6"/>
  <c r="B951" i="6"/>
  <c r="F950" i="6"/>
  <c r="F822" i="6"/>
  <c r="F886" i="6"/>
  <c r="H950" i="6" a="1"/>
  <c r="H822" i="6" a="1"/>
  <c r="H886" i="6" a="1"/>
  <c r="H822" i="6" l="1"/>
  <c r="H950" i="6"/>
  <c r="H886" i="6"/>
  <c r="B952" i="6"/>
  <c r="B888" i="6"/>
  <c r="B824" i="6"/>
  <c r="F823" i="6"/>
  <c r="H823" i="6" a="1"/>
  <c r="F887" i="6"/>
  <c r="H951" i="6" a="1"/>
  <c r="F951" i="6"/>
  <c r="H887" i="6" a="1"/>
  <c r="H887" i="6" l="1"/>
  <c r="H951" i="6"/>
  <c r="H823" i="6"/>
  <c r="B953" i="6"/>
  <c r="B889" i="6"/>
  <c r="B825" i="6"/>
  <c r="H824" i="6" a="1"/>
  <c r="H888" i="6" a="1"/>
  <c r="F888" i="6"/>
  <c r="F952" i="6"/>
  <c r="F824" i="6"/>
  <c r="H952" i="6" a="1"/>
  <c r="H952" i="6" l="1"/>
  <c r="H888" i="6"/>
  <c r="H824" i="6"/>
  <c r="B890" i="6"/>
  <c r="B826" i="6"/>
  <c r="B954" i="6"/>
  <c r="H953" i="6" a="1"/>
  <c r="F953" i="6"/>
  <c r="H889" i="6" a="1"/>
  <c r="H825" i="6" a="1"/>
  <c r="F889" i="6"/>
  <c r="F825" i="6"/>
  <c r="H953" i="6" l="1"/>
  <c r="H889" i="6"/>
  <c r="H825" i="6"/>
  <c r="B891" i="6"/>
  <c r="B827" i="6"/>
  <c r="B955" i="6"/>
  <c r="H954" i="6" a="1"/>
  <c r="F890" i="6"/>
  <c r="H826" i="6" a="1"/>
  <c r="H890" i="6" a="1"/>
  <c r="F954" i="6"/>
  <c r="F826" i="6"/>
  <c r="H954" i="6" l="1"/>
  <c r="H890" i="6"/>
  <c r="H826" i="6"/>
  <c r="B892" i="6"/>
  <c r="B828" i="6"/>
  <c r="B956" i="6"/>
  <c r="H827" i="6" a="1"/>
  <c r="F827" i="6"/>
  <c r="F955" i="6"/>
  <c r="H891" i="6" a="1"/>
  <c r="H955" i="6" a="1"/>
  <c r="F891" i="6"/>
  <c r="H827" i="6" l="1"/>
  <c r="H891" i="6"/>
  <c r="H955" i="6"/>
  <c r="B893" i="6"/>
  <c r="B829" i="6"/>
  <c r="B957" i="6"/>
  <c r="H956" i="6" a="1"/>
  <c r="F828" i="6"/>
  <c r="F956" i="6"/>
  <c r="F892" i="6"/>
  <c r="H828" i="6" a="1"/>
  <c r="H892" i="6" a="1"/>
  <c r="H956" i="6" l="1"/>
  <c r="H892" i="6"/>
  <c r="H828" i="6"/>
  <c r="B958" i="6"/>
  <c r="B894" i="6"/>
  <c r="B830" i="6"/>
  <c r="F957" i="6"/>
  <c r="F829" i="6"/>
  <c r="H893" i="6" a="1"/>
  <c r="H829" i="6" a="1"/>
  <c r="H957" i="6" a="1"/>
  <c r="F893" i="6"/>
  <c r="H893" i="6" l="1"/>
  <c r="H829" i="6"/>
  <c r="H957" i="6"/>
  <c r="B895" i="6"/>
  <c r="B831" i="6"/>
  <c r="B959" i="6"/>
  <c r="H894" i="6" a="1"/>
  <c r="H958" i="6" a="1"/>
  <c r="F958" i="6"/>
  <c r="F830" i="6"/>
  <c r="H830" i="6" a="1"/>
  <c r="F894" i="6"/>
  <c r="H830" i="6" l="1"/>
  <c r="H958" i="6"/>
  <c r="H894" i="6"/>
  <c r="B960" i="6"/>
  <c r="B896" i="6"/>
  <c r="B832" i="6"/>
  <c r="F895" i="6"/>
  <c r="H959" i="6" a="1"/>
  <c r="F831" i="6"/>
  <c r="H831" i="6" a="1"/>
  <c r="F959" i="6"/>
  <c r="H895" i="6" a="1"/>
  <c r="H959" i="6" l="1"/>
  <c r="H831" i="6"/>
  <c r="H895" i="6"/>
  <c r="B897" i="6"/>
  <c r="B833" i="6"/>
  <c r="B961" i="6"/>
  <c r="F832" i="6"/>
  <c r="H896" i="6" a="1"/>
  <c r="F960" i="6"/>
  <c r="F896" i="6"/>
  <c r="H832" i="6" a="1"/>
  <c r="H960" i="6" a="1"/>
  <c r="H960" i="6" l="1"/>
  <c r="H896" i="6"/>
  <c r="H832" i="6"/>
  <c r="B898" i="6"/>
  <c r="B834" i="6"/>
  <c r="B962" i="6"/>
  <c r="F833" i="6"/>
  <c r="F961" i="6"/>
  <c r="H897" i="6" a="1"/>
  <c r="H961" i="6" a="1"/>
  <c r="F897" i="6"/>
  <c r="H833" i="6" a="1"/>
  <c r="H961" i="6" l="1"/>
  <c r="H897" i="6"/>
  <c r="H833" i="6"/>
  <c r="B899" i="6"/>
  <c r="B835" i="6"/>
  <c r="B963" i="6"/>
  <c r="H962" i="6" a="1"/>
  <c r="F834" i="6"/>
  <c r="H898" i="6" a="1"/>
  <c r="F962" i="6"/>
  <c r="F898" i="6"/>
  <c r="H834" i="6" a="1"/>
  <c r="H962" i="6" l="1"/>
  <c r="H898" i="6"/>
  <c r="H834" i="6"/>
  <c r="B900" i="6"/>
  <c r="B836" i="6"/>
  <c r="B964" i="6"/>
  <c r="H963" i="6" a="1"/>
  <c r="H835" i="6" a="1"/>
  <c r="F835" i="6"/>
  <c r="F963" i="6"/>
  <c r="H899" i="6" a="1"/>
  <c r="F899" i="6"/>
  <c r="H835" i="6" l="1"/>
  <c r="H963" i="6"/>
  <c r="H899" i="6"/>
  <c r="B965" i="6"/>
  <c r="B901" i="6"/>
  <c r="B837" i="6"/>
  <c r="F964" i="6"/>
  <c r="H900" i="6" a="1"/>
  <c r="H964" i="6" a="1"/>
  <c r="F900" i="6"/>
  <c r="F836" i="6"/>
  <c r="H836" i="6" a="1"/>
  <c r="H964" i="6" l="1"/>
  <c r="H836" i="6"/>
  <c r="H900" i="6"/>
  <c r="B902" i="6"/>
  <c r="B838" i="6"/>
  <c r="B966" i="6"/>
  <c r="F837" i="6"/>
  <c r="H965" i="6" a="1"/>
  <c r="H901" i="6" a="1"/>
  <c r="H837" i="6" a="1"/>
  <c r="F901" i="6"/>
  <c r="F965" i="6"/>
  <c r="H901" i="6" l="1"/>
  <c r="H965" i="6"/>
  <c r="H837" i="6"/>
  <c r="B967" i="6"/>
  <c r="B903" i="6"/>
  <c r="B839" i="6"/>
  <c r="B1031" i="6"/>
  <c r="F838" i="6"/>
  <c r="H966" i="6" a="1"/>
  <c r="H838" i="6" a="1"/>
  <c r="F902" i="6"/>
  <c r="F966" i="6"/>
  <c r="H902" i="6" a="1"/>
  <c r="H902" i="6" l="1"/>
  <c r="H966" i="6"/>
  <c r="H838" i="6"/>
  <c r="B840" i="6"/>
  <c r="B904" i="6"/>
  <c r="B968" i="6"/>
  <c r="B1032" i="6"/>
  <c r="F1031" i="6"/>
  <c r="F967" i="6"/>
  <c r="F903" i="6"/>
  <c r="H903" i="6" a="1"/>
  <c r="H839" i="6" a="1"/>
  <c r="H967" i="6" a="1"/>
  <c r="F839" i="6"/>
  <c r="H1031" i="6" a="1"/>
  <c r="H839" i="6" l="1"/>
  <c r="H967" i="6"/>
  <c r="H903" i="6"/>
  <c r="H1031" i="6"/>
  <c r="B905" i="6"/>
  <c r="B841" i="6"/>
  <c r="B969" i="6"/>
  <c r="B1033" i="6"/>
  <c r="F1032" i="6"/>
  <c r="H1032" i="6" a="1"/>
  <c r="F968" i="6"/>
  <c r="F904" i="6"/>
  <c r="F840" i="6"/>
  <c r="H968" i="6" a="1"/>
  <c r="H840" i="6" a="1"/>
  <c r="H904" i="6" a="1"/>
  <c r="H968" i="6" l="1"/>
  <c r="H1032" i="6"/>
  <c r="H840" i="6"/>
  <c r="H904" i="6"/>
  <c r="B970" i="6"/>
  <c r="B906" i="6"/>
  <c r="B842" i="6"/>
  <c r="B1034" i="6"/>
  <c r="F905" i="6"/>
  <c r="F969" i="6"/>
  <c r="H969" i="6" a="1"/>
  <c r="F1033" i="6"/>
  <c r="H841" i="6" a="1"/>
  <c r="F841" i="6"/>
  <c r="H905" i="6" a="1"/>
  <c r="H1033" i="6" a="1"/>
  <c r="H969" i="6" l="1"/>
  <c r="H841" i="6"/>
  <c r="H905" i="6"/>
  <c r="H1033" i="6"/>
  <c r="B907" i="6"/>
  <c r="B843" i="6"/>
  <c r="B971" i="6"/>
  <c r="B1035" i="6"/>
  <c r="F1034" i="6"/>
  <c r="F970" i="6"/>
  <c r="H1034" i="6" a="1"/>
  <c r="F906" i="6"/>
  <c r="F842" i="6"/>
  <c r="H906" i="6" a="1"/>
  <c r="H842" i="6" a="1"/>
  <c r="H970" i="6" a="1"/>
  <c r="H1034" i="6" l="1"/>
  <c r="H970" i="6"/>
  <c r="H906" i="6"/>
  <c r="H842" i="6"/>
  <c r="B1036" i="6"/>
  <c r="B972" i="6"/>
  <c r="B844" i="6"/>
  <c r="B908" i="6"/>
  <c r="H1035" i="6" a="1"/>
  <c r="H843" i="6" a="1"/>
  <c r="H907" i="6" a="1"/>
  <c r="F843" i="6"/>
  <c r="F971" i="6"/>
  <c r="F1035" i="6"/>
  <c r="H971" i="6" a="1"/>
  <c r="F907" i="6"/>
  <c r="H971" i="6" l="1"/>
  <c r="H843" i="6"/>
  <c r="H907" i="6"/>
  <c r="H1035" i="6"/>
  <c r="B1037" i="6"/>
  <c r="B909" i="6"/>
  <c r="B845" i="6"/>
  <c r="B973" i="6"/>
  <c r="F908" i="6"/>
  <c r="H972" i="6" a="1"/>
  <c r="F972" i="6"/>
  <c r="F1036" i="6"/>
  <c r="H908" i="6" a="1"/>
  <c r="H1036" i="6" a="1"/>
  <c r="F844" i="6"/>
  <c r="H844" i="6" a="1"/>
  <c r="H908" i="6" l="1"/>
  <c r="H1036" i="6"/>
  <c r="H972" i="6"/>
  <c r="H844" i="6"/>
  <c r="B974" i="6"/>
  <c r="B1038" i="6"/>
  <c r="B910" i="6"/>
  <c r="B846" i="6"/>
  <c r="H1037" i="6" a="1"/>
  <c r="H909" i="6" a="1"/>
  <c r="F909" i="6"/>
  <c r="F1037" i="6"/>
  <c r="H973" i="6" a="1"/>
  <c r="H845" i="6" a="1"/>
  <c r="F845" i="6"/>
  <c r="F973" i="6"/>
  <c r="H909" i="6" l="1"/>
  <c r="H845" i="6"/>
  <c r="H973" i="6"/>
  <c r="H1037" i="6"/>
  <c r="B1039" i="6"/>
  <c r="B911" i="6"/>
  <c r="B847" i="6"/>
  <c r="B975" i="6"/>
  <c r="F910" i="6"/>
  <c r="F974" i="6"/>
  <c r="H974" i="6" a="1"/>
  <c r="H1038" i="6" a="1"/>
  <c r="F1038" i="6"/>
  <c r="H846" i="6" a="1"/>
  <c r="F846" i="6"/>
  <c r="H910" i="6" a="1"/>
  <c r="H1038" i="6" l="1"/>
  <c r="H910" i="6"/>
  <c r="H846" i="6"/>
  <c r="H974" i="6"/>
  <c r="B976" i="6"/>
  <c r="B1040" i="6"/>
  <c r="B912" i="6"/>
  <c r="B848" i="6"/>
  <c r="H1039" i="6" a="1"/>
  <c r="F847" i="6"/>
  <c r="F911" i="6"/>
  <c r="H911" i="6" a="1"/>
  <c r="H847" i="6" a="1"/>
  <c r="H975" i="6" a="1"/>
  <c r="F975" i="6"/>
  <c r="F1039" i="6"/>
  <c r="H847" i="6" l="1"/>
  <c r="H975" i="6"/>
  <c r="H911" i="6"/>
  <c r="H1039" i="6"/>
  <c r="B913" i="6"/>
  <c r="B1041" i="6"/>
  <c r="B977" i="6"/>
  <c r="F1040" i="6"/>
  <c r="F912" i="6"/>
  <c r="H912" i="6" a="1"/>
  <c r="H1040" i="6" a="1"/>
  <c r="F976" i="6"/>
  <c r="F848" i="6"/>
  <c r="H976" i="6" a="1"/>
  <c r="H848" i="6" a="1"/>
  <c r="H1040" i="6" l="1"/>
  <c r="H912" i="6"/>
  <c r="H976" i="6"/>
  <c r="H848" i="6"/>
  <c r="B978" i="6"/>
  <c r="B914" i="6"/>
  <c r="B1042" i="6"/>
  <c r="H977" i="6" a="1"/>
  <c r="F977" i="6"/>
  <c r="F1041" i="6"/>
  <c r="H1041" i="6" a="1"/>
  <c r="F913" i="6"/>
  <c r="H913" i="6" a="1"/>
  <c r="H913" i="6" l="1"/>
  <c r="H977" i="6"/>
  <c r="H1041" i="6"/>
  <c r="B1043" i="6"/>
  <c r="B979" i="6"/>
  <c r="B915" i="6"/>
  <c r="F978" i="6"/>
  <c r="H978" i="6" a="1"/>
  <c r="H914" i="6" a="1"/>
  <c r="F914" i="6"/>
  <c r="H1042" i="6" a="1"/>
  <c r="F1042" i="6"/>
  <c r="H978" i="6" l="1"/>
  <c r="H1042" i="6"/>
  <c r="H914" i="6"/>
  <c r="B1044" i="6"/>
  <c r="B980" i="6"/>
  <c r="B916" i="6"/>
  <c r="H979" i="6" a="1"/>
  <c r="F1043" i="6"/>
  <c r="H915" i="6" a="1"/>
  <c r="F915" i="6"/>
  <c r="F979" i="6"/>
  <c r="H1043" i="6" a="1"/>
  <c r="H979" i="6" l="1"/>
  <c r="H915" i="6"/>
  <c r="H1043" i="6"/>
  <c r="B1045" i="6"/>
  <c r="B981" i="6"/>
  <c r="B917" i="6"/>
  <c r="F980" i="6"/>
  <c r="H1044" i="6" a="1"/>
  <c r="F916" i="6"/>
  <c r="H980" i="6" a="1"/>
  <c r="H916" i="6" a="1"/>
  <c r="F1044" i="6"/>
  <c r="H1044" i="6" l="1"/>
  <c r="H980" i="6"/>
  <c r="H916" i="6"/>
  <c r="B982" i="6"/>
  <c r="B918" i="6"/>
  <c r="B1046" i="6"/>
  <c r="H981" i="6" a="1"/>
  <c r="H1045" i="6" a="1"/>
  <c r="F1045" i="6"/>
  <c r="F917" i="6"/>
  <c r="H917" i="6" a="1"/>
  <c r="F981" i="6"/>
  <c r="H1045" i="6" l="1"/>
  <c r="H981" i="6"/>
  <c r="H917" i="6"/>
  <c r="B1047" i="6"/>
  <c r="B983" i="6"/>
  <c r="B919" i="6"/>
  <c r="H1046" i="6" a="1"/>
  <c r="H982" i="6" a="1"/>
  <c r="F918" i="6"/>
  <c r="F1046" i="6"/>
  <c r="H918" i="6" a="1"/>
  <c r="F982" i="6"/>
  <c r="H982" i="6" l="1"/>
  <c r="H1046" i="6"/>
  <c r="H918" i="6"/>
  <c r="B984" i="6"/>
  <c r="B920" i="6"/>
  <c r="B1048" i="6"/>
  <c r="H1047" i="6" a="1"/>
  <c r="F1047" i="6"/>
  <c r="H919" i="6" a="1"/>
  <c r="H983" i="6" a="1"/>
  <c r="F919" i="6"/>
  <c r="F983" i="6"/>
  <c r="H1047" i="6" l="1"/>
  <c r="H983" i="6"/>
  <c r="H919" i="6"/>
  <c r="B1049" i="6"/>
  <c r="B985" i="6"/>
  <c r="B921" i="6"/>
  <c r="H984" i="6" a="1"/>
  <c r="F984" i="6"/>
  <c r="F920" i="6"/>
  <c r="F1048" i="6"/>
  <c r="H1048" i="6" a="1"/>
  <c r="H920" i="6" a="1"/>
  <c r="H984" i="6" l="1"/>
  <c r="H1048" i="6"/>
  <c r="H920" i="6"/>
  <c r="B1050" i="6"/>
  <c r="B986" i="6"/>
  <c r="B922" i="6"/>
  <c r="H1049" i="6" a="1"/>
  <c r="F1049" i="6"/>
  <c r="F921" i="6"/>
  <c r="H985" i="6" a="1"/>
  <c r="F985" i="6"/>
  <c r="H921" i="6" a="1"/>
  <c r="H1049" i="6" l="1"/>
  <c r="H985" i="6"/>
  <c r="H921" i="6"/>
  <c r="B1051" i="6"/>
  <c r="B987" i="6"/>
  <c r="B923" i="6"/>
  <c r="H1050" i="6" a="1"/>
  <c r="F986" i="6"/>
  <c r="H986" i="6" a="1"/>
  <c r="F922" i="6"/>
  <c r="F1050" i="6"/>
  <c r="H922" i="6" a="1"/>
  <c r="H1050" i="6" l="1"/>
  <c r="H986" i="6"/>
  <c r="H922" i="6"/>
  <c r="B988" i="6"/>
  <c r="B924" i="6"/>
  <c r="B1052" i="6"/>
  <c r="H987" i="6" a="1"/>
  <c r="F923" i="6"/>
  <c r="H923" i="6" a="1"/>
  <c r="F1051" i="6"/>
  <c r="F987" i="6"/>
  <c r="H1051" i="6" a="1"/>
  <c r="H987" i="6" l="1"/>
  <c r="H1051" i="6"/>
  <c r="H923" i="6"/>
  <c r="B1053" i="6"/>
  <c r="B989" i="6"/>
  <c r="B925" i="6"/>
  <c r="F988" i="6"/>
  <c r="F924" i="6"/>
  <c r="F1052" i="6"/>
  <c r="H924" i="6" a="1"/>
  <c r="H1052" i="6" a="1"/>
  <c r="H988" i="6" a="1"/>
  <c r="H924" i="6" l="1"/>
  <c r="H988" i="6"/>
  <c r="H1052" i="6"/>
  <c r="B990" i="6"/>
  <c r="B926" i="6"/>
  <c r="B1054" i="6"/>
  <c r="F1053" i="6"/>
  <c r="F925" i="6"/>
  <c r="H925" i="6" a="1"/>
  <c r="H1053" i="6" a="1"/>
  <c r="F989" i="6"/>
  <c r="H989" i="6" a="1"/>
  <c r="H1053" i="6" l="1"/>
  <c r="H989" i="6"/>
  <c r="H925" i="6"/>
  <c r="B991" i="6"/>
  <c r="B927" i="6"/>
  <c r="B1055" i="6"/>
  <c r="F926" i="6"/>
  <c r="H1054" i="6" a="1"/>
  <c r="F990" i="6"/>
  <c r="F1054" i="6"/>
  <c r="H990" i="6" a="1"/>
  <c r="H926" i="6" a="1"/>
  <c r="H926" i="6" l="1"/>
  <c r="H990" i="6"/>
  <c r="H1054" i="6"/>
  <c r="B992" i="6"/>
  <c r="B928" i="6"/>
  <c r="B1056" i="6"/>
  <c r="F927" i="6"/>
  <c r="H991" i="6" a="1"/>
  <c r="H1055" i="6" a="1"/>
  <c r="F991" i="6"/>
  <c r="F1055" i="6"/>
  <c r="H927" i="6" a="1"/>
  <c r="H1055" i="6" l="1"/>
  <c r="H991" i="6"/>
  <c r="H927" i="6"/>
  <c r="B1057" i="6"/>
  <c r="B993" i="6"/>
  <c r="B929" i="6"/>
  <c r="H992" i="6" a="1"/>
  <c r="F928" i="6"/>
  <c r="H1056" i="6" a="1"/>
  <c r="F1056" i="6"/>
  <c r="H928" i="6" a="1"/>
  <c r="F992" i="6"/>
  <c r="H992" i="6" l="1"/>
  <c r="H1056" i="6"/>
  <c r="H928" i="6"/>
  <c r="B1058" i="6"/>
  <c r="B1122" i="6"/>
  <c r="B994" i="6"/>
  <c r="B930" i="6"/>
  <c r="H1057" i="6" a="1"/>
  <c r="H929" i="6" a="1"/>
  <c r="F1057" i="6"/>
  <c r="F993" i="6"/>
  <c r="F929" i="6"/>
  <c r="H993" i="6" a="1"/>
  <c r="H993" i="6" l="1"/>
  <c r="H929" i="6"/>
  <c r="H1057" i="6"/>
  <c r="B1123" i="6"/>
  <c r="B995" i="6"/>
  <c r="B931" i="6"/>
  <c r="B1059" i="6"/>
  <c r="H994" i="6" a="1"/>
  <c r="F1122" i="6"/>
  <c r="F1058" i="6"/>
  <c r="H1122" i="6" a="1"/>
  <c r="F994" i="6"/>
  <c r="F930" i="6"/>
  <c r="H1058" i="6" a="1"/>
  <c r="H930" i="6" a="1"/>
  <c r="H1122" i="6" l="1"/>
  <c r="H994" i="6"/>
  <c r="H1058" i="6"/>
  <c r="H930" i="6"/>
  <c r="B1060" i="6"/>
  <c r="B1124" i="6"/>
  <c r="B996" i="6"/>
  <c r="B932" i="6"/>
  <c r="F995" i="6"/>
  <c r="F931" i="6"/>
  <c r="H995" i="6" a="1"/>
  <c r="H1123" i="6" a="1"/>
  <c r="H1059" i="6" a="1"/>
  <c r="F1059" i="6"/>
  <c r="H931" i="6" a="1"/>
  <c r="F1123" i="6"/>
  <c r="H931" i="6" l="1"/>
  <c r="H1059" i="6"/>
  <c r="H995" i="6"/>
  <c r="H1123" i="6"/>
  <c r="B1125" i="6"/>
  <c r="B997" i="6"/>
  <c r="B933" i="6"/>
  <c r="B1061" i="6"/>
  <c r="F996" i="6"/>
  <c r="H1124" i="6" a="1"/>
  <c r="H996" i="6" a="1"/>
  <c r="F1060" i="6"/>
  <c r="F1124" i="6"/>
  <c r="H932" i="6" a="1"/>
  <c r="H1060" i="6" a="1"/>
  <c r="F932" i="6"/>
  <c r="H996" i="6" l="1"/>
  <c r="H1124" i="6"/>
  <c r="H1060" i="6"/>
  <c r="H932" i="6"/>
  <c r="B1062" i="6"/>
  <c r="B1126" i="6"/>
  <c r="B998" i="6"/>
  <c r="B934" i="6"/>
  <c r="H1125" i="6" a="1"/>
  <c r="F997" i="6"/>
  <c r="H997" i="6" a="1"/>
  <c r="H933" i="6" a="1"/>
  <c r="H1061" i="6" a="1"/>
  <c r="F1061" i="6"/>
  <c r="F1125" i="6"/>
  <c r="F933" i="6"/>
  <c r="H933" i="6" l="1"/>
  <c r="H1061" i="6"/>
  <c r="H997" i="6"/>
  <c r="H1125" i="6"/>
  <c r="B1127" i="6"/>
  <c r="B999" i="6"/>
  <c r="B935" i="6"/>
  <c r="B1063" i="6"/>
  <c r="H1062" i="6" a="1"/>
  <c r="F1062" i="6"/>
  <c r="H934" i="6" a="1"/>
  <c r="F1126" i="6"/>
  <c r="H1126" i="6" a="1"/>
  <c r="F998" i="6"/>
  <c r="H998" i="6" a="1"/>
  <c r="F934" i="6"/>
  <c r="H998" i="6" l="1"/>
  <c r="H1126" i="6"/>
  <c r="H934" i="6"/>
  <c r="H1062" i="6"/>
  <c r="B1128" i="6"/>
  <c r="B1064" i="6"/>
  <c r="B1000" i="6"/>
  <c r="B936" i="6"/>
  <c r="H1063" i="6" a="1"/>
  <c r="H935" i="6" a="1"/>
  <c r="H1127" i="6" a="1"/>
  <c r="H999" i="6" a="1"/>
  <c r="F1127" i="6"/>
  <c r="F935" i="6"/>
  <c r="F999" i="6"/>
  <c r="F1063" i="6"/>
  <c r="H1127" i="6" l="1"/>
  <c r="H999" i="6"/>
  <c r="H935" i="6"/>
  <c r="H1063" i="6"/>
  <c r="B937" i="6"/>
  <c r="B1001" i="6"/>
  <c r="B1065" i="6"/>
  <c r="B1129" i="6"/>
  <c r="F1000" i="6"/>
  <c r="F1064" i="6"/>
  <c r="H936" i="6" a="1"/>
  <c r="H1064" i="6" a="1"/>
  <c r="H1000" i="6" a="1"/>
  <c r="F1128" i="6"/>
  <c r="H1128" i="6" a="1"/>
  <c r="F936" i="6"/>
  <c r="H1064" i="6" l="1"/>
  <c r="H1128" i="6"/>
  <c r="H936" i="6"/>
  <c r="H1000" i="6"/>
  <c r="B1066" i="6"/>
  <c r="B1130" i="6"/>
  <c r="B1002" i="6"/>
  <c r="B938" i="6"/>
  <c r="H1001" i="6" a="1"/>
  <c r="H937" i="6" a="1"/>
  <c r="F937" i="6"/>
  <c r="F1065" i="6"/>
  <c r="H1065" i="6" a="1"/>
  <c r="F1001" i="6"/>
  <c r="H1129" i="6" a="1"/>
  <c r="F1129" i="6"/>
  <c r="H1129" i="6" l="1"/>
  <c r="H937" i="6"/>
  <c r="H1065" i="6"/>
  <c r="H1001" i="6"/>
  <c r="B1067" i="6"/>
  <c r="B1131" i="6"/>
  <c r="B939" i="6"/>
  <c r="B1003" i="6"/>
  <c r="H1066" i="6" a="1"/>
  <c r="H1002" i="6" a="1"/>
  <c r="F938" i="6"/>
  <c r="F1130" i="6"/>
  <c r="F1002" i="6"/>
  <c r="F1066" i="6"/>
  <c r="H938" i="6" a="1"/>
  <c r="H1130" i="6" a="1"/>
  <c r="H1130" i="6" l="1"/>
  <c r="H938" i="6"/>
  <c r="H1002" i="6"/>
  <c r="H1066" i="6"/>
  <c r="B1068" i="6"/>
  <c r="B1004" i="6"/>
  <c r="B1132" i="6"/>
  <c r="H1131" i="6" a="1"/>
  <c r="F1131" i="6"/>
  <c r="H1003" i="6" a="1"/>
  <c r="F939" i="6"/>
  <c r="H1067" i="6" a="1"/>
  <c r="F1067" i="6"/>
  <c r="F1003" i="6"/>
  <c r="H939" i="6" a="1"/>
  <c r="H1131" i="6" l="1"/>
  <c r="H1067" i="6"/>
  <c r="H1003" i="6"/>
  <c r="H939" i="6"/>
  <c r="B1133" i="6"/>
  <c r="B1069" i="6"/>
  <c r="B1005" i="6"/>
  <c r="H1132" i="6" a="1"/>
  <c r="F1068" i="6"/>
  <c r="F1004" i="6"/>
  <c r="H1004" i="6" a="1"/>
  <c r="H1068" i="6" a="1"/>
  <c r="F1132" i="6"/>
  <c r="H1068" i="6" l="1"/>
  <c r="H1004" i="6"/>
  <c r="H1132" i="6"/>
  <c r="B1070" i="6"/>
  <c r="B1006" i="6"/>
  <c r="B1134" i="6"/>
  <c r="H1133" i="6" a="1"/>
  <c r="H1005" i="6" a="1"/>
  <c r="F1133" i="6"/>
  <c r="F1069" i="6"/>
  <c r="F1005" i="6"/>
  <c r="H1069" i="6" a="1"/>
  <c r="H1133" i="6" l="1"/>
  <c r="H1069" i="6"/>
  <c r="H1005" i="6"/>
  <c r="B1071" i="6"/>
  <c r="B1007" i="6"/>
  <c r="B1135" i="6"/>
  <c r="F1006" i="6"/>
  <c r="H1070" i="6" a="1"/>
  <c r="H1134" i="6" a="1"/>
  <c r="F1070" i="6"/>
  <c r="F1134" i="6"/>
  <c r="H1006" i="6" a="1"/>
  <c r="H1006" i="6" l="1"/>
  <c r="H1070" i="6"/>
  <c r="H1134" i="6"/>
  <c r="B1072" i="6"/>
  <c r="B1008" i="6"/>
  <c r="B1136" i="6"/>
  <c r="H1135" i="6" a="1"/>
  <c r="H1007" i="6" a="1"/>
  <c r="F1135" i="6"/>
  <c r="F1071" i="6"/>
  <c r="F1007" i="6"/>
  <c r="H1071" i="6" a="1"/>
  <c r="H1135" i="6" l="1"/>
  <c r="H1071" i="6"/>
  <c r="H1007" i="6"/>
  <c r="B1137" i="6"/>
  <c r="B1073" i="6"/>
  <c r="B1009" i="6"/>
  <c r="F1136" i="6"/>
  <c r="F1072" i="6"/>
  <c r="H1072" i="6" a="1"/>
  <c r="F1008" i="6"/>
  <c r="H1008" i="6" a="1"/>
  <c r="H1136" i="6" a="1"/>
  <c r="H1136" i="6" l="1"/>
  <c r="H1008" i="6"/>
  <c r="H1072" i="6"/>
  <c r="B1074" i="6"/>
  <c r="B1010" i="6"/>
  <c r="B1138" i="6"/>
  <c r="H1009" i="6" a="1"/>
  <c r="F1137" i="6"/>
  <c r="F1009" i="6"/>
  <c r="H1073" i="6" a="1"/>
  <c r="F1073" i="6"/>
  <c r="H1137" i="6" a="1"/>
  <c r="H1009" i="6" l="1"/>
  <c r="H1073" i="6"/>
  <c r="H1137" i="6"/>
  <c r="B1075" i="6"/>
  <c r="B1011" i="6"/>
  <c r="B1139" i="6"/>
  <c r="F1074" i="6"/>
  <c r="H1074" i="6" a="1"/>
  <c r="H1138" i="6" a="1"/>
  <c r="H1010" i="6" a="1"/>
  <c r="F1010" i="6"/>
  <c r="F1138" i="6"/>
  <c r="H1010" i="6" l="1"/>
  <c r="H1138" i="6"/>
  <c r="H1074" i="6"/>
  <c r="B1076" i="6"/>
  <c r="B1012" i="6"/>
  <c r="B1140" i="6"/>
  <c r="H1139" i="6" a="1"/>
  <c r="H1011" i="6" a="1"/>
  <c r="F1011" i="6"/>
  <c r="H1075" i="6" a="1"/>
  <c r="F1075" i="6"/>
  <c r="F1139" i="6"/>
  <c r="H1011" i="6" l="1"/>
  <c r="H1075" i="6"/>
  <c r="H1139" i="6"/>
  <c r="B1077" i="6"/>
  <c r="B1013" i="6"/>
  <c r="B1141" i="6"/>
  <c r="H1076" i="6" a="1"/>
  <c r="F1012" i="6"/>
  <c r="H1012" i="6" a="1"/>
  <c r="F1076" i="6"/>
  <c r="H1140" i="6" a="1"/>
  <c r="F1140" i="6"/>
  <c r="H1140" i="6" l="1"/>
  <c r="H1012" i="6"/>
  <c r="H1076" i="6"/>
  <c r="B1078" i="6"/>
  <c r="B1014" i="6"/>
  <c r="B1142" i="6"/>
  <c r="H1141" i="6" a="1"/>
  <c r="F1077" i="6"/>
  <c r="F1141" i="6"/>
  <c r="H1013" i="6" a="1"/>
  <c r="F1013" i="6"/>
  <c r="H1077" i="6" a="1"/>
  <c r="H1141" i="6" l="1"/>
  <c r="H1077" i="6"/>
  <c r="H1013" i="6"/>
  <c r="B1143" i="6"/>
  <c r="B1079" i="6"/>
  <c r="B1015" i="6"/>
  <c r="H1078" i="6" a="1"/>
  <c r="H1014" i="6" a="1"/>
  <c r="F1142" i="6"/>
  <c r="F1014" i="6"/>
  <c r="F1078" i="6"/>
  <c r="H1142" i="6" a="1"/>
  <c r="H1078" i="6" l="1"/>
  <c r="H1014" i="6"/>
  <c r="H1142" i="6"/>
  <c r="B1080" i="6"/>
  <c r="B1016" i="6"/>
  <c r="B1144" i="6"/>
  <c r="F1079" i="6"/>
  <c r="H1079" i="6" a="1"/>
  <c r="F1143" i="6"/>
  <c r="F1015" i="6"/>
  <c r="H1015" i="6" a="1"/>
  <c r="H1143" i="6" a="1"/>
  <c r="H1015" i="6" l="1"/>
  <c r="H1079" i="6"/>
  <c r="H1143" i="6"/>
  <c r="B1081" i="6"/>
  <c r="B1017" i="6"/>
  <c r="B1145" i="6"/>
  <c r="F1080" i="6"/>
  <c r="F1016" i="6"/>
  <c r="H1016" i="6" a="1"/>
  <c r="F1144" i="6"/>
  <c r="H1080" i="6" a="1"/>
  <c r="H1144" i="6" a="1"/>
  <c r="H1144" i="6" l="1"/>
  <c r="H1080" i="6"/>
  <c r="H1016" i="6"/>
  <c r="B1082" i="6"/>
  <c r="B1018" i="6"/>
  <c r="B1146" i="6"/>
  <c r="H1017" i="6" a="1"/>
  <c r="F1081" i="6"/>
  <c r="H1081" i="6" a="1"/>
  <c r="H1145" i="6" a="1"/>
  <c r="F1017" i="6"/>
  <c r="F1145" i="6"/>
  <c r="H1017" i="6" l="1"/>
  <c r="H1081" i="6"/>
  <c r="H1145" i="6"/>
  <c r="B1147" i="6"/>
  <c r="B1083" i="6"/>
  <c r="B1019" i="6"/>
  <c r="H1146" i="6" a="1"/>
  <c r="H1082" i="6" a="1"/>
  <c r="F1082" i="6"/>
  <c r="H1018" i="6" a="1"/>
  <c r="F1018" i="6"/>
  <c r="F1146" i="6"/>
  <c r="H1082" i="6" l="1"/>
  <c r="H1018" i="6"/>
  <c r="H1146" i="6"/>
  <c r="B1148" i="6"/>
  <c r="B1084" i="6"/>
  <c r="B1020" i="6"/>
  <c r="H1147" i="6" a="1"/>
  <c r="F1083" i="6"/>
  <c r="H1019" i="6" a="1"/>
  <c r="F1019" i="6"/>
  <c r="H1083" i="6" a="1"/>
  <c r="F1147" i="6"/>
  <c r="H1083" i="6" l="1"/>
  <c r="H1147" i="6"/>
  <c r="H1019" i="6"/>
  <c r="B1085" i="6"/>
  <c r="B1021" i="6"/>
  <c r="B1213" i="6"/>
  <c r="B1149" i="6"/>
  <c r="H1020" i="6" a="1"/>
  <c r="F1020" i="6"/>
  <c r="H1148" i="6" a="1"/>
  <c r="F1084" i="6"/>
  <c r="F1148" i="6"/>
  <c r="H1084" i="6" a="1"/>
  <c r="H1020" i="6" l="1"/>
  <c r="H1084" i="6"/>
  <c r="H1148" i="6"/>
  <c r="B1086" i="6"/>
  <c r="B1022" i="6"/>
  <c r="B1214" i="6"/>
  <c r="B1150" i="6"/>
  <c r="H1085" i="6" a="1"/>
  <c r="F1085" i="6"/>
  <c r="F1149" i="6"/>
  <c r="F1021" i="6"/>
  <c r="H1021" i="6" a="1"/>
  <c r="H1149" i="6" a="1"/>
  <c r="H1213" i="6" a="1"/>
  <c r="F1213" i="6"/>
  <c r="H1085" i="6" l="1"/>
  <c r="H1021" i="6"/>
  <c r="H1149" i="6"/>
  <c r="H1213" i="6"/>
  <c r="B1215" i="6"/>
  <c r="B1087" i="6"/>
  <c r="B1023" i="6"/>
  <c r="B1151" i="6"/>
  <c r="H1022" i="6" a="1"/>
  <c r="F1022" i="6"/>
  <c r="F1150" i="6"/>
  <c r="F1214" i="6"/>
  <c r="F1086" i="6"/>
  <c r="H1214" i="6" a="1"/>
  <c r="H1150" i="6" a="1"/>
  <c r="H1086" i="6" a="1"/>
  <c r="H1150" i="6" l="1"/>
  <c r="H1086" i="6"/>
  <c r="H1214" i="6"/>
  <c r="H1022" i="6"/>
  <c r="B1152" i="6"/>
  <c r="B1216" i="6"/>
  <c r="B1088" i="6"/>
  <c r="B1024" i="6"/>
  <c r="H1215" i="6" a="1"/>
  <c r="H1151" i="6" a="1"/>
  <c r="F1023" i="6"/>
  <c r="H1023" i="6" a="1"/>
  <c r="F1087" i="6"/>
  <c r="F1215" i="6"/>
  <c r="F1151" i="6"/>
  <c r="H1087" i="6" a="1"/>
  <c r="H1087" i="6" l="1"/>
  <c r="H1023" i="6"/>
  <c r="H1151" i="6"/>
  <c r="H1215" i="6"/>
  <c r="B1089" i="6"/>
  <c r="B1025" i="6"/>
  <c r="B1153" i="6"/>
  <c r="B1217" i="6"/>
  <c r="F1216" i="6"/>
  <c r="F1024" i="6"/>
  <c r="H1216" i="6" a="1"/>
  <c r="H1088" i="6" a="1"/>
  <c r="F1088" i="6"/>
  <c r="H1024" i="6" a="1"/>
  <c r="F1152" i="6"/>
  <c r="H1152" i="6" a="1"/>
  <c r="H1024" i="6" l="1"/>
  <c r="H1088" i="6"/>
  <c r="H1216" i="6"/>
  <c r="H1152" i="6"/>
  <c r="B1154" i="6"/>
  <c r="B1218" i="6"/>
  <c r="B1090" i="6"/>
  <c r="B1026" i="6"/>
  <c r="F1153" i="6"/>
  <c r="H1153" i="6" a="1"/>
  <c r="F1217" i="6"/>
  <c r="F1025" i="6"/>
  <c r="H1217" i="6" a="1"/>
  <c r="F1089" i="6"/>
  <c r="H1025" i="6" a="1"/>
  <c r="H1089" i="6" a="1"/>
  <c r="H1025" i="6" l="1"/>
  <c r="H1089" i="6"/>
  <c r="H1153" i="6"/>
  <c r="H1217" i="6"/>
  <c r="B1155" i="6"/>
  <c r="B1219" i="6"/>
  <c r="B1091" i="6"/>
  <c r="B1027" i="6"/>
  <c r="F1154" i="6"/>
  <c r="H1154" i="6" a="1"/>
  <c r="F1218" i="6"/>
  <c r="F1090" i="6"/>
  <c r="H1026" i="6" a="1"/>
  <c r="H1218" i="6" a="1"/>
  <c r="H1090" i="6" a="1"/>
  <c r="F1026" i="6"/>
  <c r="H1026" i="6" l="1"/>
  <c r="H1090" i="6"/>
  <c r="H1154" i="6"/>
  <c r="H1218" i="6"/>
  <c r="B1220" i="6"/>
  <c r="B1092" i="6"/>
  <c r="B1028" i="6"/>
  <c r="B1156" i="6"/>
  <c r="H1219" i="6" a="1"/>
  <c r="F1027" i="6"/>
  <c r="F1091" i="6"/>
  <c r="H1091" i="6" a="1"/>
  <c r="F1155" i="6"/>
  <c r="F1219" i="6"/>
  <c r="H1155" i="6" a="1"/>
  <c r="H1027" i="6" a="1"/>
  <c r="H1027" i="6" l="1"/>
  <c r="H1155" i="6"/>
  <c r="H1091" i="6"/>
  <c r="H1219" i="6"/>
  <c r="B1221" i="6"/>
  <c r="B1157" i="6"/>
  <c r="B1093" i="6"/>
  <c r="B1029" i="6"/>
  <c r="H1220" i="6" a="1"/>
  <c r="H1092" i="6" a="1"/>
  <c r="F1028" i="6"/>
  <c r="H1028" i="6" a="1"/>
  <c r="H1156" i="6" a="1"/>
  <c r="F1156" i="6"/>
  <c r="F1220" i="6"/>
  <c r="F1092" i="6"/>
  <c r="H1028" i="6" l="1"/>
  <c r="H1092" i="6"/>
  <c r="H1156" i="6"/>
  <c r="H1220" i="6"/>
  <c r="B1222" i="6"/>
  <c r="B1094" i="6"/>
  <c r="B1030" i="6"/>
  <c r="B1158" i="6"/>
  <c r="F1029" i="6"/>
  <c r="H1093" i="6" a="1"/>
  <c r="H1157" i="6" a="1"/>
  <c r="H1029" i="6" a="1"/>
  <c r="F1157" i="6"/>
  <c r="F1221" i="6"/>
  <c r="F1093" i="6"/>
  <c r="H1221" i="6" a="1"/>
  <c r="H1221" i="6" l="1"/>
  <c r="H1157" i="6"/>
  <c r="H1029" i="6"/>
  <c r="H1093" i="6"/>
  <c r="B1159" i="6"/>
  <c r="B1223" i="6"/>
  <c r="B1095" i="6"/>
  <c r="H1158" i="6" a="1"/>
  <c r="F1030" i="6"/>
  <c r="F1222" i="6"/>
  <c r="H1030" i="6" a="1"/>
  <c r="H1094" i="6" a="1"/>
  <c r="F1158" i="6"/>
  <c r="F1094" i="6"/>
  <c r="H1222" i="6" a="1"/>
  <c r="H1030" i="6" l="1"/>
  <c r="H1094" i="6"/>
  <c r="H1158" i="6"/>
  <c r="H1222" i="6"/>
  <c r="B1160" i="6"/>
  <c r="B1096" i="6"/>
  <c r="B1224" i="6"/>
  <c r="H1095" i="6" a="1"/>
  <c r="F1159" i="6"/>
  <c r="F1095" i="6"/>
  <c r="H1159" i="6" a="1"/>
  <c r="F1223" i="6"/>
  <c r="H1223" i="6" a="1"/>
  <c r="H1095" i="6" l="1"/>
  <c r="H1159" i="6"/>
  <c r="H1223" i="6"/>
  <c r="B1225" i="6"/>
  <c r="B1161" i="6"/>
  <c r="B1097" i="6"/>
  <c r="H1224" i="6" a="1"/>
  <c r="F1160" i="6"/>
  <c r="H1096" i="6" a="1"/>
  <c r="F1096" i="6"/>
  <c r="F1224" i="6"/>
  <c r="H1160" i="6" a="1"/>
  <c r="H1096" i="6" l="1"/>
  <c r="H1224" i="6"/>
  <c r="H1160" i="6"/>
  <c r="B1226" i="6"/>
  <c r="B1162" i="6"/>
  <c r="B1098" i="6"/>
  <c r="H1161" i="6" a="1"/>
  <c r="H1097" i="6" a="1"/>
  <c r="F1161" i="6"/>
  <c r="F1097" i="6"/>
  <c r="F1225" i="6"/>
  <c r="H1225" i="6" a="1"/>
  <c r="H1161" i="6" l="1"/>
  <c r="H1225" i="6"/>
  <c r="H1097" i="6"/>
  <c r="B1163" i="6"/>
  <c r="B1099" i="6"/>
  <c r="B1227" i="6"/>
  <c r="F1226" i="6"/>
  <c r="F1162" i="6"/>
  <c r="H1226" i="6" a="1"/>
  <c r="H1098" i="6" a="1"/>
  <c r="F1098" i="6"/>
  <c r="H1162" i="6" a="1"/>
  <c r="H1162" i="6" l="1"/>
  <c r="H1226" i="6"/>
  <c r="H1098" i="6"/>
  <c r="B1164" i="6"/>
  <c r="B1100" i="6"/>
  <c r="B1228" i="6"/>
  <c r="H1099" i="6" a="1"/>
  <c r="F1163" i="6"/>
  <c r="F1227" i="6"/>
  <c r="H1163" i="6" a="1"/>
  <c r="F1099" i="6"/>
  <c r="H1227" i="6" a="1"/>
  <c r="H1099" i="6" l="1"/>
  <c r="H1163" i="6"/>
  <c r="H1227" i="6"/>
  <c r="B1165" i="6"/>
  <c r="B1101" i="6"/>
  <c r="B1229" i="6"/>
  <c r="H1228" i="6" a="1"/>
  <c r="H1100" i="6" a="1"/>
  <c r="F1228" i="6"/>
  <c r="F1164" i="6"/>
  <c r="F1100" i="6"/>
  <c r="H1164" i="6" a="1"/>
  <c r="H1228" i="6" l="1"/>
  <c r="H1164" i="6"/>
  <c r="H1100" i="6"/>
  <c r="B1102" i="6"/>
  <c r="B1166" i="6"/>
  <c r="B1230" i="6"/>
  <c r="F1165" i="6"/>
  <c r="H1165" i="6" a="1"/>
  <c r="F1229" i="6"/>
  <c r="H1101" i="6" a="1"/>
  <c r="H1229" i="6" a="1"/>
  <c r="F1101" i="6"/>
  <c r="H1229" i="6" l="1"/>
  <c r="H1165" i="6"/>
  <c r="H1101" i="6"/>
  <c r="B1103" i="6"/>
  <c r="B1167" i="6"/>
  <c r="B1231" i="6"/>
  <c r="F1102" i="6"/>
  <c r="H1102" i="6" a="1"/>
  <c r="H1230" i="6" a="1"/>
  <c r="F1166" i="6"/>
  <c r="F1230" i="6"/>
  <c r="H1166" i="6" a="1"/>
  <c r="H1102" i="6" l="1"/>
  <c r="H1230" i="6"/>
  <c r="H1166" i="6"/>
  <c r="B1232" i="6"/>
  <c r="B1168" i="6"/>
  <c r="B1104" i="6"/>
  <c r="H1231" i="6" a="1"/>
  <c r="H1103" i="6" a="1"/>
  <c r="F1231" i="6"/>
  <c r="F1103" i="6"/>
  <c r="F1167" i="6"/>
  <c r="H1167" i="6" a="1"/>
  <c r="H1167" i="6" l="1"/>
  <c r="H1231" i="6"/>
  <c r="H1103" i="6"/>
  <c r="B1169" i="6"/>
  <c r="B1105" i="6"/>
  <c r="B1233" i="6"/>
  <c r="H1104" i="6" a="1"/>
  <c r="F1232" i="6"/>
  <c r="F1104" i="6"/>
  <c r="H1168" i="6" a="1"/>
  <c r="H1232" i="6" a="1"/>
  <c r="F1168" i="6"/>
  <c r="H1232" i="6" l="1"/>
  <c r="H1104" i="6"/>
  <c r="H1168" i="6"/>
  <c r="B1170" i="6"/>
  <c r="B1106" i="6"/>
  <c r="B1234" i="6"/>
  <c r="H1169" i="6" a="1"/>
  <c r="F1105" i="6"/>
  <c r="H1233" i="6" a="1"/>
  <c r="F1169" i="6"/>
  <c r="H1105" i="6" a="1"/>
  <c r="F1233" i="6"/>
  <c r="H1105" i="6" l="1"/>
  <c r="H1233" i="6"/>
  <c r="H1169" i="6"/>
  <c r="B1171" i="6"/>
  <c r="B1107" i="6"/>
  <c r="B1235" i="6"/>
  <c r="F1170" i="6"/>
  <c r="F1106" i="6"/>
  <c r="F1234" i="6"/>
  <c r="H1106" i="6" a="1"/>
  <c r="H1234" i="6" a="1"/>
  <c r="H1170" i="6" a="1"/>
  <c r="H1170" i="6" l="1"/>
  <c r="H1234" i="6"/>
  <c r="H1106" i="6"/>
  <c r="B1172" i="6"/>
  <c r="B1108" i="6"/>
  <c r="B1236" i="6"/>
  <c r="H1171" i="6" a="1"/>
  <c r="F1107" i="6"/>
  <c r="H1107" i="6" a="1"/>
  <c r="F1171" i="6"/>
  <c r="H1235" i="6" a="1"/>
  <c r="F1235" i="6"/>
  <c r="H1235" i="6" l="1"/>
  <c r="H1107" i="6"/>
  <c r="H1171" i="6"/>
  <c r="B1237" i="6"/>
  <c r="B1173" i="6"/>
  <c r="B1109" i="6"/>
  <c r="F1172" i="6"/>
  <c r="H1108" i="6" a="1"/>
  <c r="H1172" i="6" a="1"/>
  <c r="F1108" i="6"/>
  <c r="H1236" i="6" a="1"/>
  <c r="F1236" i="6"/>
  <c r="H1236" i="6" l="1"/>
  <c r="H1108" i="6"/>
  <c r="H1172" i="6"/>
  <c r="B1110" i="6"/>
  <c r="B1174" i="6"/>
  <c r="B1238" i="6"/>
  <c r="F1109" i="6"/>
  <c r="H1237" i="6" a="1"/>
  <c r="H1173" i="6" a="1"/>
  <c r="H1109" i="6" a="1"/>
  <c r="F1237" i="6"/>
  <c r="F1173" i="6"/>
  <c r="H1237" i="6" l="1"/>
  <c r="H1173" i="6"/>
  <c r="H1109" i="6"/>
  <c r="B1239" i="6"/>
  <c r="B1111" i="6"/>
  <c r="B1175" i="6"/>
  <c r="H1110" i="6" a="1"/>
  <c r="F1110" i="6"/>
  <c r="H1238" i="6" a="1"/>
  <c r="F1238" i="6"/>
  <c r="H1174" i="6" a="1"/>
  <c r="F1174" i="6"/>
  <c r="H1174" i="6" l="1"/>
  <c r="H1110" i="6"/>
  <c r="H1238" i="6"/>
  <c r="B1176" i="6"/>
  <c r="B1112" i="6"/>
  <c r="B1304" i="6"/>
  <c r="B1240" i="6"/>
  <c r="H1239" i="6" a="1"/>
  <c r="H1111" i="6" a="1"/>
  <c r="F1175" i="6"/>
  <c r="H1175" i="6" a="1"/>
  <c r="F1239" i="6"/>
  <c r="F1111" i="6"/>
  <c r="H1111" i="6" l="1"/>
  <c r="H1239" i="6"/>
  <c r="H1175" i="6"/>
  <c r="B1177" i="6"/>
  <c r="B1113" i="6"/>
  <c r="B1241" i="6"/>
  <c r="B1305" i="6"/>
  <c r="H1240" i="6" a="1"/>
  <c r="H1304" i="6" a="1"/>
  <c r="F1176" i="6"/>
  <c r="F1304" i="6"/>
  <c r="H1112" i="6" a="1"/>
  <c r="F1240" i="6"/>
  <c r="F1112" i="6"/>
  <c r="H1176" i="6" a="1"/>
  <c r="H1304" i="6" l="1"/>
  <c r="H1240" i="6"/>
  <c r="H1112" i="6"/>
  <c r="H1176" i="6"/>
  <c r="B1178" i="6"/>
  <c r="B1114" i="6"/>
  <c r="B1242" i="6"/>
  <c r="B1306" i="6"/>
  <c r="F1305" i="6"/>
  <c r="F1241" i="6"/>
  <c r="H1177" i="6" a="1"/>
  <c r="H1241" i="6" a="1"/>
  <c r="F1177" i="6"/>
  <c r="H1113" i="6" a="1"/>
  <c r="F1113" i="6"/>
  <c r="H1305" i="6" a="1"/>
  <c r="H1241" i="6" l="1"/>
  <c r="H1113" i="6"/>
  <c r="H1177" i="6"/>
  <c r="H1305" i="6"/>
  <c r="B1243" i="6"/>
  <c r="B1307" i="6"/>
  <c r="B1179" i="6"/>
  <c r="B1115" i="6"/>
  <c r="F1306" i="6"/>
  <c r="F1178" i="6"/>
  <c r="F1114" i="6"/>
  <c r="H1306" i="6" a="1"/>
  <c r="H1242" i="6" a="1"/>
  <c r="H1114" i="6" a="1"/>
  <c r="F1242" i="6"/>
  <c r="H1178" i="6" a="1"/>
  <c r="H1114" i="6" l="1"/>
  <c r="H1306" i="6"/>
  <c r="H1242" i="6"/>
  <c r="H1178" i="6"/>
  <c r="B1180" i="6"/>
  <c r="B1116" i="6"/>
  <c r="B1308" i="6"/>
  <c r="B1244" i="6"/>
  <c r="H1243" i="6" a="1"/>
  <c r="F1115" i="6"/>
  <c r="H1179" i="6" a="1"/>
  <c r="F1307" i="6"/>
  <c r="H1307" i="6" a="1"/>
  <c r="F1243" i="6"/>
  <c r="F1179" i="6"/>
  <c r="H1115" i="6" a="1"/>
  <c r="H1179" i="6" l="1"/>
  <c r="H1115" i="6"/>
  <c r="H1307" i="6"/>
  <c r="H1243" i="6"/>
  <c r="B1245" i="6"/>
  <c r="B1309" i="6"/>
  <c r="B1181" i="6"/>
  <c r="B1117" i="6"/>
  <c r="F1244" i="6"/>
  <c r="F1180" i="6"/>
  <c r="H1180" i="6" a="1"/>
  <c r="F1116" i="6"/>
  <c r="H1116" i="6" a="1"/>
  <c r="F1308" i="6"/>
  <c r="H1308" i="6" a="1"/>
  <c r="H1244" i="6" a="1"/>
  <c r="H1116" i="6" l="1"/>
  <c r="H1308" i="6"/>
  <c r="H1180" i="6"/>
  <c r="H1244" i="6"/>
  <c r="B1246" i="6"/>
  <c r="B1310" i="6"/>
  <c r="B1118" i="6"/>
  <c r="B1182" i="6"/>
  <c r="H1181" i="6" a="1"/>
  <c r="F1181" i="6"/>
  <c r="F1309" i="6"/>
  <c r="H1245" i="6" a="1"/>
  <c r="F1117" i="6"/>
  <c r="F1245" i="6"/>
  <c r="H1117" i="6" a="1"/>
  <c r="H1309" i="6" a="1"/>
  <c r="H1117" i="6" l="1"/>
  <c r="H1309" i="6"/>
  <c r="H1245" i="6"/>
  <c r="H1181" i="6"/>
  <c r="B1247" i="6"/>
  <c r="B1119" i="6"/>
  <c r="B1183" i="6"/>
  <c r="B1311" i="6"/>
  <c r="F1118" i="6"/>
  <c r="H1118" i="6" a="1"/>
  <c r="F1246" i="6"/>
  <c r="F1182" i="6"/>
  <c r="H1310" i="6" a="1"/>
  <c r="H1182" i="6" a="1"/>
  <c r="F1310" i="6"/>
  <c r="H1246" i="6" a="1"/>
  <c r="H1182" i="6" l="1"/>
  <c r="H1118" i="6"/>
  <c r="H1246" i="6"/>
  <c r="H1310" i="6"/>
  <c r="B1312" i="6"/>
  <c r="B1184" i="6"/>
  <c r="B1120" i="6"/>
  <c r="B1248" i="6"/>
  <c r="H1119" i="6" a="1"/>
  <c r="H1247" i="6" a="1"/>
  <c r="H1183" i="6" a="1"/>
  <c r="F1183" i="6"/>
  <c r="F1311" i="6"/>
  <c r="F1119" i="6"/>
  <c r="F1247" i="6"/>
  <c r="H1311" i="6" a="1"/>
  <c r="H1311" i="6" l="1"/>
  <c r="H1183" i="6"/>
  <c r="H1247" i="6"/>
  <c r="H1119" i="6"/>
  <c r="B1249" i="6"/>
  <c r="B1313" i="6"/>
  <c r="B1185" i="6"/>
  <c r="B1121" i="6"/>
  <c r="F1248" i="6"/>
  <c r="H1312" i="6" a="1"/>
  <c r="H1120" i="6" a="1"/>
  <c r="F1312" i="6"/>
  <c r="H1184" i="6" a="1"/>
  <c r="F1120" i="6"/>
  <c r="F1184" i="6"/>
  <c r="H1248" i="6" a="1"/>
  <c r="H1120" i="6" l="1"/>
  <c r="H1184" i="6"/>
  <c r="H1312" i="6"/>
  <c r="H1248" i="6"/>
  <c r="B1186" i="6"/>
  <c r="B1250" i="6"/>
  <c r="B1314" i="6"/>
  <c r="F1121" i="6"/>
  <c r="F1313" i="6"/>
  <c r="F1185" i="6"/>
  <c r="H1185" i="6" a="1"/>
  <c r="H1121" i="6" a="1"/>
  <c r="H1313" i="6" a="1"/>
  <c r="F1249" i="6"/>
  <c r="H1249" i="6" a="1"/>
  <c r="H1249" i="6" l="1"/>
  <c r="H1121" i="6"/>
  <c r="H1185" i="6"/>
  <c r="H1313" i="6"/>
  <c r="B1251" i="6"/>
  <c r="B1187" i="6"/>
  <c r="B1315" i="6"/>
  <c r="H1186" i="6" a="1"/>
  <c r="F1186" i="6"/>
  <c r="F1314" i="6"/>
  <c r="H1314" i="6" a="1"/>
  <c r="H1250" i="6" a="1"/>
  <c r="F1250" i="6"/>
  <c r="H1186" i="6" l="1"/>
  <c r="H1250" i="6"/>
  <c r="H1314" i="6"/>
  <c r="B1252" i="6"/>
  <c r="B1188" i="6"/>
  <c r="B1316" i="6"/>
  <c r="H1187" i="6" a="1"/>
  <c r="F1315" i="6"/>
  <c r="F1187" i="6"/>
  <c r="H1315" i="6" a="1"/>
  <c r="F1251" i="6"/>
  <c r="H1251" i="6" a="1"/>
  <c r="H1187" i="6" l="1"/>
  <c r="H1251" i="6"/>
  <c r="H1315" i="6"/>
  <c r="B1253" i="6"/>
  <c r="B1189" i="6"/>
  <c r="B1317" i="6"/>
  <c r="H1316" i="6" a="1"/>
  <c r="F1316" i="6"/>
  <c r="H1252" i="6" a="1"/>
  <c r="H1188" i="6" a="1"/>
  <c r="F1252" i="6"/>
  <c r="F1188" i="6"/>
  <c r="H1316" i="6" l="1"/>
  <c r="H1252" i="6"/>
  <c r="H1188" i="6"/>
  <c r="B1254" i="6"/>
  <c r="B1190" i="6"/>
  <c r="B1318" i="6"/>
  <c r="H1189" i="6" a="1"/>
  <c r="F1189" i="6"/>
  <c r="F1253" i="6"/>
  <c r="H1317" i="6" a="1"/>
  <c r="H1253" i="6" a="1"/>
  <c r="F1317" i="6"/>
  <c r="H1189" i="6" l="1"/>
  <c r="H1253" i="6"/>
  <c r="H1317" i="6"/>
  <c r="B1255" i="6"/>
  <c r="B1191" i="6"/>
  <c r="B1319" i="6"/>
  <c r="H1254" i="6" a="1"/>
  <c r="F1318" i="6"/>
  <c r="F1190" i="6"/>
  <c r="H1190" i="6" a="1"/>
  <c r="H1318" i="6" a="1"/>
  <c r="F1254" i="6"/>
  <c r="H1190" i="6" l="1"/>
  <c r="H1254" i="6"/>
  <c r="H1318" i="6"/>
  <c r="B1256" i="6"/>
  <c r="B1192" i="6"/>
  <c r="B1320" i="6"/>
  <c r="F1255" i="6"/>
  <c r="H1255" i="6" a="1"/>
  <c r="F1191" i="6"/>
  <c r="F1319" i="6"/>
  <c r="H1191" i="6" a="1"/>
  <c r="H1319" i="6" a="1"/>
  <c r="H1255" i="6" l="1"/>
  <c r="H1191" i="6"/>
  <c r="H1319" i="6"/>
  <c r="B1257" i="6"/>
  <c r="B1193" i="6"/>
  <c r="B1321" i="6"/>
  <c r="F1256" i="6"/>
  <c r="F1192" i="6"/>
  <c r="H1192" i="6" a="1"/>
  <c r="H1256" i="6" a="1"/>
  <c r="F1320" i="6"/>
  <c r="H1320" i="6" a="1"/>
  <c r="H1256" i="6" l="1"/>
  <c r="H1192" i="6"/>
  <c r="H1320" i="6"/>
  <c r="B1322" i="6"/>
  <c r="B1258" i="6"/>
  <c r="B1194" i="6"/>
  <c r="H1321" i="6" a="1"/>
  <c r="H1257" i="6" a="1"/>
  <c r="F1257" i="6"/>
  <c r="F1193" i="6"/>
  <c r="F1321" i="6"/>
  <c r="H1193" i="6" a="1"/>
  <c r="H1321" i="6" l="1"/>
  <c r="H1193" i="6"/>
  <c r="H1257" i="6"/>
  <c r="B1259" i="6"/>
  <c r="B1195" i="6"/>
  <c r="B1323" i="6"/>
  <c r="F1194" i="6"/>
  <c r="H1258" i="6" a="1"/>
  <c r="F1258" i="6"/>
  <c r="H1322" i="6" a="1"/>
  <c r="F1322" i="6"/>
  <c r="H1194" i="6" a="1"/>
  <c r="H1322" i="6" l="1"/>
  <c r="H1258" i="6"/>
  <c r="H1194" i="6"/>
  <c r="B1324" i="6"/>
  <c r="B1260" i="6"/>
  <c r="B1196" i="6"/>
  <c r="H1195" i="6" a="1"/>
  <c r="H1323" i="6" a="1"/>
  <c r="F1259" i="6"/>
  <c r="F1323" i="6"/>
  <c r="H1259" i="6" a="1"/>
  <c r="F1195" i="6"/>
  <c r="H1323" i="6" l="1"/>
  <c r="H1195" i="6"/>
  <c r="H1259" i="6"/>
  <c r="B1261" i="6"/>
  <c r="B1197" i="6"/>
  <c r="B1325" i="6"/>
  <c r="H1260" i="6" a="1"/>
  <c r="H1324" i="6" a="1"/>
  <c r="F1196" i="6"/>
  <c r="F1324" i="6"/>
  <c r="H1196" i="6" a="1"/>
  <c r="F1260" i="6"/>
  <c r="H1324" i="6" l="1"/>
  <c r="H1260" i="6"/>
  <c r="H1196" i="6"/>
  <c r="B1326" i="6"/>
  <c r="B1262" i="6"/>
  <c r="B1198" i="6"/>
  <c r="H1197" i="6" a="1"/>
  <c r="H1261" i="6" a="1"/>
  <c r="H1325" i="6" a="1"/>
  <c r="F1261" i="6"/>
  <c r="F1325" i="6"/>
  <c r="F1197" i="6"/>
  <c r="H1325" i="6" l="1"/>
  <c r="H1261" i="6"/>
  <c r="H1197" i="6"/>
  <c r="B1263" i="6"/>
  <c r="B1199" i="6"/>
  <c r="B1327" i="6"/>
  <c r="H1326" i="6" a="1"/>
  <c r="H1262" i="6" a="1"/>
  <c r="F1198" i="6"/>
  <c r="F1326" i="6"/>
  <c r="F1262" i="6"/>
  <c r="H1198" i="6" a="1"/>
  <c r="H1262" i="6" l="1"/>
  <c r="H1326" i="6"/>
  <c r="H1198" i="6"/>
  <c r="B1200" i="6"/>
  <c r="B1264" i="6"/>
  <c r="B1328" i="6"/>
  <c r="F1327" i="6"/>
  <c r="H1327" i="6" a="1"/>
  <c r="H1263" i="6" a="1"/>
  <c r="F1199" i="6"/>
  <c r="F1263" i="6"/>
  <c r="H1199" i="6" a="1"/>
  <c r="H1263" i="6" l="1"/>
  <c r="H1327" i="6"/>
  <c r="H1199" i="6"/>
  <c r="B1329" i="6"/>
  <c r="B1265" i="6"/>
  <c r="B1201" i="6"/>
  <c r="H1200" i="6" a="1"/>
  <c r="F1328" i="6"/>
  <c r="F1264" i="6"/>
  <c r="H1328" i="6" a="1"/>
  <c r="H1264" i="6" a="1"/>
  <c r="F1200" i="6"/>
  <c r="H1200" i="6" l="1"/>
  <c r="H1264" i="6"/>
  <c r="H1328" i="6"/>
  <c r="B1202" i="6"/>
  <c r="B1266" i="6"/>
  <c r="B1330" i="6"/>
  <c r="H1329" i="6" a="1"/>
  <c r="H1201" i="6" a="1"/>
  <c r="F1329" i="6"/>
  <c r="H1265" i="6" a="1"/>
  <c r="F1201" i="6"/>
  <c r="F1265" i="6"/>
  <c r="H1329" i="6" l="1"/>
  <c r="H1265" i="6"/>
  <c r="H1201" i="6"/>
  <c r="B1331" i="6"/>
  <c r="B1267" i="6"/>
  <c r="B1203" i="6"/>
  <c r="B1395" i="6"/>
  <c r="H1330" i="6" a="1"/>
  <c r="H1202" i="6" a="1"/>
  <c r="F1330" i="6"/>
  <c r="F1266" i="6"/>
  <c r="H1266" i="6" a="1"/>
  <c r="F1202" i="6"/>
  <c r="H1330" i="6" l="1"/>
  <c r="H1266" i="6"/>
  <c r="H1202" i="6"/>
  <c r="B1396" i="6"/>
  <c r="B1268" i="6"/>
  <c r="B1204" i="6"/>
  <c r="B1332" i="6"/>
  <c r="F1331" i="6"/>
  <c r="F1395" i="6"/>
  <c r="H1203" i="6" a="1"/>
  <c r="H1331" i="6" a="1"/>
  <c r="H1395" i="6" a="1"/>
  <c r="H1267" i="6" a="1"/>
  <c r="F1267" i="6"/>
  <c r="F1203" i="6"/>
  <c r="H1331" i="6" l="1"/>
  <c r="H1395" i="6"/>
  <c r="H1267" i="6"/>
  <c r="H1203" i="6"/>
  <c r="B1333" i="6"/>
  <c r="B1397" i="6"/>
  <c r="B1205" i="6"/>
  <c r="B1269" i="6"/>
  <c r="H1332" i="6" a="1"/>
  <c r="F1268" i="6"/>
  <c r="F1204" i="6"/>
  <c r="H1268" i="6" a="1"/>
  <c r="F1332" i="6"/>
  <c r="H1396" i="6" a="1"/>
  <c r="F1396" i="6"/>
  <c r="H1204" i="6" a="1"/>
  <c r="H1204" i="6" l="1"/>
  <c r="H1396" i="6"/>
  <c r="H1268" i="6"/>
  <c r="H1332" i="6"/>
  <c r="B1334" i="6"/>
  <c r="B1270" i="6"/>
  <c r="B1206" i="6"/>
  <c r="B1398" i="6"/>
  <c r="H1205" i="6" a="1"/>
  <c r="F1397" i="6"/>
  <c r="F1205" i="6"/>
  <c r="F1269" i="6"/>
  <c r="F1333" i="6"/>
  <c r="H1269" i="6" a="1"/>
  <c r="H1397" i="6" a="1"/>
  <c r="H1333" i="6" a="1"/>
  <c r="H1333" i="6" l="1"/>
  <c r="H1397" i="6"/>
  <c r="H1269" i="6"/>
  <c r="H1205" i="6"/>
  <c r="B1271" i="6"/>
  <c r="B1207" i="6"/>
  <c r="B1399" i="6"/>
  <c r="B1335" i="6"/>
  <c r="F1334" i="6"/>
  <c r="F1398" i="6"/>
  <c r="H1334" i="6" a="1"/>
  <c r="H1398" i="6" a="1"/>
  <c r="F1270" i="6"/>
  <c r="F1206" i="6"/>
  <c r="H1270" i="6" a="1"/>
  <c r="H1206" i="6" a="1"/>
  <c r="H1398" i="6" l="1"/>
  <c r="H1334" i="6"/>
  <c r="H1206" i="6"/>
  <c r="H1270" i="6"/>
  <c r="B1400" i="6"/>
  <c r="B1336" i="6"/>
  <c r="B1272" i="6"/>
  <c r="B1208" i="6"/>
  <c r="H1335" i="6" a="1"/>
  <c r="H1271" i="6" a="1"/>
  <c r="H1399" i="6" a="1"/>
  <c r="F1399" i="6"/>
  <c r="F1207" i="6"/>
  <c r="F1271" i="6"/>
  <c r="H1207" i="6" a="1"/>
  <c r="F1335" i="6"/>
  <c r="H1399" i="6" l="1"/>
  <c r="H1271" i="6"/>
  <c r="H1207" i="6"/>
  <c r="H1335" i="6"/>
  <c r="B1401" i="6"/>
  <c r="B1209" i="6"/>
  <c r="B1273" i="6"/>
  <c r="B1337" i="6"/>
  <c r="H1400" i="6" a="1"/>
  <c r="F1400" i="6"/>
  <c r="H1336" i="6" a="1"/>
  <c r="H1272" i="6" a="1"/>
  <c r="F1336" i="6"/>
  <c r="H1208" i="6" a="1"/>
  <c r="F1208" i="6"/>
  <c r="F1272" i="6"/>
  <c r="H1272" i="6" l="1"/>
  <c r="H1208" i="6"/>
  <c r="H1336" i="6"/>
  <c r="H1400" i="6"/>
  <c r="B1402" i="6"/>
  <c r="B1338" i="6"/>
  <c r="B1210" i="6"/>
  <c r="B1274" i="6"/>
  <c r="F1273" i="6"/>
  <c r="H1337" i="6" a="1"/>
  <c r="F1337" i="6"/>
  <c r="F1401" i="6"/>
  <c r="H1209" i="6" a="1"/>
  <c r="F1209" i="6"/>
  <c r="H1273" i="6" a="1"/>
  <c r="H1401" i="6" a="1"/>
  <c r="H1209" i="6" l="1"/>
  <c r="H1337" i="6"/>
  <c r="H1273" i="6"/>
  <c r="H1401" i="6"/>
  <c r="B1403" i="6"/>
  <c r="B1275" i="6"/>
  <c r="B1211" i="6"/>
  <c r="B1339" i="6"/>
  <c r="F1210" i="6"/>
  <c r="F1338" i="6"/>
  <c r="F1402" i="6"/>
  <c r="H1402" i="6" a="1"/>
  <c r="H1274" i="6" a="1"/>
  <c r="F1274" i="6"/>
  <c r="H1210" i="6" a="1"/>
  <c r="H1338" i="6" a="1"/>
  <c r="H1402" i="6" l="1"/>
  <c r="H1274" i="6"/>
  <c r="H1210" i="6"/>
  <c r="H1338" i="6"/>
  <c r="B1340" i="6"/>
  <c r="B1404" i="6"/>
  <c r="B1276" i="6"/>
  <c r="B1212" i="6"/>
  <c r="H1403" i="6" a="1"/>
  <c r="H1211" i="6" a="1"/>
  <c r="F1339" i="6"/>
  <c r="H1275" i="6" a="1"/>
  <c r="F1275" i="6"/>
  <c r="H1339" i="6" a="1"/>
  <c r="F1211" i="6"/>
  <c r="F1403" i="6"/>
  <c r="H1211" i="6" l="1"/>
  <c r="H1339" i="6"/>
  <c r="H1275" i="6"/>
  <c r="H1403" i="6"/>
  <c r="B1277" i="6"/>
  <c r="B1341" i="6"/>
  <c r="B1405" i="6"/>
  <c r="H1276" i="6" a="1"/>
  <c r="F1212" i="6"/>
  <c r="H1404" i="6" a="1"/>
  <c r="H1340" i="6" a="1"/>
  <c r="F1276" i="6"/>
  <c r="H1212" i="6" a="1"/>
  <c r="F1404" i="6"/>
  <c r="F1340" i="6"/>
  <c r="H1340" i="6" l="1"/>
  <c r="H1404" i="6"/>
  <c r="H1276" i="6"/>
  <c r="H1212" i="6"/>
  <c r="B1406" i="6"/>
  <c r="B1342" i="6"/>
  <c r="B1278" i="6"/>
  <c r="F1277" i="6"/>
  <c r="H1405" i="6" a="1"/>
  <c r="F1341" i="6"/>
  <c r="F1405" i="6"/>
  <c r="H1277" i="6" a="1"/>
  <c r="H1341" i="6" a="1"/>
  <c r="H1405" i="6" l="1"/>
  <c r="H1277" i="6"/>
  <c r="H1341" i="6"/>
  <c r="B1343" i="6"/>
  <c r="B1279" i="6"/>
  <c r="B1407" i="6"/>
  <c r="F1342" i="6"/>
  <c r="H1406" i="6" a="1"/>
  <c r="H1342" i="6" a="1"/>
  <c r="H1278" i="6" a="1"/>
  <c r="F1278" i="6"/>
  <c r="F1406" i="6"/>
  <c r="H1278" i="6" l="1"/>
  <c r="H1342" i="6"/>
  <c r="H1406" i="6"/>
  <c r="B1344" i="6"/>
  <c r="B1280" i="6"/>
  <c r="B1408" i="6"/>
  <c r="H1407" i="6" a="1"/>
  <c r="F1279" i="6"/>
  <c r="H1343" i="6" a="1"/>
  <c r="H1279" i="6" a="1"/>
  <c r="F1407" i="6"/>
  <c r="F1343" i="6"/>
  <c r="H1407" i="6" l="1"/>
  <c r="H1279" i="6"/>
  <c r="H1343" i="6"/>
  <c r="B1409" i="6"/>
  <c r="B1345" i="6"/>
  <c r="B1281" i="6"/>
  <c r="H1344" i="6" a="1"/>
  <c r="F1344" i="6"/>
  <c r="F1280" i="6"/>
  <c r="H1408" i="6" a="1"/>
  <c r="F1408" i="6"/>
  <c r="H1280" i="6" a="1"/>
  <c r="H1344" i="6" l="1"/>
  <c r="H1280" i="6"/>
  <c r="H1408" i="6"/>
  <c r="B1410" i="6"/>
  <c r="B1346" i="6"/>
  <c r="B1282" i="6"/>
  <c r="H1409" i="6" a="1"/>
  <c r="H1281" i="6" a="1"/>
  <c r="H1345" i="6" a="1"/>
  <c r="F1281" i="6"/>
  <c r="F1345" i="6"/>
  <c r="F1409" i="6"/>
  <c r="H1281" i="6" l="1"/>
  <c r="H1409" i="6"/>
  <c r="H1345" i="6"/>
  <c r="B1347" i="6"/>
  <c r="B1283" i="6"/>
  <c r="B1411" i="6"/>
  <c r="H1346" i="6" a="1"/>
  <c r="F1282" i="6"/>
  <c r="H1282" i="6" a="1"/>
  <c r="F1410" i="6"/>
  <c r="H1410" i="6" a="1"/>
  <c r="F1346" i="6"/>
  <c r="H1346" i="6" l="1"/>
  <c r="H1410" i="6"/>
  <c r="H1282" i="6"/>
  <c r="B1348" i="6"/>
  <c r="B1284" i="6"/>
  <c r="B1412" i="6"/>
  <c r="H1411" i="6" a="1"/>
  <c r="F1411" i="6"/>
  <c r="F1283" i="6"/>
  <c r="H1283" i="6" a="1"/>
  <c r="H1347" i="6" a="1"/>
  <c r="F1347" i="6"/>
  <c r="H1411" i="6" l="1"/>
  <c r="H1347" i="6"/>
  <c r="H1283" i="6"/>
  <c r="B1413" i="6"/>
  <c r="B1349" i="6"/>
  <c r="B1285" i="6"/>
  <c r="F1348" i="6"/>
  <c r="H1348" i="6" a="1"/>
  <c r="F1284" i="6"/>
  <c r="H1412" i="6" a="1"/>
  <c r="F1412" i="6"/>
  <c r="H1284" i="6" a="1"/>
  <c r="H1348" i="6" l="1"/>
  <c r="H1412" i="6"/>
  <c r="H1284" i="6"/>
  <c r="B1414" i="6"/>
  <c r="B1350" i="6"/>
  <c r="B1286" i="6"/>
  <c r="F1349" i="6"/>
  <c r="H1413" i="6" a="1"/>
  <c r="F1285" i="6"/>
  <c r="H1285" i="6" a="1"/>
  <c r="F1413" i="6"/>
  <c r="H1349" i="6" a="1"/>
  <c r="H1349" i="6" l="1"/>
  <c r="H1413" i="6"/>
  <c r="H1285" i="6"/>
  <c r="B1415" i="6"/>
  <c r="B1351" i="6"/>
  <c r="B1287" i="6"/>
  <c r="H1350" i="6" a="1"/>
  <c r="H1414" i="6" a="1"/>
  <c r="F1350" i="6"/>
  <c r="H1286" i="6" a="1"/>
  <c r="F1286" i="6"/>
  <c r="F1414" i="6"/>
  <c r="H1414" i="6" l="1"/>
  <c r="H1350" i="6"/>
  <c r="H1286" i="6"/>
  <c r="B1352" i="6"/>
  <c r="B1288" i="6"/>
  <c r="B1416" i="6"/>
  <c r="F1415" i="6"/>
  <c r="H1287" i="6" a="1"/>
  <c r="F1287" i="6"/>
  <c r="H1415" i="6" a="1"/>
  <c r="H1351" i="6" a="1"/>
  <c r="F1351" i="6"/>
  <c r="H1287" i="6" l="1"/>
  <c r="H1351" i="6"/>
  <c r="H1415" i="6"/>
  <c r="B1289" i="6"/>
  <c r="B1353" i="6"/>
  <c r="B1417" i="6"/>
  <c r="F1416" i="6"/>
  <c r="F1288" i="6"/>
  <c r="H1416" i="6" a="1"/>
  <c r="H1352" i="6" a="1"/>
  <c r="H1288" i="6" a="1"/>
  <c r="F1352" i="6"/>
  <c r="H1416" i="6" l="1"/>
  <c r="H1352" i="6"/>
  <c r="H1288" i="6"/>
  <c r="B1418" i="6"/>
  <c r="B1354" i="6"/>
  <c r="B1290" i="6"/>
  <c r="F1417" i="6"/>
  <c r="F1353" i="6"/>
  <c r="H1289" i="6" a="1"/>
  <c r="F1289" i="6"/>
  <c r="H1353" i="6" a="1"/>
  <c r="H1417" i="6" a="1"/>
  <c r="H1353" i="6" l="1"/>
  <c r="H1289" i="6"/>
  <c r="H1417" i="6"/>
  <c r="B1355" i="6"/>
  <c r="B1291" i="6"/>
  <c r="B1419" i="6"/>
  <c r="F1290" i="6"/>
  <c r="F1418" i="6"/>
  <c r="F1354" i="6"/>
  <c r="H1418" i="6" a="1"/>
  <c r="H1290" i="6" a="1"/>
  <c r="H1354" i="6" a="1"/>
  <c r="H1290" i="6" l="1"/>
  <c r="H1354" i="6"/>
  <c r="H1418" i="6"/>
  <c r="B1356" i="6"/>
  <c r="B1292" i="6"/>
  <c r="B1420" i="6"/>
  <c r="F1419" i="6"/>
  <c r="F1355" i="6"/>
  <c r="F1291" i="6"/>
  <c r="H1355" i="6" a="1"/>
  <c r="H1291" i="6" a="1"/>
  <c r="H1419" i="6" a="1"/>
  <c r="H1291" i="6" l="1"/>
  <c r="H1355" i="6"/>
  <c r="H1419" i="6"/>
  <c r="B1357" i="6"/>
  <c r="B1293" i="6"/>
  <c r="B1421" i="6"/>
  <c r="F1356" i="6"/>
  <c r="H1356" i="6" a="1"/>
  <c r="F1420" i="6"/>
  <c r="F1292" i="6"/>
  <c r="H1292" i="6" a="1"/>
  <c r="H1420" i="6" a="1"/>
  <c r="H1292" i="6" l="1"/>
  <c r="H1356" i="6"/>
  <c r="H1420" i="6"/>
  <c r="B1486" i="6"/>
  <c r="B1358" i="6"/>
  <c r="B1294" i="6"/>
  <c r="B1422" i="6"/>
  <c r="F1293" i="6"/>
  <c r="F1357" i="6"/>
  <c r="H1357" i="6" a="1"/>
  <c r="H1293" i="6" a="1"/>
  <c r="H1421" i="6" a="1"/>
  <c r="F1421" i="6"/>
  <c r="H1421" i="6" l="1"/>
  <c r="H1293" i="6"/>
  <c r="H1357" i="6"/>
  <c r="B1359" i="6"/>
  <c r="B1295" i="6"/>
  <c r="B1423" i="6"/>
  <c r="B1487" i="6"/>
  <c r="H1294" i="6" a="1"/>
  <c r="F1294" i="6"/>
  <c r="F1358" i="6"/>
  <c r="F1422" i="6"/>
  <c r="F1486" i="6"/>
  <c r="H1422" i="6" a="1"/>
  <c r="H1358" i="6" a="1"/>
  <c r="H1486" i="6" a="1"/>
  <c r="H1422" i="6" l="1"/>
  <c r="H1358" i="6"/>
  <c r="H1486" i="6"/>
  <c r="H1294" i="6"/>
  <c r="B1360" i="6"/>
  <c r="B1296" i="6"/>
  <c r="B1424" i="6"/>
  <c r="B1488" i="6"/>
  <c r="F1359" i="6"/>
  <c r="F1423" i="6"/>
  <c r="F1295" i="6"/>
  <c r="H1359" i="6" a="1"/>
  <c r="H1295" i="6" a="1"/>
  <c r="H1487" i="6" a="1"/>
  <c r="H1423" i="6" a="1"/>
  <c r="F1487" i="6"/>
  <c r="H1423" i="6" l="1"/>
  <c r="H1487" i="6"/>
  <c r="H1295" i="6"/>
  <c r="H1359" i="6"/>
  <c r="B1489" i="6"/>
  <c r="B1361" i="6"/>
  <c r="B1297" i="6"/>
  <c r="B1425" i="6"/>
  <c r="H1488" i="6" a="1"/>
  <c r="F1360" i="6"/>
  <c r="H1296" i="6" a="1"/>
  <c r="H1360" i="6" a="1"/>
  <c r="F1296" i="6"/>
  <c r="F1488" i="6"/>
  <c r="H1424" i="6" a="1"/>
  <c r="F1424" i="6"/>
  <c r="H1424" i="6" l="1"/>
  <c r="H1360" i="6"/>
  <c r="H1296" i="6"/>
  <c r="H1488" i="6"/>
  <c r="B1490" i="6"/>
  <c r="B1362" i="6"/>
  <c r="B1298" i="6"/>
  <c r="B1426" i="6"/>
  <c r="H1425" i="6" a="1"/>
  <c r="F1489" i="6"/>
  <c r="F1361" i="6"/>
  <c r="H1297" i="6" a="1"/>
  <c r="F1425" i="6"/>
  <c r="H1361" i="6" a="1"/>
  <c r="H1489" i="6" a="1"/>
  <c r="F1297" i="6"/>
  <c r="H1489" i="6" l="1"/>
  <c r="H1297" i="6"/>
  <c r="H1361" i="6"/>
  <c r="H1425" i="6"/>
  <c r="B1363" i="6"/>
  <c r="B1299" i="6"/>
  <c r="B1491" i="6"/>
  <c r="B1427" i="6"/>
  <c r="H1426" i="6" a="1"/>
  <c r="H1362" i="6" a="1"/>
  <c r="H1298" i="6" a="1"/>
  <c r="F1362" i="6"/>
  <c r="F1298" i="6"/>
  <c r="F1426" i="6"/>
  <c r="F1490" i="6"/>
  <c r="H1490" i="6" a="1"/>
  <c r="H1298" i="6" l="1"/>
  <c r="H1362" i="6"/>
  <c r="H1490" i="6"/>
  <c r="H1426" i="6"/>
  <c r="B1428" i="6"/>
  <c r="B1492" i="6"/>
  <c r="B1364" i="6"/>
  <c r="B1300" i="6"/>
  <c r="F1427" i="6"/>
  <c r="H1299" i="6" a="1"/>
  <c r="H1427" i="6" a="1"/>
  <c r="F1363" i="6"/>
  <c r="H1363" i="6" a="1"/>
  <c r="F1491" i="6"/>
  <c r="H1491" i="6" a="1"/>
  <c r="F1299" i="6"/>
  <c r="H1363" i="6" l="1"/>
  <c r="H1491" i="6"/>
  <c r="H1427" i="6"/>
  <c r="H1299" i="6"/>
  <c r="B1429" i="6"/>
  <c r="B1493" i="6"/>
  <c r="B1365" i="6"/>
  <c r="B1301" i="6"/>
  <c r="H1364" i="6" a="1"/>
  <c r="F1364" i="6"/>
  <c r="F1492" i="6"/>
  <c r="H1492" i="6" a="1"/>
  <c r="F1428" i="6"/>
  <c r="H1300" i="6" a="1"/>
  <c r="F1300" i="6"/>
  <c r="H1428" i="6" a="1"/>
  <c r="H1492" i="6" l="1"/>
  <c r="H1428" i="6"/>
  <c r="H1300" i="6"/>
  <c r="H1364" i="6"/>
  <c r="B1494" i="6"/>
  <c r="B1430" i="6"/>
  <c r="B1366" i="6"/>
  <c r="B1302" i="6"/>
  <c r="F1365" i="6"/>
  <c r="H1365" i="6" a="1"/>
  <c r="F1301" i="6"/>
  <c r="H1493" i="6" a="1"/>
  <c r="H1301" i="6" a="1"/>
  <c r="H1429" i="6" a="1"/>
  <c r="F1493" i="6"/>
  <c r="F1429" i="6"/>
  <c r="H1429" i="6" l="1"/>
  <c r="H1301" i="6"/>
  <c r="H1365" i="6"/>
  <c r="H1493" i="6"/>
  <c r="B1495" i="6"/>
  <c r="B1367" i="6"/>
  <c r="B1303" i="6"/>
  <c r="B1431" i="6"/>
  <c r="H1430" i="6" a="1"/>
  <c r="H1302" i="6" a="1"/>
  <c r="F1494" i="6"/>
  <c r="F1430" i="6"/>
  <c r="F1302" i="6"/>
  <c r="F1366" i="6"/>
  <c r="H1494" i="6" a="1"/>
  <c r="H1366" i="6" a="1"/>
  <c r="H1494" i="6" l="1"/>
  <c r="H1366" i="6"/>
  <c r="H1302" i="6"/>
  <c r="H1430" i="6"/>
  <c r="B1496" i="6"/>
  <c r="B1432" i="6"/>
  <c r="B1368" i="6"/>
  <c r="F1431" i="6"/>
  <c r="F1495" i="6"/>
  <c r="H1367" i="6" a="1"/>
  <c r="H1303" i="6" a="1"/>
  <c r="F1303" i="6"/>
  <c r="H1431" i="6" a="1"/>
  <c r="H1495" i="6" a="1"/>
  <c r="F1367" i="6"/>
  <c r="H1431" i="6" l="1"/>
  <c r="H1495" i="6"/>
  <c r="H1303" i="6"/>
  <c r="H1367" i="6"/>
  <c r="B1433" i="6"/>
  <c r="B1369" i="6"/>
  <c r="B1497" i="6"/>
  <c r="H1432" i="6" a="1"/>
  <c r="H1496" i="6" a="1"/>
  <c r="F1368" i="6"/>
  <c r="F1496" i="6"/>
  <c r="H1368" i="6" a="1"/>
  <c r="F1432" i="6"/>
  <c r="H1432" i="6" l="1"/>
  <c r="H1368" i="6"/>
  <c r="H1496" i="6"/>
  <c r="B1434" i="6"/>
  <c r="B1370" i="6"/>
  <c r="B1498" i="6"/>
  <c r="F1497" i="6"/>
  <c r="H1369" i="6" a="1"/>
  <c r="H1497" i="6" a="1"/>
  <c r="F1433" i="6"/>
  <c r="F1369" i="6"/>
  <c r="H1433" i="6" a="1"/>
  <c r="H1497" i="6" l="1"/>
  <c r="H1433" i="6"/>
  <c r="H1369" i="6"/>
  <c r="B1435" i="6"/>
  <c r="B1371" i="6"/>
  <c r="B1499" i="6"/>
  <c r="H1434" i="6" a="1"/>
  <c r="F1434" i="6"/>
  <c r="H1498" i="6" a="1"/>
  <c r="H1370" i="6" a="1"/>
  <c r="F1370" i="6"/>
  <c r="F1498" i="6"/>
  <c r="H1498" i="6" l="1"/>
  <c r="H1434" i="6"/>
  <c r="H1370" i="6"/>
  <c r="B1500" i="6"/>
  <c r="B1436" i="6"/>
  <c r="B1372" i="6"/>
  <c r="H1371" i="6" a="1"/>
  <c r="F1499" i="6"/>
  <c r="F1435" i="6"/>
  <c r="H1499" i="6" a="1"/>
  <c r="F1371" i="6"/>
  <c r="H1435" i="6" a="1"/>
  <c r="H1499" i="6" l="1"/>
  <c r="H1371" i="6"/>
  <c r="H1435" i="6"/>
  <c r="B1437" i="6"/>
  <c r="B1373" i="6"/>
  <c r="B1501" i="6"/>
  <c r="F1436" i="6"/>
  <c r="H1436" i="6" a="1"/>
  <c r="F1372" i="6"/>
  <c r="H1500" i="6" a="1"/>
  <c r="F1500" i="6"/>
  <c r="H1372" i="6" a="1"/>
  <c r="H1500" i="6" l="1"/>
  <c r="H1436" i="6"/>
  <c r="H1372" i="6"/>
  <c r="B1502" i="6"/>
  <c r="B1438" i="6"/>
  <c r="B1374" i="6"/>
  <c r="F1501" i="6"/>
  <c r="H1501" i="6" a="1"/>
  <c r="F1373" i="6"/>
  <c r="H1437" i="6" a="1"/>
  <c r="F1437" i="6"/>
  <c r="H1373" i="6" a="1"/>
  <c r="H1437" i="6" l="1"/>
  <c r="H1373" i="6"/>
  <c r="H1501" i="6"/>
  <c r="B1375" i="6"/>
  <c r="B1439" i="6"/>
  <c r="B1503" i="6"/>
  <c r="H1438" i="6" a="1"/>
  <c r="F1502" i="6"/>
  <c r="H1502" i="6" a="1"/>
  <c r="F1374" i="6"/>
  <c r="F1438" i="6"/>
  <c r="H1374" i="6" a="1"/>
  <c r="H1502" i="6" l="1"/>
  <c r="H1438" i="6"/>
  <c r="H1374" i="6"/>
  <c r="B1504" i="6"/>
  <c r="B1440" i="6"/>
  <c r="B1376" i="6"/>
  <c r="H1503" i="6" a="1"/>
  <c r="H1375" i="6" a="1"/>
  <c r="F1439" i="6"/>
  <c r="F1503" i="6"/>
  <c r="F1375" i="6"/>
  <c r="H1439" i="6" a="1"/>
  <c r="H1375" i="6" l="1"/>
  <c r="H1503" i="6"/>
  <c r="H1439" i="6"/>
  <c r="B1441" i="6"/>
  <c r="B1377" i="6"/>
  <c r="B1505" i="6"/>
  <c r="F1504" i="6"/>
  <c r="H1440" i="6" a="1"/>
  <c r="F1440" i="6"/>
  <c r="F1376" i="6"/>
  <c r="H1504" i="6" a="1"/>
  <c r="H1376" i="6" a="1"/>
  <c r="H1376" i="6" l="1"/>
  <c r="H1504" i="6"/>
  <c r="H1440" i="6"/>
  <c r="B1506" i="6"/>
  <c r="B1442" i="6"/>
  <c r="B1378" i="6"/>
  <c r="F1505" i="6"/>
  <c r="H1505" i="6" a="1"/>
  <c r="F1377" i="6"/>
  <c r="H1441" i="6" a="1"/>
  <c r="F1441" i="6"/>
  <c r="H1377" i="6" a="1"/>
  <c r="H1441" i="6" l="1"/>
  <c r="H1377" i="6"/>
  <c r="H1505" i="6"/>
  <c r="B1443" i="6"/>
  <c r="B1379" i="6"/>
  <c r="B1507" i="6"/>
  <c r="H1506" i="6" a="1"/>
  <c r="F1506" i="6"/>
  <c r="H1378" i="6" a="1"/>
  <c r="H1442" i="6" a="1"/>
  <c r="F1442" i="6"/>
  <c r="F1378" i="6"/>
  <c r="H1378" i="6" l="1"/>
  <c r="H1442" i="6"/>
  <c r="H1506" i="6"/>
  <c r="B1444" i="6"/>
  <c r="B1380" i="6"/>
  <c r="B1508" i="6"/>
  <c r="H1507" i="6" a="1"/>
  <c r="F1507" i="6"/>
  <c r="H1443" i="6" a="1"/>
  <c r="H1379" i="6" a="1"/>
  <c r="F1379" i="6"/>
  <c r="F1443" i="6"/>
  <c r="H1507" i="6" l="1"/>
  <c r="H1443" i="6"/>
  <c r="H1379" i="6"/>
  <c r="B1509" i="6"/>
  <c r="B1445" i="6"/>
  <c r="B1381" i="6"/>
  <c r="H1508" i="6" a="1"/>
  <c r="H1380" i="6" a="1"/>
  <c r="F1508" i="6"/>
  <c r="H1444" i="6" a="1"/>
  <c r="F1444" i="6"/>
  <c r="F1380" i="6"/>
  <c r="H1444" i="6" l="1"/>
  <c r="H1380" i="6"/>
  <c r="H1508" i="6"/>
  <c r="B1510" i="6"/>
  <c r="B1446" i="6"/>
  <c r="B1382" i="6"/>
  <c r="H1445" i="6" a="1"/>
  <c r="F1445" i="6"/>
  <c r="H1509" i="6" a="1"/>
  <c r="F1509" i="6"/>
  <c r="F1381" i="6"/>
  <c r="H1381" i="6" a="1"/>
  <c r="H1445" i="6" l="1"/>
  <c r="H1509" i="6"/>
  <c r="H1381" i="6"/>
  <c r="B1383" i="6"/>
  <c r="B1447" i="6"/>
  <c r="B1511" i="6"/>
  <c r="F1446" i="6"/>
  <c r="F1382" i="6"/>
  <c r="F1510" i="6"/>
  <c r="H1510" i="6" a="1"/>
  <c r="H1446" i="6" a="1"/>
  <c r="H1382" i="6" a="1"/>
  <c r="H1510" i="6" l="1"/>
  <c r="H1446" i="6"/>
  <c r="H1382" i="6"/>
  <c r="B1448" i="6"/>
  <c r="B1384" i="6"/>
  <c r="B1512" i="6"/>
  <c r="F1383" i="6"/>
  <c r="H1447" i="6" a="1"/>
  <c r="F1447" i="6"/>
  <c r="H1383" i="6" a="1"/>
  <c r="H1511" i="6" a="1"/>
  <c r="F1511" i="6"/>
  <c r="H1383" i="6" l="1"/>
  <c r="H1447" i="6"/>
  <c r="H1511" i="6"/>
  <c r="B1449" i="6"/>
  <c r="B1385" i="6"/>
  <c r="B1513" i="6"/>
  <c r="B1577" i="6"/>
  <c r="H1512" i="6" a="1"/>
  <c r="H1448" i="6" a="1"/>
  <c r="H1384" i="6" a="1"/>
  <c r="F1448" i="6"/>
  <c r="F1384" i="6"/>
  <c r="F1512" i="6"/>
  <c r="H1512" i="6" l="1"/>
  <c r="H1448" i="6"/>
  <c r="H1384" i="6"/>
  <c r="B1578" i="6"/>
  <c r="B1514" i="6"/>
  <c r="B1450" i="6"/>
  <c r="B1386" i="6"/>
  <c r="H1577" i="6" a="1"/>
  <c r="H1513" i="6" a="1"/>
  <c r="F1385" i="6"/>
  <c r="F1513" i="6"/>
  <c r="F1577" i="6"/>
  <c r="H1385" i="6" a="1"/>
  <c r="F1449" i="6"/>
  <c r="H1449" i="6" a="1"/>
  <c r="H1385" i="6" l="1"/>
  <c r="H1577" i="6"/>
  <c r="H1513" i="6"/>
  <c r="H1449" i="6"/>
  <c r="B1451" i="6"/>
  <c r="B1387" i="6"/>
  <c r="B1515" i="6"/>
  <c r="B1579" i="6"/>
  <c r="F1450" i="6"/>
  <c r="H1386" i="6" a="1"/>
  <c r="H1578" i="6" a="1"/>
  <c r="H1514" i="6" a="1"/>
  <c r="F1514" i="6"/>
  <c r="F1578" i="6"/>
  <c r="F1386" i="6"/>
  <c r="H1450" i="6" a="1"/>
  <c r="H1578" i="6" l="1"/>
  <c r="H1386" i="6"/>
  <c r="H1514" i="6"/>
  <c r="H1450" i="6"/>
  <c r="B1452" i="6"/>
  <c r="B1388" i="6"/>
  <c r="B1516" i="6"/>
  <c r="B1580" i="6"/>
  <c r="F1451" i="6"/>
  <c r="F1579" i="6"/>
  <c r="H1579" i="6" a="1"/>
  <c r="H1515" i="6" a="1"/>
  <c r="H1451" i="6" a="1"/>
  <c r="F1515" i="6"/>
  <c r="H1387" i="6" a="1"/>
  <c r="F1387" i="6"/>
  <c r="H1515" i="6" l="1"/>
  <c r="H1387" i="6"/>
  <c r="H1451" i="6"/>
  <c r="H1579" i="6"/>
  <c r="B1453" i="6"/>
  <c r="B1389" i="6"/>
  <c r="B1517" i="6"/>
  <c r="B1581" i="6"/>
  <c r="F1388" i="6"/>
  <c r="H1580" i="6" a="1"/>
  <c r="H1452" i="6" a="1"/>
  <c r="F1580" i="6"/>
  <c r="H1516" i="6" a="1"/>
  <c r="F1452" i="6"/>
  <c r="H1388" i="6" a="1"/>
  <c r="F1516" i="6"/>
  <c r="H1516" i="6" l="1"/>
  <c r="H1580" i="6"/>
  <c r="H1388" i="6"/>
  <c r="H1452" i="6"/>
  <c r="B1518" i="6"/>
  <c r="B1454" i="6"/>
  <c r="B1390" i="6"/>
  <c r="B1582" i="6"/>
  <c r="H1389" i="6" a="1"/>
  <c r="H1581" i="6" a="1"/>
  <c r="F1389" i="6"/>
  <c r="H1517" i="6" a="1"/>
  <c r="H1453" i="6" a="1"/>
  <c r="F1517" i="6"/>
  <c r="F1581" i="6"/>
  <c r="F1453" i="6"/>
  <c r="H1581" i="6" l="1"/>
  <c r="H1517" i="6"/>
  <c r="H1453" i="6"/>
  <c r="H1389" i="6"/>
  <c r="B1583" i="6"/>
  <c r="B1455" i="6"/>
  <c r="B1391" i="6"/>
  <c r="B1519" i="6"/>
  <c r="H1582" i="6" a="1"/>
  <c r="F1454" i="6"/>
  <c r="F1518" i="6"/>
  <c r="F1582" i="6"/>
  <c r="H1390" i="6" a="1"/>
  <c r="H1518" i="6" a="1"/>
  <c r="F1390" i="6"/>
  <c r="H1454" i="6" a="1"/>
  <c r="H1518" i="6" l="1"/>
  <c r="H1454" i="6"/>
  <c r="H1390" i="6"/>
  <c r="H1582" i="6"/>
  <c r="B1584" i="6"/>
  <c r="B1520" i="6"/>
  <c r="B1456" i="6"/>
  <c r="B1392" i="6"/>
  <c r="H1583" i="6" a="1"/>
  <c r="F1391" i="6"/>
  <c r="F1455" i="6"/>
  <c r="F1583" i="6"/>
  <c r="F1519" i="6"/>
  <c r="H1391" i="6" a="1"/>
  <c r="H1455" i="6" a="1"/>
  <c r="H1519" i="6" a="1"/>
  <c r="H1391" i="6" l="1"/>
  <c r="H1455" i="6"/>
  <c r="H1519" i="6"/>
  <c r="H1583" i="6"/>
  <c r="B1457" i="6"/>
  <c r="B1393" i="6"/>
  <c r="B1521" i="6"/>
  <c r="B1585" i="6"/>
  <c r="F1456" i="6"/>
  <c r="F1520" i="6"/>
  <c r="H1520" i="6" a="1"/>
  <c r="F1392" i="6"/>
  <c r="H1392" i="6" a="1"/>
  <c r="H1584" i="6" a="1"/>
  <c r="F1584" i="6"/>
  <c r="H1456" i="6" a="1"/>
  <c r="H1584" i="6" l="1"/>
  <c r="H1520" i="6"/>
  <c r="H1392" i="6"/>
  <c r="H1456" i="6"/>
  <c r="B1458" i="6"/>
  <c r="B1394" i="6"/>
  <c r="B1522" i="6"/>
  <c r="B1586" i="6"/>
  <c r="H1457" i="6" a="1"/>
  <c r="H1521" i="6" a="1"/>
  <c r="F1585" i="6"/>
  <c r="H1393" i="6" a="1"/>
  <c r="F1393" i="6"/>
  <c r="F1521" i="6"/>
  <c r="F1457" i="6"/>
  <c r="H1585" i="6" a="1"/>
  <c r="H1585" i="6" l="1"/>
  <c r="H1393" i="6"/>
  <c r="H1521" i="6"/>
  <c r="H1457" i="6"/>
  <c r="B1459" i="6"/>
  <c r="B1523" i="6"/>
  <c r="B1587" i="6"/>
  <c r="H1586" i="6" a="1"/>
  <c r="F1458" i="6"/>
  <c r="H1522" i="6" a="1"/>
  <c r="F1394" i="6"/>
  <c r="F1586" i="6"/>
  <c r="H1458" i="6" a="1"/>
  <c r="F1522" i="6"/>
  <c r="H1394" i="6" a="1"/>
  <c r="H1522" i="6" l="1"/>
  <c r="H1586" i="6"/>
  <c r="H1458" i="6"/>
  <c r="H1394" i="6"/>
  <c r="B1588" i="6"/>
  <c r="B1460" i="6"/>
  <c r="B1524" i="6"/>
  <c r="H1523" i="6" a="1"/>
  <c r="F1523" i="6"/>
  <c r="F1587" i="6"/>
  <c r="H1587" i="6" a="1"/>
  <c r="H1459" i="6" a="1"/>
  <c r="F1459" i="6"/>
  <c r="H1587" i="6" l="1"/>
  <c r="H1459" i="6"/>
  <c r="H1523" i="6"/>
  <c r="B1589" i="6"/>
  <c r="B1525" i="6"/>
  <c r="B1461" i="6"/>
  <c r="H1460" i="6" a="1"/>
  <c r="F1524" i="6"/>
  <c r="F1460" i="6"/>
  <c r="H1524" i="6" a="1"/>
  <c r="H1588" i="6" a="1"/>
  <c r="F1588" i="6"/>
  <c r="H1524" i="6" l="1"/>
  <c r="H1460" i="6"/>
  <c r="H1588" i="6"/>
  <c r="B1526" i="6"/>
  <c r="B1462" i="6"/>
  <c r="B1590" i="6"/>
  <c r="F1461" i="6"/>
  <c r="F1525" i="6"/>
  <c r="F1589" i="6"/>
  <c r="H1525" i="6" a="1"/>
  <c r="H1589" i="6" a="1"/>
  <c r="H1461" i="6" a="1"/>
  <c r="H1589" i="6" l="1"/>
  <c r="H1525" i="6"/>
  <c r="H1461" i="6"/>
  <c r="B1527" i="6"/>
  <c r="B1463" i="6"/>
  <c r="B1591" i="6"/>
  <c r="H1526" i="6" a="1"/>
  <c r="H1462" i="6" a="1"/>
  <c r="F1590" i="6"/>
  <c r="H1590" i="6" a="1"/>
  <c r="F1462" i="6"/>
  <c r="F1526" i="6"/>
  <c r="H1462" i="6" l="1"/>
  <c r="H1526" i="6"/>
  <c r="H1590" i="6"/>
  <c r="B1528" i="6"/>
  <c r="B1464" i="6"/>
  <c r="B1592" i="6"/>
  <c r="H1527" i="6" a="1"/>
  <c r="H1463" i="6" a="1"/>
  <c r="F1527" i="6"/>
  <c r="F1591" i="6"/>
  <c r="H1591" i="6" a="1"/>
  <c r="F1463" i="6"/>
  <c r="H1591" i="6" l="1"/>
  <c r="H1527" i="6"/>
  <c r="H1463" i="6"/>
  <c r="B1529" i="6"/>
  <c r="B1465" i="6"/>
  <c r="B1593" i="6"/>
  <c r="F1592" i="6"/>
  <c r="F1464" i="6"/>
  <c r="H1528" i="6" a="1"/>
  <c r="F1528" i="6"/>
  <c r="H1464" i="6" a="1"/>
  <c r="H1592" i="6" a="1"/>
  <c r="H1464" i="6" l="1"/>
  <c r="H1528" i="6"/>
  <c r="H1592" i="6"/>
  <c r="B1530" i="6"/>
  <c r="B1466" i="6"/>
  <c r="B1594" i="6"/>
  <c r="H1529" i="6" a="1"/>
  <c r="F1593" i="6"/>
  <c r="F1465" i="6"/>
  <c r="H1465" i="6" a="1"/>
  <c r="F1529" i="6"/>
  <c r="H1593" i="6" a="1"/>
  <c r="H1465" i="6" l="1"/>
  <c r="H1529" i="6"/>
  <c r="H1593" i="6"/>
  <c r="B1531" i="6"/>
  <c r="B1467" i="6"/>
  <c r="B1595" i="6"/>
  <c r="H1530" i="6" a="1"/>
  <c r="H1594" i="6" a="1"/>
  <c r="F1530" i="6"/>
  <c r="F1594" i="6"/>
  <c r="H1466" i="6" a="1"/>
  <c r="F1466" i="6"/>
  <c r="H1530" i="6" l="1"/>
  <c r="H1594" i="6"/>
  <c r="H1466" i="6"/>
  <c r="B1532" i="6"/>
  <c r="B1468" i="6"/>
  <c r="B1596" i="6"/>
  <c r="F1531" i="6"/>
  <c r="F1467" i="6"/>
  <c r="H1595" i="6" a="1"/>
  <c r="H1467" i="6" a="1"/>
  <c r="H1531" i="6" a="1"/>
  <c r="F1595" i="6"/>
  <c r="H1467" i="6" l="1"/>
  <c r="H1595" i="6"/>
  <c r="H1531" i="6"/>
  <c r="B1597" i="6"/>
  <c r="B1533" i="6"/>
  <c r="B1469" i="6"/>
  <c r="H1532" i="6" a="1"/>
  <c r="F1468" i="6"/>
  <c r="F1532" i="6"/>
  <c r="F1596" i="6"/>
  <c r="H1596" i="6" a="1"/>
  <c r="H1468" i="6" a="1"/>
  <c r="H1596" i="6" l="1"/>
  <c r="H1532" i="6"/>
  <c r="H1468" i="6"/>
  <c r="B1534" i="6"/>
  <c r="B1470" i="6"/>
  <c r="B1598" i="6"/>
  <c r="F1597" i="6"/>
  <c r="F1469" i="6"/>
  <c r="F1533" i="6"/>
  <c r="H1597" i="6" a="1"/>
  <c r="H1469" i="6" a="1"/>
  <c r="H1533" i="6" a="1"/>
  <c r="H1469" i="6" l="1"/>
  <c r="H1533" i="6"/>
  <c r="H1597" i="6"/>
  <c r="B1535" i="6"/>
  <c r="B1471" i="6"/>
  <c r="B1599" i="6"/>
  <c r="F1534" i="6"/>
  <c r="H1598" i="6" a="1"/>
  <c r="H1534" i="6" a="1"/>
  <c r="H1470" i="6" a="1"/>
  <c r="F1470" i="6"/>
  <c r="F1598" i="6"/>
  <c r="H1598" i="6" l="1"/>
  <c r="H1534" i="6"/>
  <c r="H1470" i="6"/>
  <c r="B1536" i="6"/>
  <c r="B1472" i="6"/>
  <c r="B1600" i="6"/>
  <c r="H1535" i="6" a="1"/>
  <c r="F1599" i="6"/>
  <c r="H1471" i="6" a="1"/>
  <c r="F1535" i="6"/>
  <c r="F1471" i="6"/>
  <c r="H1599" i="6" a="1"/>
  <c r="H1471" i="6" l="1"/>
  <c r="H1535" i="6"/>
  <c r="H1599" i="6"/>
  <c r="B1601" i="6"/>
  <c r="B1537" i="6"/>
  <c r="B1473" i="6"/>
  <c r="F1536" i="6"/>
  <c r="H1536" i="6" a="1"/>
  <c r="H1600" i="6" a="1"/>
  <c r="F1472" i="6"/>
  <c r="H1472" i="6" a="1"/>
  <c r="F1600" i="6"/>
  <c r="H1536" i="6" l="1"/>
  <c r="H1472" i="6"/>
  <c r="H1600" i="6"/>
  <c r="B1538" i="6"/>
  <c r="B1474" i="6"/>
  <c r="B1602" i="6"/>
  <c r="H1537" i="6" a="1"/>
  <c r="F1473" i="6"/>
  <c r="F1601" i="6"/>
  <c r="H1473" i="6" a="1"/>
  <c r="H1601" i="6" a="1"/>
  <c r="F1537" i="6"/>
  <c r="H1601" i="6" l="1"/>
  <c r="H1537" i="6"/>
  <c r="H1473" i="6"/>
  <c r="B1603" i="6"/>
  <c r="B1539" i="6"/>
  <c r="B1475" i="6"/>
  <c r="H1602" i="6" a="1"/>
  <c r="H1538" i="6" a="1"/>
  <c r="H1474" i="6" a="1"/>
  <c r="F1474" i="6"/>
  <c r="F1602" i="6"/>
  <c r="F1538" i="6"/>
  <c r="H1474" i="6" l="1"/>
  <c r="H1602" i="6"/>
  <c r="H1538" i="6"/>
  <c r="B1668" i="6"/>
  <c r="B1476" i="6"/>
  <c r="B1540" i="6"/>
  <c r="B1604" i="6"/>
  <c r="H1539" i="6" a="1"/>
  <c r="H1475" i="6" a="1"/>
  <c r="H1603" i="6" a="1"/>
  <c r="F1603" i="6"/>
  <c r="F1475" i="6"/>
  <c r="F1539" i="6"/>
  <c r="H1539" i="6" l="1"/>
  <c r="H1475" i="6"/>
  <c r="H1603" i="6"/>
  <c r="B1605" i="6"/>
  <c r="B1669" i="6"/>
  <c r="B1477" i="6"/>
  <c r="B1541" i="6"/>
  <c r="F1604" i="6"/>
  <c r="F1668" i="6"/>
  <c r="F1540" i="6"/>
  <c r="H1668" i="6" a="1"/>
  <c r="H1540" i="6" a="1"/>
  <c r="H1476" i="6" a="1"/>
  <c r="F1476" i="6"/>
  <c r="H1604" i="6" a="1"/>
  <c r="H1668" i="6" l="1"/>
  <c r="H1540" i="6"/>
  <c r="H1476" i="6"/>
  <c r="H1604" i="6"/>
  <c r="B1670" i="6"/>
  <c r="B1606" i="6"/>
  <c r="B1542" i="6"/>
  <c r="B1478" i="6"/>
  <c r="H1605" i="6" a="1"/>
  <c r="H1669" i="6" a="1"/>
  <c r="H1541" i="6" a="1"/>
  <c r="H1477" i="6" a="1"/>
  <c r="F1669" i="6"/>
  <c r="F1541" i="6"/>
  <c r="F1477" i="6"/>
  <c r="F1605" i="6"/>
  <c r="H1477" i="6" l="1"/>
  <c r="H1541" i="6"/>
  <c r="H1669" i="6"/>
  <c r="H1605" i="6"/>
  <c r="B1543" i="6"/>
  <c r="B1479" i="6"/>
  <c r="B1607" i="6"/>
  <c r="B1671" i="6"/>
  <c r="H1478" i="6" a="1"/>
  <c r="F1606" i="6"/>
  <c r="F1542" i="6"/>
  <c r="F1478" i="6"/>
  <c r="H1542" i="6" a="1"/>
  <c r="H1670" i="6" a="1"/>
  <c r="F1670" i="6"/>
  <c r="H1606" i="6" a="1"/>
  <c r="H1606" i="6" l="1"/>
  <c r="H1670" i="6"/>
  <c r="H1542" i="6"/>
  <c r="H1478" i="6"/>
  <c r="B1608" i="6"/>
  <c r="B1672" i="6"/>
  <c r="B1544" i="6"/>
  <c r="B1480" i="6"/>
  <c r="H1543" i="6" a="1"/>
  <c r="H1671" i="6" a="1"/>
  <c r="F1543" i="6"/>
  <c r="F1671" i="6"/>
  <c r="H1607" i="6" a="1"/>
  <c r="H1479" i="6" a="1"/>
  <c r="F1479" i="6"/>
  <c r="F1607" i="6"/>
  <c r="H1479" i="6" l="1"/>
  <c r="H1671" i="6"/>
  <c r="H1607" i="6"/>
  <c r="H1543" i="6"/>
  <c r="B1545" i="6"/>
  <c r="B1481" i="6"/>
  <c r="B1609" i="6"/>
  <c r="B1673" i="6"/>
  <c r="F1544" i="6"/>
  <c r="H1672" i="6" a="1"/>
  <c r="H1480" i="6" a="1"/>
  <c r="F1480" i="6"/>
  <c r="F1672" i="6"/>
  <c r="H1544" i="6" a="1"/>
  <c r="F1608" i="6"/>
  <c r="H1608" i="6" a="1"/>
  <c r="H1608" i="6" l="1"/>
  <c r="H1672" i="6"/>
  <c r="H1480" i="6"/>
  <c r="H1544" i="6"/>
  <c r="B1610" i="6"/>
  <c r="B1546" i="6"/>
  <c r="B1482" i="6"/>
  <c r="B1674" i="6"/>
  <c r="F1481" i="6"/>
  <c r="F1673" i="6"/>
  <c r="H1481" i="6" a="1"/>
  <c r="F1609" i="6"/>
  <c r="H1545" i="6" a="1"/>
  <c r="F1545" i="6"/>
  <c r="H1673" i="6" a="1"/>
  <c r="H1609" i="6" a="1"/>
  <c r="H1673" i="6" l="1"/>
  <c r="H1545" i="6"/>
  <c r="H1481" i="6"/>
  <c r="H1609" i="6"/>
  <c r="B1611" i="6"/>
  <c r="B1675" i="6"/>
  <c r="B1547" i="6"/>
  <c r="B1483" i="6"/>
  <c r="H1674" i="6" a="1"/>
  <c r="F1482" i="6"/>
  <c r="H1610" i="6" a="1"/>
  <c r="F1674" i="6"/>
  <c r="F1546" i="6"/>
  <c r="F1610" i="6"/>
  <c r="H1546" i="6" a="1"/>
  <c r="H1482" i="6" a="1"/>
  <c r="H1482" i="6" l="1"/>
  <c r="H1610" i="6"/>
  <c r="H1546" i="6"/>
  <c r="H1674" i="6"/>
  <c r="B1612" i="6"/>
  <c r="B1548" i="6"/>
  <c r="B1484" i="6"/>
  <c r="B1676" i="6"/>
  <c r="F1483" i="6"/>
  <c r="F1611" i="6"/>
  <c r="H1547" i="6" a="1"/>
  <c r="H1483" i="6" a="1"/>
  <c r="F1547" i="6"/>
  <c r="F1675" i="6"/>
  <c r="H1675" i="6" a="1"/>
  <c r="H1611" i="6" a="1"/>
  <c r="H1547" i="6" l="1"/>
  <c r="H1675" i="6"/>
  <c r="H1483" i="6"/>
  <c r="H1611" i="6"/>
  <c r="B1677" i="6"/>
  <c r="B1613" i="6"/>
  <c r="B1549" i="6"/>
  <c r="B1485" i="6"/>
  <c r="H1548" i="6" a="1"/>
  <c r="H1484" i="6" a="1"/>
  <c r="H1676" i="6" a="1"/>
  <c r="F1612" i="6"/>
  <c r="H1612" i="6" a="1"/>
  <c r="F1548" i="6"/>
  <c r="F1676" i="6"/>
  <c r="F1484" i="6"/>
  <c r="H1484" i="6" l="1"/>
  <c r="H1676" i="6"/>
  <c r="H1612" i="6"/>
  <c r="H1548" i="6"/>
  <c r="B1550" i="6"/>
  <c r="B1614" i="6"/>
  <c r="B1678" i="6"/>
  <c r="F1485" i="6"/>
  <c r="H1549" i="6" a="1"/>
  <c r="F1613" i="6"/>
  <c r="F1549" i="6"/>
  <c r="H1677" i="6" a="1"/>
  <c r="F1677" i="6"/>
  <c r="H1485" i="6" a="1"/>
  <c r="H1613" i="6" a="1"/>
  <c r="H1613" i="6" l="1"/>
  <c r="H1677" i="6"/>
  <c r="H1485" i="6"/>
  <c r="H1549" i="6"/>
  <c r="B1679" i="6"/>
  <c r="B1615" i="6"/>
  <c r="B1551" i="6"/>
  <c r="H1678" i="6" a="1"/>
  <c r="H1550" i="6" a="1"/>
  <c r="F1614" i="6"/>
  <c r="F1678" i="6"/>
  <c r="H1614" i="6" a="1"/>
  <c r="F1550" i="6"/>
  <c r="H1678" i="6" l="1"/>
  <c r="H1550" i="6"/>
  <c r="H1614" i="6"/>
  <c r="B1616" i="6"/>
  <c r="B1552" i="6"/>
  <c r="B1680" i="6"/>
  <c r="F1615" i="6"/>
  <c r="F1679" i="6"/>
  <c r="H1679" i="6" a="1"/>
  <c r="H1551" i="6" a="1"/>
  <c r="H1615" i="6" a="1"/>
  <c r="F1551" i="6"/>
  <c r="H1551" i="6" l="1"/>
  <c r="H1615" i="6"/>
  <c r="H1679" i="6"/>
  <c r="B1681" i="6"/>
  <c r="B1617" i="6"/>
  <c r="B1553" i="6"/>
  <c r="F1616" i="6"/>
  <c r="H1552" i="6" a="1"/>
  <c r="F1552" i="6"/>
  <c r="H1616" i="6" a="1"/>
  <c r="H1680" i="6" a="1"/>
  <c r="F1680" i="6"/>
  <c r="H1680" i="6" l="1"/>
  <c r="H1552" i="6"/>
  <c r="H1616" i="6"/>
  <c r="B1618" i="6"/>
  <c r="B1554" i="6"/>
  <c r="B1682" i="6"/>
  <c r="F1553" i="6"/>
  <c r="F1617" i="6"/>
  <c r="F1681" i="6"/>
  <c r="H1681" i="6" a="1"/>
  <c r="H1617" i="6" a="1"/>
  <c r="H1553" i="6" a="1"/>
  <c r="H1681" i="6" l="1"/>
  <c r="H1617" i="6"/>
  <c r="H1553" i="6"/>
  <c r="B1619" i="6"/>
  <c r="B1555" i="6"/>
  <c r="B1683" i="6"/>
  <c r="F1554" i="6"/>
  <c r="F1618" i="6"/>
  <c r="H1618" i="6" a="1"/>
  <c r="F1682" i="6"/>
  <c r="H1682" i="6" a="1"/>
  <c r="H1554" i="6" a="1"/>
  <c r="H1682" i="6" l="1"/>
  <c r="H1618" i="6"/>
  <c r="H1554" i="6"/>
  <c r="B1620" i="6"/>
  <c r="B1556" i="6"/>
  <c r="B1684" i="6"/>
  <c r="F1619" i="6"/>
  <c r="H1619" i="6" a="1"/>
  <c r="F1555" i="6"/>
  <c r="H1683" i="6" a="1"/>
  <c r="F1683" i="6"/>
  <c r="H1555" i="6" a="1"/>
  <c r="H1619" i="6" l="1"/>
  <c r="H1555" i="6"/>
  <c r="H1683" i="6"/>
  <c r="B1685" i="6"/>
  <c r="B1621" i="6"/>
  <c r="B1557" i="6"/>
  <c r="H1620" i="6" a="1"/>
  <c r="H1556" i="6" a="1"/>
  <c r="F1684" i="6"/>
  <c r="F1556" i="6"/>
  <c r="H1684" i="6" a="1"/>
  <c r="F1620" i="6"/>
  <c r="H1684" i="6" l="1"/>
  <c r="H1620" i="6"/>
  <c r="H1556" i="6"/>
  <c r="B1622" i="6"/>
  <c r="B1558" i="6"/>
  <c r="B1686" i="6"/>
  <c r="H1557" i="6" a="1"/>
  <c r="F1621" i="6"/>
  <c r="F1557" i="6"/>
  <c r="H1685" i="6" a="1"/>
  <c r="F1685" i="6"/>
  <c r="H1621" i="6" a="1"/>
  <c r="H1557" i="6" l="1"/>
  <c r="H1621" i="6"/>
  <c r="H1685" i="6"/>
  <c r="B1623" i="6"/>
  <c r="B1559" i="6"/>
  <c r="B1687" i="6"/>
  <c r="F1558" i="6"/>
  <c r="H1622" i="6" a="1"/>
  <c r="H1686" i="6" a="1"/>
  <c r="F1686" i="6"/>
  <c r="H1558" i="6" a="1"/>
  <c r="F1622" i="6"/>
  <c r="H1558" i="6" l="1"/>
  <c r="H1622" i="6"/>
  <c r="H1686" i="6"/>
  <c r="B1624" i="6"/>
  <c r="B1560" i="6"/>
  <c r="B1688" i="6"/>
  <c r="F1687" i="6"/>
  <c r="F1623" i="6"/>
  <c r="H1623" i="6" a="1"/>
  <c r="H1687" i="6" a="1"/>
  <c r="F1559" i="6"/>
  <c r="H1559" i="6" a="1"/>
  <c r="H1687" i="6" l="1"/>
  <c r="H1623" i="6"/>
  <c r="H1559" i="6"/>
  <c r="B1689" i="6"/>
  <c r="B1625" i="6"/>
  <c r="B1561" i="6"/>
  <c r="H1560" i="6" a="1"/>
  <c r="F1560" i="6"/>
  <c r="F1688" i="6"/>
  <c r="H1688" i="6" a="1"/>
  <c r="F1624" i="6"/>
  <c r="H1624" i="6" a="1"/>
  <c r="H1624" i="6" l="1"/>
  <c r="H1560" i="6"/>
  <c r="H1688" i="6"/>
  <c r="B1626" i="6"/>
  <c r="B1562" i="6"/>
  <c r="B1690" i="6"/>
  <c r="F1625" i="6"/>
  <c r="F1689" i="6"/>
  <c r="F1561" i="6"/>
  <c r="H1689" i="6" a="1"/>
  <c r="H1561" i="6" a="1"/>
  <c r="H1625" i="6" a="1"/>
  <c r="H1625" i="6" l="1"/>
  <c r="H1561" i="6"/>
  <c r="H1689" i="6"/>
  <c r="B1691" i="6"/>
  <c r="B1627" i="6"/>
  <c r="B1563" i="6"/>
  <c r="H1626" i="6" a="1"/>
  <c r="H1690" i="6" a="1"/>
  <c r="H1562" i="6" a="1"/>
  <c r="F1562" i="6"/>
  <c r="F1626" i="6"/>
  <c r="F1690" i="6"/>
  <c r="H1626" i="6" l="1"/>
  <c r="H1690" i="6"/>
  <c r="H1562" i="6"/>
  <c r="B1692" i="6"/>
  <c r="B1628" i="6"/>
  <c r="B1564" i="6"/>
  <c r="H1627" i="6" a="1"/>
  <c r="H1563" i="6" a="1"/>
  <c r="F1627" i="6"/>
  <c r="F1563" i="6"/>
  <c r="F1691" i="6"/>
  <c r="H1691" i="6" a="1"/>
  <c r="H1627" i="6" l="1"/>
  <c r="H1691" i="6"/>
  <c r="H1563" i="6"/>
  <c r="B1693" i="6"/>
  <c r="B1629" i="6"/>
  <c r="B1565" i="6"/>
  <c r="H1692" i="6" a="1"/>
  <c r="F1628" i="6"/>
  <c r="H1628" i="6" a="1"/>
  <c r="F1564" i="6"/>
  <c r="H1564" i="6" a="1"/>
  <c r="F1692" i="6"/>
  <c r="H1564" i="6" l="1"/>
  <c r="H1692" i="6"/>
  <c r="H1628" i="6"/>
  <c r="B1694" i="6"/>
  <c r="B1630" i="6"/>
  <c r="B1566" i="6"/>
  <c r="H1693" i="6" a="1"/>
  <c r="F1629" i="6"/>
  <c r="H1565" i="6" a="1"/>
  <c r="F1693" i="6"/>
  <c r="H1629" i="6" a="1"/>
  <c r="F1565" i="6"/>
  <c r="H1565" i="6" l="1"/>
  <c r="H1693" i="6"/>
  <c r="H1629" i="6"/>
  <c r="B1759" i="6"/>
  <c r="B1631" i="6"/>
  <c r="B1567" i="6"/>
  <c r="B1695" i="6"/>
  <c r="H1630" i="6" a="1"/>
  <c r="F1630" i="6"/>
  <c r="H1694" i="6" a="1"/>
  <c r="F1566" i="6"/>
  <c r="H1566" i="6" a="1"/>
  <c r="F1694" i="6"/>
  <c r="H1630" i="6" l="1"/>
  <c r="H1566" i="6"/>
  <c r="H1694" i="6"/>
  <c r="B1632" i="6"/>
  <c r="B1568" i="6"/>
  <c r="B1696" i="6"/>
  <c r="B1760" i="6"/>
  <c r="H1759" i="6" a="1"/>
  <c r="H1567" i="6" a="1"/>
  <c r="F1695" i="6"/>
  <c r="F1631" i="6"/>
  <c r="F1567" i="6"/>
  <c r="F1759" i="6"/>
  <c r="H1631" i="6" a="1"/>
  <c r="H1695" i="6" a="1"/>
  <c r="H1695" i="6" l="1"/>
  <c r="H1759" i="6"/>
  <c r="H1567" i="6"/>
  <c r="H1631" i="6"/>
  <c r="B1697" i="6"/>
  <c r="B1761" i="6"/>
  <c r="B1633" i="6"/>
  <c r="B1569" i="6"/>
  <c r="H1696" i="6" a="1"/>
  <c r="H1568" i="6" a="1"/>
  <c r="H1760" i="6" a="1"/>
  <c r="F1760" i="6"/>
  <c r="F1632" i="6"/>
  <c r="F1568" i="6"/>
  <c r="H1632" i="6" a="1"/>
  <c r="F1696" i="6"/>
  <c r="H1760" i="6" l="1"/>
  <c r="H1632" i="6"/>
  <c r="H1568" i="6"/>
  <c r="H1696" i="6"/>
  <c r="B1634" i="6"/>
  <c r="B1570" i="6"/>
  <c r="B1698" i="6"/>
  <c r="B1762" i="6"/>
  <c r="F1633" i="6"/>
  <c r="H1697" i="6" a="1"/>
  <c r="H1633" i="6" a="1"/>
  <c r="H1761" i="6" a="1"/>
  <c r="F1697" i="6"/>
  <c r="F1761" i="6"/>
  <c r="H1569" i="6" a="1"/>
  <c r="F1569" i="6"/>
  <c r="H1761" i="6" l="1"/>
  <c r="H1633" i="6"/>
  <c r="H1569" i="6"/>
  <c r="H1697" i="6"/>
  <c r="B1699" i="6"/>
  <c r="B1635" i="6"/>
  <c r="B1571" i="6"/>
  <c r="B1763" i="6"/>
  <c r="H1570" i="6" a="1"/>
  <c r="F1570" i="6"/>
  <c r="H1698" i="6" a="1"/>
  <c r="F1762" i="6"/>
  <c r="F1634" i="6"/>
  <c r="H1762" i="6" a="1"/>
  <c r="H1634" i="6" a="1"/>
  <c r="F1698" i="6"/>
  <c r="H1762" i="6" l="1"/>
  <c r="H1634" i="6"/>
  <c r="H1698" i="6"/>
  <c r="H1570" i="6"/>
  <c r="B1764" i="6"/>
  <c r="B1636" i="6"/>
  <c r="B1572" i="6"/>
  <c r="B1700" i="6"/>
  <c r="H1763" i="6" a="1"/>
  <c r="H1635" i="6" a="1"/>
  <c r="H1699" i="6" a="1"/>
  <c r="F1763" i="6"/>
  <c r="F1699" i="6"/>
  <c r="F1635" i="6"/>
  <c r="H1571" i="6" a="1"/>
  <c r="F1571" i="6"/>
  <c r="H1571" i="6" l="1"/>
  <c r="H1699" i="6"/>
  <c r="H1635" i="6"/>
  <c r="H1763" i="6"/>
  <c r="B1701" i="6"/>
  <c r="B1765" i="6"/>
  <c r="B1637" i="6"/>
  <c r="B1573" i="6"/>
  <c r="F1700" i="6"/>
  <c r="F1572" i="6"/>
  <c r="F1636" i="6"/>
  <c r="H1700" i="6" a="1"/>
  <c r="F1764" i="6"/>
  <c r="H1764" i="6" a="1"/>
  <c r="H1636" i="6" a="1"/>
  <c r="H1572" i="6" a="1"/>
  <c r="H1764" i="6" l="1"/>
  <c r="H1636" i="6"/>
  <c r="H1700" i="6"/>
  <c r="H1572" i="6"/>
  <c r="B1638" i="6"/>
  <c r="B1574" i="6"/>
  <c r="B1702" i="6"/>
  <c r="B1766" i="6"/>
  <c r="F1637" i="6"/>
  <c r="H1701" i="6" a="1"/>
  <c r="H1637" i="6" a="1"/>
  <c r="F1701" i="6"/>
  <c r="H1765" i="6" a="1"/>
  <c r="F1573" i="6"/>
  <c r="H1573" i="6" a="1"/>
  <c r="F1765" i="6"/>
  <c r="H1573" i="6" l="1"/>
  <c r="H1637" i="6"/>
  <c r="H1701" i="6"/>
  <c r="H1765" i="6"/>
  <c r="B1639" i="6"/>
  <c r="B1575" i="6"/>
  <c r="B1703" i="6"/>
  <c r="B1767" i="6"/>
  <c r="F1766" i="6"/>
  <c r="F1574" i="6"/>
  <c r="H1638" i="6" a="1"/>
  <c r="F1702" i="6"/>
  <c r="H1574" i="6" a="1"/>
  <c r="F1638" i="6"/>
  <c r="H1702" i="6" a="1"/>
  <c r="H1766" i="6" a="1"/>
  <c r="H1702" i="6" l="1"/>
  <c r="H1574" i="6"/>
  <c r="H1638" i="6"/>
  <c r="H1766" i="6"/>
  <c r="B1640" i="6"/>
  <c r="B1576" i="6"/>
  <c r="B1704" i="6"/>
  <c r="B1768" i="6"/>
  <c r="F1639" i="6"/>
  <c r="F1575" i="6"/>
  <c r="F1703" i="6"/>
  <c r="H1575" i="6" a="1"/>
  <c r="F1767" i="6"/>
  <c r="H1639" i="6" a="1"/>
  <c r="H1703" i="6" a="1"/>
  <c r="H1767" i="6" a="1"/>
  <c r="H1767" i="6" l="1"/>
  <c r="H1703" i="6"/>
  <c r="H1575" i="6"/>
  <c r="H1639" i="6"/>
  <c r="B1641" i="6"/>
  <c r="B1705" i="6"/>
  <c r="B1769" i="6"/>
  <c r="H1576" i="6" a="1"/>
  <c r="F1768" i="6"/>
  <c r="H1640" i="6" a="1"/>
  <c r="H1704" i="6" a="1"/>
  <c r="F1704" i="6"/>
  <c r="F1576" i="6"/>
  <c r="H1768" i="6" a="1"/>
  <c r="F1640" i="6"/>
  <c r="H1704" i="6" l="1"/>
  <c r="H1576" i="6"/>
  <c r="H1768" i="6"/>
  <c r="H1640" i="6"/>
  <c r="B1642" i="6"/>
  <c r="B1706" i="6"/>
  <c r="B1770" i="6"/>
  <c r="H1769" i="6" a="1"/>
  <c r="F1769" i="6"/>
  <c r="H1641" i="6" a="1"/>
  <c r="F1641" i="6"/>
  <c r="F1705" i="6"/>
  <c r="H1705" i="6" a="1"/>
  <c r="H1769" i="6" l="1"/>
  <c r="H1705" i="6"/>
  <c r="H1641" i="6"/>
  <c r="B1771" i="6"/>
  <c r="B1707" i="6"/>
  <c r="B1643" i="6"/>
  <c r="H1770" i="6" a="1"/>
  <c r="F1770" i="6"/>
  <c r="F1706" i="6"/>
  <c r="H1642" i="6" a="1"/>
  <c r="F1642" i="6"/>
  <c r="H1706" i="6" a="1"/>
  <c r="H1770" i="6" l="1"/>
  <c r="H1706" i="6"/>
  <c r="H1642" i="6"/>
  <c r="B1772" i="6"/>
  <c r="B1708" i="6"/>
  <c r="B1644" i="6"/>
  <c r="F1707" i="6"/>
  <c r="H1707" i="6" a="1"/>
  <c r="F1643" i="6"/>
  <c r="H1643" i="6" a="1"/>
  <c r="H1771" i="6" a="1"/>
  <c r="F1771" i="6"/>
  <c r="H1771" i="6" l="1"/>
  <c r="H1707" i="6"/>
  <c r="H1643" i="6"/>
  <c r="B1709" i="6"/>
  <c r="B1645" i="6"/>
  <c r="B1773" i="6"/>
  <c r="H1772" i="6" a="1"/>
  <c r="F1708" i="6"/>
  <c r="F1772" i="6"/>
  <c r="H1644" i="6" a="1"/>
  <c r="F1644" i="6"/>
  <c r="H1708" i="6" a="1"/>
  <c r="H1772" i="6" l="1"/>
  <c r="H1708" i="6"/>
  <c r="H1644" i="6"/>
  <c r="B1646" i="6"/>
  <c r="B1710" i="6"/>
  <c r="B1774" i="6"/>
  <c r="H1709" i="6" a="1"/>
  <c r="H1645" i="6" a="1"/>
  <c r="F1773" i="6"/>
  <c r="F1709" i="6"/>
  <c r="H1773" i="6" a="1"/>
  <c r="F1645" i="6"/>
  <c r="H1773" i="6" l="1"/>
  <c r="H1709" i="6"/>
  <c r="H1645" i="6"/>
  <c r="B1647" i="6"/>
  <c r="B1711" i="6"/>
  <c r="B1775" i="6"/>
  <c r="F1710" i="6"/>
  <c r="H1646" i="6" a="1"/>
  <c r="F1646" i="6"/>
  <c r="H1774" i="6" a="1"/>
  <c r="F1774" i="6"/>
  <c r="H1710" i="6" a="1"/>
  <c r="H1646" i="6" l="1"/>
  <c r="H1710" i="6"/>
  <c r="H1774" i="6"/>
  <c r="B1648" i="6"/>
  <c r="B1712" i="6"/>
  <c r="B1776" i="6"/>
  <c r="H1647" i="6" a="1"/>
  <c r="F1711" i="6"/>
  <c r="H1711" i="6" a="1"/>
  <c r="H1775" i="6" a="1"/>
  <c r="F1647" i="6"/>
  <c r="F1775" i="6"/>
  <c r="H1647" i="6" l="1"/>
  <c r="H1711" i="6"/>
  <c r="H1775" i="6"/>
  <c r="B1777" i="6"/>
  <c r="B1713" i="6"/>
  <c r="B1649" i="6"/>
  <c r="H1776" i="6" a="1"/>
  <c r="H1648" i="6" a="1"/>
  <c r="F1776" i="6"/>
  <c r="F1648" i="6"/>
  <c r="F1712" i="6"/>
  <c r="H1712" i="6" a="1"/>
  <c r="H1712" i="6" l="1"/>
  <c r="H1776" i="6"/>
  <c r="H1648" i="6"/>
  <c r="B1714" i="6"/>
  <c r="B1650" i="6"/>
  <c r="B1778" i="6"/>
  <c r="H1713" i="6" a="1"/>
  <c r="F1649" i="6"/>
  <c r="F1777" i="6"/>
  <c r="F1713" i="6"/>
  <c r="H1649" i="6" a="1"/>
  <c r="H1777" i="6" a="1"/>
  <c r="H1777" i="6" l="1"/>
  <c r="H1649" i="6"/>
  <c r="H1713" i="6"/>
  <c r="B1779" i="6"/>
  <c r="B1715" i="6"/>
  <c r="B1651" i="6"/>
  <c r="H1714" i="6" a="1"/>
  <c r="F1778" i="6"/>
  <c r="H1650" i="6" a="1"/>
  <c r="F1714" i="6"/>
  <c r="H1778" i="6" a="1"/>
  <c r="F1650" i="6"/>
  <c r="H1650" i="6" l="1"/>
  <c r="H1714" i="6"/>
  <c r="H1778" i="6"/>
  <c r="B1716" i="6"/>
  <c r="B1652" i="6"/>
  <c r="B1780" i="6"/>
  <c r="F1651" i="6"/>
  <c r="H1651" i="6" a="1"/>
  <c r="H1715" i="6" a="1"/>
  <c r="F1779" i="6"/>
  <c r="H1779" i="6" a="1"/>
  <c r="F1715" i="6"/>
  <c r="H1779" i="6" l="1"/>
  <c r="H1715" i="6"/>
  <c r="H1651" i="6"/>
  <c r="B1717" i="6"/>
  <c r="B1653" i="6"/>
  <c r="B1781" i="6"/>
  <c r="H1652" i="6" a="1"/>
  <c r="H1716" i="6" a="1"/>
  <c r="H1780" i="6" a="1"/>
  <c r="F1716" i="6"/>
  <c r="F1780" i="6"/>
  <c r="F1652" i="6"/>
  <c r="H1652" i="6" l="1"/>
  <c r="H1716" i="6"/>
  <c r="H1780" i="6"/>
  <c r="B1718" i="6"/>
  <c r="B1654" i="6"/>
  <c r="B1782" i="6"/>
  <c r="H1781" i="6" a="1"/>
  <c r="F1717" i="6"/>
  <c r="H1717" i="6" a="1"/>
  <c r="F1653" i="6"/>
  <c r="F1781" i="6"/>
  <c r="H1653" i="6" a="1"/>
  <c r="H1781" i="6" l="1"/>
  <c r="H1717" i="6"/>
  <c r="H1653" i="6"/>
  <c r="B1783" i="6"/>
  <c r="B1655" i="6"/>
  <c r="B1719" i="6"/>
  <c r="F1718" i="6"/>
  <c r="H1718" i="6" a="1"/>
  <c r="F1654" i="6"/>
  <c r="H1782" i="6" a="1"/>
  <c r="F1782" i="6"/>
  <c r="H1654" i="6" a="1"/>
  <c r="H1718" i="6" l="1"/>
  <c r="H1654" i="6"/>
  <c r="H1782" i="6"/>
  <c r="B1656" i="6"/>
  <c r="B1720" i="6"/>
  <c r="B1784" i="6"/>
  <c r="F1655" i="6"/>
  <c r="H1719" i="6" a="1"/>
  <c r="H1783" i="6" a="1"/>
  <c r="F1719" i="6"/>
  <c r="F1783" i="6"/>
  <c r="H1655" i="6" a="1"/>
  <c r="H1655" i="6" l="1"/>
  <c r="H1719" i="6"/>
  <c r="H1783" i="6"/>
  <c r="B1785" i="6"/>
  <c r="B1721" i="6"/>
  <c r="B1657" i="6"/>
  <c r="H1784" i="6" a="1"/>
  <c r="F1720" i="6"/>
  <c r="H1656" i="6" a="1"/>
  <c r="F1784" i="6"/>
  <c r="F1656" i="6"/>
  <c r="H1720" i="6" a="1"/>
  <c r="H1656" i="6" l="1"/>
  <c r="H1784" i="6"/>
  <c r="H1720" i="6"/>
  <c r="B1850" i="6"/>
  <c r="B1722" i="6"/>
  <c r="B1658" i="6"/>
  <c r="B1786" i="6"/>
  <c r="H1657" i="6" a="1"/>
  <c r="F1657" i="6"/>
  <c r="F1721" i="6"/>
  <c r="H1721" i="6" a="1"/>
  <c r="H1785" i="6" a="1"/>
  <c r="F1785" i="6"/>
  <c r="H1785" i="6" l="1"/>
  <c r="H1721" i="6"/>
  <c r="H1657" i="6"/>
  <c r="B1787" i="6"/>
  <c r="B1851" i="6"/>
  <c r="B1723" i="6"/>
  <c r="B1659" i="6"/>
  <c r="F1658" i="6"/>
  <c r="F1722" i="6"/>
  <c r="H1786" i="6" a="1"/>
  <c r="H1722" i="6" a="1"/>
  <c r="F1786" i="6"/>
  <c r="F1850" i="6"/>
  <c r="H1850" i="6" a="1"/>
  <c r="H1658" i="6" a="1"/>
  <c r="H1658" i="6" l="1"/>
  <c r="H1850" i="6"/>
  <c r="H1722" i="6"/>
  <c r="H1786" i="6"/>
  <c r="B1788" i="6"/>
  <c r="B1724" i="6"/>
  <c r="B1660" i="6"/>
  <c r="B1852" i="6"/>
  <c r="F1659" i="6"/>
  <c r="H1723" i="6" a="1"/>
  <c r="F1851" i="6"/>
  <c r="H1659" i="6" a="1"/>
  <c r="F1723" i="6"/>
  <c r="F1787" i="6"/>
  <c r="H1851" i="6" a="1"/>
  <c r="H1787" i="6" a="1"/>
  <c r="H1851" i="6" l="1"/>
  <c r="H1659" i="6"/>
  <c r="H1787" i="6"/>
  <c r="H1723" i="6"/>
  <c r="B1789" i="6"/>
  <c r="B1853" i="6"/>
  <c r="B1725" i="6"/>
  <c r="B1661" i="6"/>
  <c r="H1852" i="6" a="1"/>
  <c r="F1788" i="6"/>
  <c r="F1660" i="6"/>
  <c r="H1660" i="6" a="1"/>
  <c r="F1724" i="6"/>
  <c r="H1724" i="6" a="1"/>
  <c r="H1788" i="6" a="1"/>
  <c r="F1852" i="6"/>
  <c r="H1788" i="6" l="1"/>
  <c r="H1724" i="6"/>
  <c r="H1660" i="6"/>
  <c r="H1852" i="6"/>
  <c r="B1726" i="6"/>
  <c r="B1662" i="6"/>
  <c r="B1790" i="6"/>
  <c r="B1854" i="6"/>
  <c r="F1661" i="6"/>
  <c r="F1789" i="6"/>
  <c r="H1853" i="6" a="1"/>
  <c r="H1661" i="6" a="1"/>
  <c r="F1725" i="6"/>
  <c r="H1725" i="6" a="1"/>
  <c r="H1789" i="6" a="1"/>
  <c r="F1853" i="6"/>
  <c r="H1725" i="6" l="1"/>
  <c r="H1789" i="6"/>
  <c r="H1853" i="6"/>
  <c r="H1661" i="6"/>
  <c r="B1791" i="6"/>
  <c r="B1855" i="6"/>
  <c r="B1663" i="6"/>
  <c r="B1727" i="6"/>
  <c r="H1854" i="6" a="1"/>
  <c r="H1662" i="6" a="1"/>
  <c r="F1662" i="6"/>
  <c r="H1790" i="6" a="1"/>
  <c r="H1726" i="6" a="1"/>
  <c r="F1726" i="6"/>
  <c r="F1790" i="6"/>
  <c r="F1854" i="6"/>
  <c r="H1662" i="6" l="1"/>
  <c r="H1790" i="6"/>
  <c r="H1726" i="6"/>
  <c r="H1854" i="6"/>
  <c r="B1792" i="6"/>
  <c r="B1728" i="6"/>
  <c r="B1664" i="6"/>
  <c r="B1856" i="6"/>
  <c r="H1727" i="6" a="1"/>
  <c r="F1663" i="6"/>
  <c r="F1791" i="6"/>
  <c r="F1727" i="6"/>
  <c r="H1663" i="6" a="1"/>
  <c r="F1855" i="6"/>
  <c r="H1855" i="6" a="1"/>
  <c r="H1791" i="6" a="1"/>
  <c r="H1855" i="6" l="1"/>
  <c r="H1791" i="6"/>
  <c r="H1663" i="6"/>
  <c r="H1727" i="6"/>
  <c r="B1857" i="6"/>
  <c r="B1729" i="6"/>
  <c r="B1665" i="6"/>
  <c r="B1793" i="6"/>
  <c r="H1856" i="6" a="1"/>
  <c r="H1792" i="6" a="1"/>
  <c r="F1728" i="6"/>
  <c r="H1728" i="6" a="1"/>
  <c r="H1664" i="6" a="1"/>
  <c r="F1792" i="6"/>
  <c r="F1856" i="6"/>
  <c r="F1664" i="6"/>
  <c r="H1792" i="6" l="1"/>
  <c r="H1728" i="6"/>
  <c r="H1664" i="6"/>
  <c r="H1856" i="6"/>
  <c r="B1858" i="6"/>
  <c r="B1730" i="6"/>
  <c r="B1666" i="6"/>
  <c r="B1794" i="6"/>
  <c r="H1857" i="6" a="1"/>
  <c r="H1665" i="6" a="1"/>
  <c r="F1793" i="6"/>
  <c r="F1729" i="6"/>
  <c r="F1665" i="6"/>
  <c r="H1793" i="6" a="1"/>
  <c r="H1729" i="6" a="1"/>
  <c r="F1857" i="6"/>
  <c r="H1793" i="6" l="1"/>
  <c r="H1729" i="6"/>
  <c r="H1665" i="6"/>
  <c r="H1857" i="6"/>
  <c r="B1731" i="6"/>
  <c r="B1667" i="6"/>
  <c r="B1795" i="6"/>
  <c r="B1859" i="6"/>
  <c r="F1858" i="6"/>
  <c r="F1666" i="6"/>
  <c r="H1666" i="6" a="1"/>
  <c r="H1730" i="6" a="1"/>
  <c r="F1730" i="6"/>
  <c r="H1858" i="6" a="1"/>
  <c r="F1794" i="6"/>
  <c r="H1794" i="6" a="1"/>
  <c r="H1794" i="6" l="1"/>
  <c r="H1730" i="6"/>
  <c r="H1666" i="6"/>
  <c r="H1858" i="6"/>
  <c r="B1732" i="6"/>
  <c r="B1796" i="6"/>
  <c r="B1860" i="6"/>
  <c r="F1859" i="6"/>
  <c r="H1731" i="6" a="1"/>
  <c r="F1795" i="6"/>
  <c r="H1667" i="6" a="1"/>
  <c r="F1667" i="6"/>
  <c r="F1731" i="6"/>
  <c r="H1795" i="6" a="1"/>
  <c r="H1859" i="6" a="1"/>
  <c r="H1859" i="6" l="1"/>
  <c r="H1731" i="6"/>
  <c r="H1795" i="6"/>
  <c r="H1667" i="6"/>
  <c r="B1797" i="6"/>
  <c r="B1733" i="6"/>
  <c r="B1861" i="6"/>
  <c r="H1796" i="6" a="1"/>
  <c r="F1860" i="6"/>
  <c r="H1860" i="6" a="1"/>
  <c r="F1732" i="6"/>
  <c r="F1796" i="6"/>
  <c r="H1732" i="6" a="1"/>
  <c r="H1796" i="6" l="1"/>
  <c r="H1860" i="6"/>
  <c r="H1732" i="6"/>
  <c r="B1862" i="6"/>
  <c r="B1798" i="6"/>
  <c r="B1734" i="6"/>
  <c r="H1733" i="6" a="1"/>
  <c r="F1733" i="6"/>
  <c r="F1797" i="6"/>
  <c r="H1797" i="6" a="1"/>
  <c r="H1861" i="6" a="1"/>
  <c r="F1861" i="6"/>
  <c r="H1797" i="6" l="1"/>
  <c r="H1733" i="6"/>
  <c r="H1861" i="6"/>
  <c r="B1799" i="6"/>
  <c r="B1735" i="6"/>
  <c r="B1863" i="6"/>
  <c r="H1734" i="6" a="1"/>
  <c r="F1862" i="6"/>
  <c r="H1798" i="6" a="1"/>
  <c r="F1734" i="6"/>
  <c r="H1862" i="6" a="1"/>
  <c r="F1798" i="6"/>
  <c r="H1734" i="6" l="1"/>
  <c r="H1798" i="6"/>
  <c r="H1862" i="6"/>
  <c r="B1800" i="6"/>
  <c r="B1736" i="6"/>
  <c r="B1864" i="6"/>
  <c r="F1863" i="6"/>
  <c r="H1863" i="6" a="1"/>
  <c r="F1799" i="6"/>
  <c r="H1799" i="6" a="1"/>
  <c r="F1735" i="6"/>
  <c r="H1735" i="6" a="1"/>
  <c r="H1799" i="6" l="1"/>
  <c r="H1863" i="6"/>
  <c r="H1735" i="6"/>
  <c r="B1801" i="6"/>
  <c r="B1737" i="6"/>
  <c r="B1865" i="6"/>
  <c r="F1736" i="6"/>
  <c r="H1800" i="6" a="1"/>
  <c r="H1864" i="6" a="1"/>
  <c r="F1864" i="6"/>
  <c r="H1736" i="6" a="1"/>
  <c r="F1800" i="6"/>
  <c r="H1736" i="6" l="1"/>
  <c r="H1800" i="6"/>
  <c r="H1864" i="6"/>
  <c r="B1738" i="6"/>
  <c r="B1802" i="6"/>
  <c r="B1866" i="6"/>
  <c r="F1737" i="6"/>
  <c r="F1801" i="6"/>
  <c r="H1801" i="6" a="1"/>
  <c r="F1865" i="6"/>
  <c r="H1865" i="6" a="1"/>
  <c r="H1737" i="6" a="1"/>
  <c r="H1865" i="6" l="1"/>
  <c r="H1801" i="6"/>
  <c r="H1737" i="6"/>
  <c r="B1867" i="6"/>
  <c r="B1739" i="6"/>
  <c r="B1803" i="6"/>
  <c r="H1802" i="6" a="1"/>
  <c r="F1738" i="6"/>
  <c r="F1866" i="6"/>
  <c r="H1738" i="6" a="1"/>
  <c r="H1866" i="6" a="1"/>
  <c r="F1802" i="6"/>
  <c r="H1866" i="6" l="1"/>
  <c r="H1802" i="6"/>
  <c r="H1738" i="6"/>
  <c r="B1868" i="6"/>
  <c r="B1804" i="6"/>
  <c r="B1740" i="6"/>
  <c r="H1739" i="6" a="1"/>
  <c r="F1867" i="6"/>
  <c r="H1803" i="6" a="1"/>
  <c r="H1867" i="6" a="1"/>
  <c r="F1803" i="6"/>
  <c r="F1739" i="6"/>
  <c r="H1867" i="6" l="1"/>
  <c r="H1739" i="6"/>
  <c r="H1803" i="6"/>
  <c r="B1741" i="6"/>
  <c r="B1805" i="6"/>
  <c r="B1869" i="6"/>
  <c r="F1868" i="6"/>
  <c r="H1804" i="6" a="1"/>
  <c r="H1740" i="6" a="1"/>
  <c r="H1868" i="6" a="1"/>
  <c r="F1804" i="6"/>
  <c r="F1740" i="6"/>
  <c r="H1868" i="6" l="1"/>
  <c r="H1740" i="6"/>
  <c r="H1804" i="6"/>
  <c r="B1806" i="6"/>
  <c r="B1742" i="6"/>
  <c r="B1870" i="6"/>
  <c r="F1741" i="6"/>
  <c r="F1805" i="6"/>
  <c r="H1805" i="6" a="1"/>
  <c r="H1741" i="6" a="1"/>
  <c r="F1869" i="6"/>
  <c r="H1869" i="6" a="1"/>
  <c r="H1741" i="6" l="1"/>
  <c r="H1805" i="6"/>
  <c r="H1869" i="6"/>
  <c r="B1807" i="6"/>
  <c r="B1743" i="6"/>
  <c r="B1871" i="6"/>
  <c r="F1870" i="6"/>
  <c r="H1806" i="6" a="1"/>
  <c r="F1806" i="6"/>
  <c r="H1870" i="6" a="1"/>
  <c r="H1742" i="6" a="1"/>
  <c r="F1742" i="6"/>
  <c r="H1742" i="6" l="1"/>
  <c r="H1806" i="6"/>
  <c r="H1870" i="6"/>
  <c r="B1808" i="6"/>
  <c r="B1744" i="6"/>
  <c r="B1872" i="6"/>
  <c r="F1807" i="6"/>
  <c r="F1871" i="6"/>
  <c r="H1743" i="6" a="1"/>
  <c r="F1743" i="6"/>
  <c r="H1871" i="6" a="1"/>
  <c r="H1807" i="6" a="1"/>
  <c r="H1871" i="6" l="1"/>
  <c r="H1807" i="6"/>
  <c r="H1743" i="6"/>
  <c r="B1873" i="6"/>
  <c r="B1745" i="6"/>
  <c r="B1809" i="6"/>
  <c r="F1808" i="6"/>
  <c r="H1872" i="6" a="1"/>
  <c r="F1744" i="6"/>
  <c r="H1744" i="6" a="1"/>
  <c r="H1808" i="6" a="1"/>
  <c r="F1872" i="6"/>
  <c r="H1808" i="6" l="1"/>
  <c r="H1872" i="6"/>
  <c r="H1744" i="6"/>
  <c r="B1874" i="6"/>
  <c r="B1746" i="6"/>
  <c r="B1810" i="6"/>
  <c r="H1809" i="6" a="1"/>
  <c r="F1745" i="6"/>
  <c r="F1873" i="6"/>
  <c r="H1745" i="6" a="1"/>
  <c r="F1809" i="6"/>
  <c r="H1873" i="6" a="1"/>
  <c r="H1809" i="6" l="1"/>
  <c r="H1745" i="6"/>
  <c r="H1873" i="6"/>
  <c r="B1747" i="6"/>
  <c r="B1811" i="6"/>
  <c r="B1875" i="6"/>
  <c r="F1810" i="6"/>
  <c r="H1810" i="6" a="1"/>
  <c r="H1874" i="6" a="1"/>
  <c r="H1746" i="6" a="1"/>
  <c r="F1746" i="6"/>
  <c r="F1874" i="6"/>
  <c r="H1874" i="6" l="1"/>
  <c r="H1746" i="6"/>
  <c r="H1810" i="6"/>
  <c r="B1748" i="6"/>
  <c r="B1812" i="6"/>
  <c r="B1876" i="6"/>
  <c r="F1811" i="6"/>
  <c r="F1875" i="6"/>
  <c r="H1747" i="6" a="1"/>
  <c r="H1811" i="6" a="1"/>
  <c r="F1747" i="6"/>
  <c r="H1875" i="6" a="1"/>
  <c r="H1875" i="6" l="1"/>
  <c r="H1747" i="6"/>
  <c r="H1811" i="6"/>
  <c r="B1813" i="6"/>
  <c r="B1749" i="6"/>
  <c r="B1877" i="6"/>
  <c r="B1941" i="6"/>
  <c r="F1876" i="6"/>
  <c r="H1812" i="6" a="1"/>
  <c r="F1812" i="6"/>
  <c r="H1748" i="6" a="1"/>
  <c r="F1748" i="6"/>
  <c r="H1876" i="6" a="1"/>
  <c r="H1876" i="6" l="1"/>
  <c r="H1748" i="6"/>
  <c r="H1812" i="6"/>
  <c r="B1878" i="6"/>
  <c r="B1814" i="6"/>
  <c r="B1750" i="6"/>
  <c r="B1942" i="6"/>
  <c r="F1877" i="6"/>
  <c r="H1877" i="6" a="1"/>
  <c r="F1941" i="6"/>
  <c r="F1749" i="6"/>
  <c r="H1813" i="6" a="1"/>
  <c r="F1813" i="6"/>
  <c r="H1749" i="6" a="1"/>
  <c r="H1941" i="6" a="1"/>
  <c r="H1941" i="6" l="1"/>
  <c r="H1813" i="6"/>
  <c r="H1877" i="6"/>
  <c r="H1749" i="6"/>
  <c r="B1815" i="6"/>
  <c r="B1751" i="6"/>
  <c r="B1879" i="6"/>
  <c r="B1943" i="6"/>
  <c r="F1814" i="6"/>
  <c r="H1814" i="6" a="1"/>
  <c r="F1942" i="6"/>
  <c r="H1878" i="6" a="1"/>
  <c r="H1942" i="6" a="1"/>
  <c r="F1750" i="6"/>
  <c r="F1878" i="6"/>
  <c r="H1750" i="6" a="1"/>
  <c r="H1750" i="6" l="1"/>
  <c r="H1878" i="6"/>
  <c r="H1814" i="6"/>
  <c r="H1942" i="6"/>
  <c r="B1816" i="6"/>
  <c r="B1752" i="6"/>
  <c r="B1880" i="6"/>
  <c r="B1944" i="6"/>
  <c r="F1815" i="6"/>
  <c r="H1751" i="6" a="1"/>
  <c r="F1751" i="6"/>
  <c r="H1943" i="6" a="1"/>
  <c r="H1815" i="6" a="1"/>
  <c r="F1879" i="6"/>
  <c r="H1879" i="6" a="1"/>
  <c r="F1943" i="6"/>
  <c r="H1879" i="6" l="1"/>
  <c r="H1943" i="6"/>
  <c r="H1751" i="6"/>
  <c r="H1815" i="6"/>
  <c r="B1881" i="6"/>
  <c r="B1945" i="6"/>
  <c r="B1817" i="6"/>
  <c r="B1753" i="6"/>
  <c r="H1816" i="6" a="1"/>
  <c r="H1944" i="6" a="1"/>
  <c r="F1880" i="6"/>
  <c r="H1880" i="6" a="1"/>
  <c r="F1944" i="6"/>
  <c r="F1752" i="6"/>
  <c r="F1816" i="6"/>
  <c r="H1752" i="6" a="1"/>
  <c r="H1752" i="6" l="1"/>
  <c r="H1880" i="6"/>
  <c r="H1944" i="6"/>
  <c r="H1816" i="6"/>
  <c r="B1754" i="6"/>
  <c r="B1818" i="6"/>
  <c r="B1946" i="6"/>
  <c r="B1882" i="6"/>
  <c r="H1881" i="6" a="1"/>
  <c r="F1881" i="6"/>
  <c r="H1945" i="6" a="1"/>
  <c r="F1753" i="6"/>
  <c r="F1945" i="6"/>
  <c r="H1817" i="6" a="1"/>
  <c r="F1817" i="6"/>
  <c r="H1753" i="6" a="1"/>
  <c r="H1753" i="6" l="1"/>
  <c r="H1817" i="6"/>
  <c r="H1945" i="6"/>
  <c r="H1881" i="6"/>
  <c r="B1947" i="6"/>
  <c r="B1755" i="6"/>
  <c r="B1819" i="6"/>
  <c r="B1883" i="6"/>
  <c r="F1754" i="6"/>
  <c r="F1818" i="6"/>
  <c r="H1946" i="6" a="1"/>
  <c r="H1754" i="6" a="1"/>
  <c r="F1882" i="6"/>
  <c r="H1818" i="6" a="1"/>
  <c r="H1882" i="6" a="1"/>
  <c r="F1946" i="6"/>
  <c r="H1946" i="6" l="1"/>
  <c r="H1882" i="6"/>
  <c r="H1754" i="6"/>
  <c r="H1818" i="6"/>
  <c r="B1820" i="6"/>
  <c r="B1756" i="6"/>
  <c r="B1948" i="6"/>
  <c r="B1884" i="6"/>
  <c r="F1883" i="6"/>
  <c r="F1755" i="6"/>
  <c r="H1819" i="6" a="1"/>
  <c r="F1947" i="6"/>
  <c r="F1819" i="6"/>
  <c r="H1947" i="6" a="1"/>
  <c r="H1755" i="6" a="1"/>
  <c r="H1883" i="6" a="1"/>
  <c r="H1947" i="6" l="1"/>
  <c r="H1819" i="6"/>
  <c r="H1755" i="6"/>
  <c r="H1883" i="6"/>
  <c r="B1949" i="6"/>
  <c r="B1757" i="6"/>
  <c r="B1821" i="6"/>
  <c r="B1885" i="6"/>
  <c r="H1756" i="6" a="1"/>
  <c r="H1948" i="6" a="1"/>
  <c r="F1884" i="6"/>
  <c r="F1820" i="6"/>
  <c r="H1820" i="6" a="1"/>
  <c r="H1884" i="6" a="1"/>
  <c r="F1948" i="6"/>
  <c r="F1756" i="6"/>
  <c r="H1884" i="6" l="1"/>
  <c r="H1948" i="6"/>
  <c r="H1820" i="6"/>
  <c r="H1756" i="6"/>
  <c r="B1822" i="6"/>
  <c r="B1758" i="6"/>
  <c r="B1950" i="6"/>
  <c r="B1886" i="6"/>
  <c r="F1949" i="6"/>
  <c r="H1757" i="6" a="1"/>
  <c r="F1885" i="6"/>
  <c r="F1821" i="6"/>
  <c r="H1885" i="6" a="1"/>
  <c r="F1757" i="6"/>
  <c r="H1821" i="6" a="1"/>
  <c r="H1949" i="6" a="1"/>
  <c r="H1821" i="6" l="1"/>
  <c r="H1949" i="6"/>
  <c r="H1757" i="6"/>
  <c r="H1885" i="6"/>
  <c r="B1951" i="6"/>
  <c r="B1823" i="6"/>
  <c r="B1887" i="6"/>
  <c r="F1886" i="6"/>
  <c r="F1758" i="6"/>
  <c r="H1822" i="6" a="1"/>
  <c r="H1950" i="6" a="1"/>
  <c r="H1886" i="6" a="1"/>
  <c r="F1950" i="6"/>
  <c r="F1822" i="6"/>
  <c r="H1758" i="6" a="1"/>
  <c r="H1950" i="6" l="1"/>
  <c r="H1886" i="6"/>
  <c r="H1758" i="6"/>
  <c r="H1822" i="6"/>
  <c r="B1888" i="6"/>
  <c r="B1824" i="6"/>
  <c r="B1952" i="6"/>
  <c r="F1823" i="6"/>
  <c r="F1887" i="6"/>
  <c r="H1823" i="6" a="1"/>
  <c r="H1887" i="6" a="1"/>
  <c r="H1951" i="6" a="1"/>
  <c r="F1951" i="6"/>
  <c r="H1951" i="6" l="1"/>
  <c r="H1823" i="6"/>
  <c r="H1887" i="6"/>
  <c r="B1953" i="6"/>
  <c r="B1889" i="6"/>
  <c r="B1825" i="6"/>
  <c r="H1824" i="6" a="1"/>
  <c r="F1824" i="6"/>
  <c r="H1888" i="6" a="1"/>
  <c r="H1952" i="6" a="1"/>
  <c r="F1952" i="6"/>
  <c r="F1888" i="6"/>
  <c r="H1888" i="6" l="1"/>
  <c r="H1824" i="6"/>
  <c r="H1952" i="6"/>
  <c r="B1890" i="6"/>
  <c r="B1826" i="6"/>
  <c r="B1954" i="6"/>
  <c r="F1953" i="6"/>
  <c r="F1825" i="6"/>
  <c r="H1889" i="6" a="1"/>
  <c r="H1825" i="6" a="1"/>
  <c r="F1889" i="6"/>
  <c r="H1953" i="6" a="1"/>
  <c r="H1953" i="6" l="1"/>
  <c r="H1889" i="6"/>
  <c r="H1825" i="6"/>
  <c r="B1827" i="6"/>
  <c r="B1891" i="6"/>
  <c r="B1955" i="6"/>
  <c r="H1826" i="6" a="1"/>
  <c r="H1890" i="6" a="1"/>
  <c r="F1826" i="6"/>
  <c r="F1954" i="6"/>
  <c r="F1890" i="6"/>
  <c r="H1954" i="6" a="1"/>
  <c r="H1826" i="6" l="1"/>
  <c r="H1954" i="6"/>
  <c r="H1890" i="6"/>
  <c r="B1956" i="6"/>
  <c r="B1892" i="6"/>
  <c r="B1828" i="6"/>
  <c r="F1955" i="6"/>
  <c r="F1827" i="6"/>
  <c r="F1891" i="6"/>
  <c r="H1891" i="6" a="1"/>
  <c r="H1955" i="6" a="1"/>
  <c r="H1827" i="6" a="1"/>
  <c r="H1891" i="6" l="1"/>
  <c r="H1955" i="6"/>
  <c r="H1827" i="6"/>
  <c r="B1957" i="6"/>
  <c r="B1829" i="6"/>
  <c r="B1893" i="6"/>
  <c r="F1956" i="6"/>
  <c r="F1828" i="6"/>
  <c r="H1956" i="6" a="1"/>
  <c r="H1828" i="6" a="1"/>
  <c r="F1892" i="6"/>
  <c r="H1892" i="6" a="1"/>
  <c r="H1892" i="6" l="1"/>
  <c r="H1956" i="6"/>
  <c r="H1828" i="6"/>
  <c r="B1958" i="6"/>
  <c r="B1894" i="6"/>
  <c r="B1830" i="6"/>
  <c r="H1893" i="6" a="1"/>
  <c r="F1957" i="6"/>
  <c r="H1829" i="6" a="1"/>
  <c r="F1829" i="6"/>
  <c r="F1893" i="6"/>
  <c r="H1957" i="6" a="1"/>
  <c r="H1829" i="6" l="1"/>
  <c r="H1893" i="6"/>
  <c r="H1957" i="6"/>
  <c r="B1895" i="6"/>
  <c r="B1831" i="6"/>
  <c r="B1959" i="6"/>
  <c r="F1958" i="6"/>
  <c r="F1894" i="6"/>
  <c r="H1894" i="6" a="1"/>
  <c r="H1958" i="6" a="1"/>
  <c r="H1830" i="6" a="1"/>
  <c r="F1830" i="6"/>
  <c r="H1958" i="6" l="1"/>
  <c r="H1894" i="6"/>
  <c r="H1830" i="6"/>
  <c r="B1896" i="6"/>
  <c r="B1832" i="6"/>
  <c r="B1960" i="6"/>
  <c r="H1895" i="6" a="1"/>
  <c r="F1895" i="6"/>
  <c r="F1831" i="6"/>
  <c r="H1831" i="6" a="1"/>
  <c r="H1959" i="6" a="1"/>
  <c r="F1959" i="6"/>
  <c r="H1959" i="6" l="1"/>
  <c r="H1895" i="6"/>
  <c r="H1831" i="6"/>
  <c r="B1961" i="6"/>
  <c r="B1897" i="6"/>
  <c r="B1833" i="6"/>
  <c r="F1896" i="6"/>
  <c r="H1832" i="6" a="1"/>
  <c r="H1896" i="6" a="1"/>
  <c r="H1960" i="6" a="1"/>
  <c r="F1960" i="6"/>
  <c r="F1832" i="6"/>
  <c r="H1960" i="6" l="1"/>
  <c r="H1832" i="6"/>
  <c r="H1896" i="6"/>
  <c r="B1898" i="6"/>
  <c r="B1834" i="6"/>
  <c r="B1962" i="6"/>
  <c r="H1961" i="6" a="1"/>
  <c r="F1897" i="6"/>
  <c r="F1961" i="6"/>
  <c r="H1833" i="6" a="1"/>
  <c r="F1833" i="6"/>
  <c r="H1897" i="6" a="1"/>
  <c r="H1961" i="6" l="1"/>
  <c r="H1897" i="6"/>
  <c r="H1833" i="6"/>
  <c r="B1835" i="6"/>
  <c r="B1899" i="6"/>
  <c r="B1963" i="6"/>
  <c r="H1834" i="6" a="1"/>
  <c r="F1962" i="6"/>
  <c r="F1898" i="6"/>
  <c r="H1898" i="6" a="1"/>
  <c r="F1834" i="6"/>
  <c r="H1962" i="6" a="1"/>
  <c r="H1962" i="6" l="1"/>
  <c r="H1834" i="6"/>
  <c r="H1898" i="6"/>
  <c r="B1836" i="6"/>
  <c r="B1900" i="6"/>
  <c r="B1964" i="6"/>
  <c r="H1899" i="6" a="1"/>
  <c r="F1963" i="6"/>
  <c r="H1835" i="6" a="1"/>
  <c r="H1963" i="6" a="1"/>
  <c r="F1835" i="6"/>
  <c r="F1899" i="6"/>
  <c r="H1963" i="6" l="1"/>
  <c r="H1899" i="6"/>
  <c r="H1835" i="6"/>
  <c r="B1965" i="6"/>
  <c r="B1837" i="6"/>
  <c r="B1901" i="6"/>
  <c r="F1964" i="6"/>
  <c r="H1836" i="6" a="1"/>
  <c r="H1964" i="6" a="1"/>
  <c r="F1900" i="6"/>
  <c r="H1900" i="6" a="1"/>
  <c r="F1836" i="6"/>
  <c r="H1900" i="6" l="1"/>
  <c r="H1836" i="6"/>
  <c r="H1964" i="6"/>
  <c r="B1966" i="6"/>
  <c r="B1838" i="6"/>
  <c r="B1902" i="6"/>
  <c r="H1837" i="6" a="1"/>
  <c r="H1901" i="6" a="1"/>
  <c r="H1965" i="6" a="1"/>
  <c r="F1837" i="6"/>
  <c r="F1965" i="6"/>
  <c r="F1901" i="6"/>
  <c r="H1837" i="6" l="1"/>
  <c r="H1901" i="6"/>
  <c r="H1965" i="6"/>
  <c r="B1967" i="6"/>
  <c r="B1903" i="6"/>
  <c r="B1839" i="6"/>
  <c r="F1902" i="6"/>
  <c r="F1966" i="6"/>
  <c r="H1966" i="6" a="1"/>
  <c r="H1902" i="6" a="1"/>
  <c r="H1838" i="6" a="1"/>
  <c r="F1838" i="6"/>
  <c r="H1902" i="6" l="1"/>
  <c r="H1838" i="6"/>
  <c r="H1966" i="6"/>
  <c r="B2032" i="6"/>
  <c r="B1904" i="6"/>
  <c r="B1840" i="6"/>
  <c r="B1968" i="6"/>
  <c r="F1903" i="6"/>
  <c r="F1839" i="6"/>
  <c r="H1903" i="6" a="1"/>
  <c r="H1839" i="6" a="1"/>
  <c r="H1967" i="6" a="1"/>
  <c r="F1967" i="6"/>
  <c r="H1967" i="6" l="1"/>
  <c r="H1839" i="6"/>
  <c r="H1903" i="6"/>
  <c r="B1905" i="6"/>
  <c r="B1841" i="6"/>
  <c r="B1969" i="6"/>
  <c r="B2033" i="6"/>
  <c r="H1968" i="6" a="1"/>
  <c r="H1904" i="6" a="1"/>
  <c r="F1840" i="6"/>
  <c r="F1904" i="6"/>
  <c r="F1968" i="6"/>
  <c r="F2032" i="6"/>
  <c r="H1840" i="6" a="1"/>
  <c r="H2032" i="6" a="1"/>
  <c r="H2032" i="6" l="1"/>
  <c r="H1968" i="6"/>
  <c r="H1904" i="6"/>
  <c r="H1840" i="6"/>
  <c r="B1906" i="6"/>
  <c r="B1842" i="6"/>
  <c r="B1970" i="6"/>
  <c r="B2034" i="6"/>
  <c r="F2033" i="6"/>
  <c r="H1841" i="6" a="1"/>
  <c r="F1969" i="6"/>
  <c r="H2033" i="6" a="1"/>
  <c r="F1905" i="6"/>
  <c r="H1969" i="6" a="1"/>
  <c r="F1841" i="6"/>
  <c r="H1905" i="6" a="1"/>
  <c r="H1969" i="6" l="1"/>
  <c r="H1905" i="6"/>
  <c r="H2033" i="6"/>
  <c r="H1841" i="6"/>
  <c r="B1971" i="6"/>
  <c r="B1843" i="6"/>
  <c r="B1907" i="6"/>
  <c r="B2035" i="6"/>
  <c r="H2034" i="6" a="1"/>
  <c r="F1842" i="6"/>
  <c r="H1970" i="6" a="1"/>
  <c r="F1906" i="6"/>
  <c r="H1842" i="6" a="1"/>
  <c r="F2034" i="6"/>
  <c r="H1906" i="6" a="1"/>
  <c r="F1970" i="6"/>
  <c r="H1970" i="6" l="1"/>
  <c r="H1906" i="6"/>
  <c r="H1842" i="6"/>
  <c r="H2034" i="6"/>
  <c r="B2036" i="6"/>
  <c r="B1908" i="6"/>
  <c r="B1844" i="6"/>
  <c r="B1972" i="6"/>
  <c r="H2035" i="6" a="1"/>
  <c r="H1907" i="6" a="1"/>
  <c r="H1843" i="6" a="1"/>
  <c r="H1971" i="6" a="1"/>
  <c r="F1971" i="6"/>
  <c r="F2035" i="6"/>
  <c r="F1907" i="6"/>
  <c r="F1843" i="6"/>
  <c r="H1971" i="6" l="1"/>
  <c r="H1843" i="6"/>
  <c r="H1907" i="6"/>
  <c r="H2035" i="6"/>
  <c r="B2037" i="6"/>
  <c r="B1973" i="6"/>
  <c r="B1845" i="6"/>
  <c r="B1909" i="6"/>
  <c r="F1908" i="6"/>
  <c r="H1972" i="6" a="1"/>
  <c r="H1844" i="6" a="1"/>
  <c r="H2036" i="6" a="1"/>
  <c r="F2036" i="6"/>
  <c r="F1972" i="6"/>
  <c r="F1844" i="6"/>
  <c r="H1908" i="6" a="1"/>
  <c r="H2036" i="6" l="1"/>
  <c r="H1844" i="6"/>
  <c r="H1908" i="6"/>
  <c r="H1972" i="6"/>
  <c r="B1974" i="6"/>
  <c r="B2038" i="6"/>
  <c r="B1910" i="6"/>
  <c r="B1846" i="6"/>
  <c r="F1973" i="6"/>
  <c r="F1909" i="6"/>
  <c r="H1973" i="6" a="1"/>
  <c r="H2037" i="6" a="1"/>
  <c r="F2037" i="6"/>
  <c r="H1909" i="6" a="1"/>
  <c r="F1845" i="6"/>
  <c r="H1845" i="6" a="1"/>
  <c r="H1909" i="6" l="1"/>
  <c r="H2037" i="6"/>
  <c r="H1973" i="6"/>
  <c r="H1845" i="6"/>
  <c r="B1911" i="6"/>
  <c r="B1847" i="6"/>
  <c r="B1975" i="6"/>
  <c r="B2039" i="6"/>
  <c r="F1846" i="6"/>
  <c r="F2038" i="6"/>
  <c r="H2038" i="6" a="1"/>
  <c r="H1910" i="6" a="1"/>
  <c r="H1846" i="6" a="1"/>
  <c r="F1910" i="6"/>
  <c r="F1974" i="6"/>
  <c r="H1974" i="6" a="1"/>
  <c r="H2038" i="6" l="1"/>
  <c r="H1974" i="6"/>
  <c r="H1910" i="6"/>
  <c r="H1846" i="6"/>
  <c r="B1912" i="6"/>
  <c r="B1848" i="6"/>
  <c r="B1976" i="6"/>
  <c r="B2040" i="6"/>
  <c r="H1911" i="6" a="1"/>
  <c r="H1975" i="6" a="1"/>
  <c r="H2039" i="6" a="1"/>
  <c r="F1911" i="6"/>
  <c r="F1975" i="6"/>
  <c r="F2039" i="6"/>
  <c r="F1847" i="6"/>
  <c r="H1847" i="6" a="1"/>
  <c r="H1847" i="6" l="1"/>
  <c r="H1975" i="6"/>
  <c r="H2039" i="6"/>
  <c r="H1911" i="6"/>
  <c r="B1913" i="6"/>
  <c r="B1849" i="6"/>
  <c r="B1977" i="6"/>
  <c r="B2041" i="6"/>
  <c r="F2040" i="6"/>
  <c r="H1912" i="6" a="1"/>
  <c r="F1976" i="6"/>
  <c r="F1912" i="6"/>
  <c r="H2040" i="6" a="1"/>
  <c r="H1976" i="6" a="1"/>
  <c r="F1848" i="6"/>
  <c r="H1848" i="6" a="1"/>
  <c r="H1848" i="6" l="1"/>
  <c r="H1976" i="6"/>
  <c r="H1912" i="6"/>
  <c r="H2040" i="6"/>
  <c r="B1914" i="6"/>
  <c r="B2042" i="6"/>
  <c r="B1978" i="6"/>
  <c r="F1913" i="6"/>
  <c r="H1977" i="6" a="1"/>
  <c r="F2041" i="6"/>
  <c r="H2041" i="6" a="1"/>
  <c r="H1849" i="6" a="1"/>
  <c r="F1849" i="6"/>
  <c r="F1977" i="6"/>
  <c r="H1913" i="6" a="1"/>
  <c r="H1913" i="6" l="1"/>
  <c r="H1977" i="6"/>
  <c r="H2041" i="6"/>
  <c r="H1849" i="6"/>
  <c r="B2043" i="6"/>
  <c r="B1979" i="6"/>
  <c r="B1915" i="6"/>
  <c r="H1914" i="6" a="1"/>
  <c r="F2042" i="6"/>
  <c r="F1914" i="6"/>
  <c r="H2042" i="6" a="1"/>
  <c r="F1978" i="6"/>
  <c r="H1978" i="6" a="1"/>
  <c r="H2042" i="6" l="1"/>
  <c r="H1914" i="6"/>
  <c r="H1978" i="6"/>
  <c r="B1980" i="6"/>
  <c r="B1916" i="6"/>
  <c r="B2044" i="6"/>
  <c r="F1979" i="6"/>
  <c r="F1915" i="6"/>
  <c r="F2043" i="6"/>
  <c r="H1915" i="6" a="1"/>
  <c r="H2043" i="6" a="1"/>
  <c r="H1979" i="6" a="1"/>
  <c r="H1979" i="6" l="1"/>
  <c r="H2043" i="6"/>
  <c r="H1915" i="6"/>
  <c r="B1981" i="6"/>
  <c r="B1917" i="6"/>
  <c r="B2045" i="6"/>
  <c r="H2044" i="6" a="1"/>
  <c r="H1980" i="6" a="1"/>
  <c r="F1916" i="6"/>
  <c r="F1980" i="6"/>
  <c r="F2044" i="6"/>
  <c r="H1916" i="6" a="1"/>
  <c r="H1916" i="6" l="1"/>
  <c r="H2044" i="6"/>
  <c r="H1980" i="6"/>
  <c r="B1982" i="6"/>
  <c r="B1918" i="6"/>
  <c r="B2046" i="6"/>
  <c r="H1917" i="6" a="1"/>
  <c r="H2045" i="6" a="1"/>
  <c r="F1981" i="6"/>
  <c r="F1917" i="6"/>
  <c r="F2045" i="6"/>
  <c r="H1981" i="6" a="1"/>
  <c r="H1917" i="6" l="1"/>
  <c r="H1981" i="6"/>
  <c r="H2045" i="6"/>
  <c r="B1919" i="6"/>
  <c r="B1983" i="6"/>
  <c r="B2047" i="6"/>
  <c r="F1918" i="6"/>
  <c r="H1982" i="6" a="1"/>
  <c r="H2046" i="6" a="1"/>
  <c r="F2046" i="6"/>
  <c r="H1918" i="6" a="1"/>
  <c r="F1982" i="6"/>
  <c r="H1918" i="6" l="1"/>
  <c r="H1982" i="6"/>
  <c r="H2046" i="6"/>
  <c r="B2048" i="6"/>
  <c r="B1984" i="6"/>
  <c r="B1920" i="6"/>
  <c r="H1983" i="6" a="1"/>
  <c r="F2047" i="6"/>
  <c r="H2047" i="6" a="1"/>
  <c r="F1983" i="6"/>
  <c r="F1919" i="6"/>
  <c r="H1919" i="6" a="1"/>
  <c r="H2047" i="6" l="1"/>
  <c r="H1983" i="6"/>
  <c r="H1919" i="6"/>
  <c r="B1921" i="6"/>
  <c r="B1985" i="6"/>
  <c r="B2049" i="6"/>
  <c r="H2048" i="6" a="1"/>
  <c r="F1984" i="6"/>
  <c r="H1984" i="6" a="1"/>
  <c r="F2048" i="6"/>
  <c r="H1920" i="6" a="1"/>
  <c r="F1920" i="6"/>
  <c r="H2048" i="6" l="1"/>
  <c r="H1984" i="6"/>
  <c r="H1920" i="6"/>
  <c r="B1922" i="6"/>
  <c r="B1986" i="6"/>
  <c r="B2050" i="6"/>
  <c r="H1921" i="6" a="1"/>
  <c r="F2049" i="6"/>
  <c r="F1921" i="6"/>
  <c r="F1985" i="6"/>
  <c r="H2049" i="6" a="1"/>
  <c r="H1985" i="6" a="1"/>
  <c r="H1921" i="6" l="1"/>
  <c r="H2049" i="6"/>
  <c r="H1985" i="6"/>
  <c r="B1987" i="6"/>
  <c r="B1923" i="6"/>
  <c r="B2051" i="6"/>
  <c r="H1986" i="6" a="1"/>
  <c r="F2050" i="6"/>
  <c r="H2050" i="6" a="1"/>
  <c r="F1922" i="6"/>
  <c r="F1986" i="6"/>
  <c r="H1922" i="6" a="1"/>
  <c r="H2050" i="6" l="1"/>
  <c r="H1986" i="6"/>
  <c r="H1922" i="6"/>
  <c r="B1988" i="6"/>
  <c r="B1924" i="6"/>
  <c r="B2052" i="6"/>
  <c r="H1987" i="6" a="1"/>
  <c r="F1923" i="6"/>
  <c r="F2051" i="6"/>
  <c r="F1987" i="6"/>
  <c r="H2051" i="6" a="1"/>
  <c r="H1923" i="6" a="1"/>
  <c r="H2051" i="6" l="1"/>
  <c r="H1987" i="6"/>
  <c r="H1923" i="6"/>
  <c r="B1989" i="6"/>
  <c r="B1925" i="6"/>
  <c r="B2053" i="6"/>
  <c r="F1924" i="6"/>
  <c r="F2052" i="6"/>
  <c r="H2052" i="6" a="1"/>
  <c r="F1988" i="6"/>
  <c r="H1988" i="6" a="1"/>
  <c r="H1924" i="6" a="1"/>
  <c r="H2052" i="6" l="1"/>
  <c r="H1924" i="6"/>
  <c r="H1988" i="6"/>
  <c r="B1990" i="6"/>
  <c r="B1926" i="6"/>
  <c r="B2054" i="6"/>
  <c r="F2053" i="6"/>
  <c r="H2053" i="6" a="1"/>
  <c r="F1925" i="6"/>
  <c r="H1989" i="6" a="1"/>
  <c r="H1925" i="6" a="1"/>
  <c r="F1989" i="6"/>
  <c r="H1925" i="6" l="1"/>
  <c r="H1989" i="6"/>
  <c r="H2053" i="6"/>
  <c r="B2055" i="6"/>
  <c r="B1927" i="6"/>
  <c r="B1991" i="6"/>
  <c r="H1990" i="6" a="1"/>
  <c r="H1926" i="6" a="1"/>
  <c r="F2054" i="6"/>
  <c r="F1990" i="6"/>
  <c r="H2054" i="6" a="1"/>
  <c r="F1926" i="6"/>
  <c r="H2054" i="6" l="1"/>
  <c r="H1926" i="6"/>
  <c r="H1990" i="6"/>
  <c r="B2056" i="6"/>
  <c r="B1928" i="6"/>
  <c r="B1992" i="6"/>
  <c r="H1991" i="6" a="1"/>
  <c r="F2055" i="6"/>
  <c r="H1927" i="6" a="1"/>
  <c r="F1991" i="6"/>
  <c r="H2055" i="6" a="1"/>
  <c r="F1927" i="6"/>
  <c r="H1927" i="6" l="1"/>
  <c r="H1991" i="6"/>
  <c r="H2055" i="6"/>
  <c r="B2057" i="6"/>
  <c r="B1993" i="6"/>
  <c r="B1929" i="6"/>
  <c r="F1992" i="6"/>
  <c r="F2056" i="6"/>
  <c r="H1928" i="6" a="1"/>
  <c r="H1992" i="6" a="1"/>
  <c r="H2056" i="6" a="1"/>
  <c r="F1928" i="6"/>
  <c r="H1992" i="6" l="1"/>
  <c r="H1928" i="6"/>
  <c r="H2056" i="6"/>
  <c r="B1994" i="6"/>
  <c r="B1930" i="6"/>
  <c r="B2058" i="6"/>
  <c r="F1929" i="6"/>
  <c r="F2057" i="6"/>
  <c r="H1929" i="6" a="1"/>
  <c r="F1993" i="6"/>
  <c r="H2057" i="6" a="1"/>
  <c r="H1993" i="6" a="1"/>
  <c r="H2057" i="6" l="1"/>
  <c r="H1993" i="6"/>
  <c r="H1929" i="6"/>
  <c r="B1995" i="6"/>
  <c r="B1931" i="6"/>
  <c r="B2059" i="6"/>
  <c r="F1930" i="6"/>
  <c r="H1930" i="6" a="1"/>
  <c r="F2058" i="6"/>
  <c r="H1994" i="6" a="1"/>
  <c r="H2058" i="6" a="1"/>
  <c r="F1994" i="6"/>
  <c r="H2058" i="6" l="1"/>
  <c r="H1994" i="6"/>
  <c r="H1930" i="6"/>
  <c r="B1996" i="6"/>
  <c r="B1932" i="6"/>
  <c r="B2060" i="6"/>
  <c r="H2059" i="6" a="1"/>
  <c r="F1995" i="6"/>
  <c r="F2059" i="6"/>
  <c r="H1931" i="6" a="1"/>
  <c r="H1995" i="6" a="1"/>
  <c r="F1931" i="6"/>
  <c r="H1995" i="6" l="1"/>
  <c r="H2059" i="6"/>
  <c r="H1931" i="6"/>
  <c r="B1997" i="6"/>
  <c r="B1933" i="6"/>
  <c r="B2061" i="6"/>
  <c r="F2060" i="6"/>
  <c r="H2060" i="6" a="1"/>
  <c r="H1932" i="6" a="1"/>
  <c r="F1932" i="6"/>
  <c r="F1996" i="6"/>
  <c r="H1996" i="6" a="1"/>
  <c r="H1932" i="6" l="1"/>
  <c r="H1996" i="6"/>
  <c r="H2060" i="6"/>
  <c r="B1998" i="6"/>
  <c r="B1934" i="6"/>
  <c r="B2062" i="6"/>
  <c r="H2061" i="6" a="1"/>
  <c r="F1933" i="6"/>
  <c r="F2061" i="6"/>
  <c r="F1997" i="6"/>
  <c r="H1997" i="6" a="1"/>
  <c r="H1933" i="6" a="1"/>
  <c r="H1997" i="6" l="1"/>
  <c r="H2061" i="6"/>
  <c r="H1933" i="6"/>
  <c r="B1935" i="6"/>
  <c r="B1999" i="6"/>
  <c r="B2063" i="6"/>
  <c r="H2062" i="6" a="1"/>
  <c r="F1934" i="6"/>
  <c r="F2062" i="6"/>
  <c r="H1998" i="6" a="1"/>
  <c r="H1934" i="6" a="1"/>
  <c r="F1998" i="6"/>
  <c r="H1934" i="6" l="1"/>
  <c r="H1998" i="6"/>
  <c r="H2062" i="6"/>
  <c r="B2064" i="6"/>
  <c r="B2000" i="6"/>
  <c r="B1936" i="6"/>
  <c r="H1999" i="6" a="1"/>
  <c r="F1935" i="6"/>
  <c r="H1935" i="6" a="1"/>
  <c r="F1999" i="6"/>
  <c r="H2063" i="6" a="1"/>
  <c r="F2063" i="6"/>
  <c r="H1935" i="6" l="1"/>
  <c r="H1999" i="6"/>
  <c r="H2063" i="6"/>
  <c r="B1937" i="6"/>
  <c r="B2001" i="6"/>
  <c r="B2065" i="6"/>
  <c r="H2064" i="6" a="1"/>
  <c r="F2064" i="6"/>
  <c r="F1936" i="6"/>
  <c r="H1936" i="6" a="1"/>
  <c r="H2000" i="6" a="1"/>
  <c r="F2000" i="6"/>
  <c r="H2064" i="6" l="1"/>
  <c r="H2000" i="6"/>
  <c r="H1936" i="6"/>
  <c r="B2066" i="6"/>
  <c r="B1938" i="6"/>
  <c r="B2002" i="6"/>
  <c r="F2001" i="6"/>
  <c r="H1937" i="6" a="1"/>
  <c r="F2065" i="6"/>
  <c r="F1937" i="6"/>
  <c r="H2001" i="6" a="1"/>
  <c r="H2065" i="6" a="1"/>
  <c r="H2001" i="6" l="1"/>
  <c r="H1937" i="6"/>
  <c r="H2065" i="6"/>
  <c r="B2067" i="6"/>
  <c r="B2003" i="6"/>
  <c r="B1939" i="6"/>
  <c r="F1938" i="6"/>
  <c r="F2066" i="6"/>
  <c r="H1938" i="6" a="1"/>
  <c r="F2002" i="6"/>
  <c r="H2002" i="6" a="1"/>
  <c r="H2066" i="6" a="1"/>
  <c r="H2002" i="6" l="1"/>
  <c r="H2066" i="6"/>
  <c r="H1938" i="6"/>
  <c r="B2068" i="6"/>
  <c r="B2004" i="6"/>
  <c r="B1940" i="6"/>
  <c r="H2003" i="6" a="1"/>
  <c r="F2003" i="6"/>
  <c r="F1939" i="6"/>
  <c r="F2067" i="6"/>
  <c r="H2067" i="6" a="1"/>
  <c r="H1939" i="6" a="1"/>
  <c r="H2003" i="6" l="1"/>
  <c r="H2067" i="6"/>
  <c r="H1939" i="6"/>
  <c r="B2005" i="6"/>
  <c r="B2069" i="6"/>
  <c r="H1940" i="6" a="1"/>
  <c r="F2004" i="6"/>
  <c r="H2004" i="6" a="1"/>
  <c r="F1940" i="6"/>
  <c r="H2068" i="6" a="1"/>
  <c r="F2068" i="6"/>
  <c r="H2004" i="6" l="1"/>
  <c r="H1940" i="6"/>
  <c r="H2068" i="6"/>
  <c r="B2070" i="6"/>
  <c r="B2006" i="6"/>
  <c r="F2005" i="6"/>
  <c r="F2069" i="6"/>
  <c r="H2069" i="6" a="1"/>
  <c r="H2005" i="6" a="1"/>
  <c r="H2005" i="6" l="1"/>
  <c r="H2069" i="6"/>
  <c r="B2071" i="6"/>
  <c r="B2007" i="6"/>
  <c r="F2006" i="6"/>
  <c r="H2070" i="6" a="1"/>
  <c r="H2006" i="6" a="1"/>
  <c r="F2070" i="6"/>
  <c r="H2006" i="6" l="1"/>
  <c r="H2070" i="6"/>
  <c r="B2072" i="6"/>
  <c r="B2008" i="6"/>
  <c r="F2007" i="6"/>
  <c r="F2071" i="6"/>
  <c r="H2071" i="6" a="1"/>
  <c r="H2007" i="6" a="1"/>
  <c r="H2007" i="6" l="1"/>
  <c r="H2071" i="6"/>
  <c r="B2009" i="6"/>
  <c r="B2073" i="6"/>
  <c r="F2008" i="6"/>
  <c r="H2072" i="6" a="1"/>
  <c r="F2072" i="6"/>
  <c r="H2008" i="6" a="1"/>
  <c r="H2008" i="6" l="1"/>
  <c r="H2072" i="6"/>
  <c r="B2074" i="6"/>
  <c r="B2010" i="6"/>
  <c r="F2073" i="6"/>
  <c r="F2009" i="6"/>
  <c r="H2073" i="6" a="1"/>
  <c r="H2009" i="6" a="1"/>
  <c r="H2009" i="6" l="1"/>
  <c r="H2073" i="6"/>
  <c r="B2075" i="6"/>
  <c r="B2011" i="6"/>
  <c r="H2074" i="6" a="1"/>
  <c r="F2010" i="6"/>
  <c r="H2010" i="6" a="1"/>
  <c r="F2074" i="6"/>
  <c r="H2010" i="6" l="1"/>
  <c r="H2074" i="6"/>
  <c r="B2012" i="6"/>
  <c r="B2076" i="6"/>
  <c r="H2075" i="6" a="1"/>
  <c r="F2011" i="6"/>
  <c r="H2011" i="6" a="1"/>
  <c r="F2075" i="6"/>
  <c r="H2011" i="6" l="1"/>
  <c r="H2075" i="6"/>
  <c r="B2077" i="6"/>
  <c r="B2013" i="6"/>
  <c r="F2076" i="6"/>
  <c r="H2012" i="6" a="1"/>
  <c r="H2076" i="6" a="1"/>
  <c r="F2012" i="6"/>
  <c r="H2076" i="6" l="1"/>
  <c r="H2012" i="6"/>
  <c r="B2078" i="6"/>
  <c r="B2014" i="6"/>
  <c r="F2013" i="6"/>
  <c r="F2077" i="6"/>
  <c r="H2077" i="6" a="1"/>
  <c r="H2013" i="6" a="1"/>
  <c r="H2013" i="6" l="1"/>
  <c r="H2077" i="6"/>
  <c r="B2079" i="6"/>
  <c r="B2015" i="6"/>
  <c r="F2078" i="6"/>
  <c r="F2014" i="6"/>
  <c r="H2078" i="6" a="1"/>
  <c r="H2014" i="6" a="1"/>
  <c r="H2014" i="6" l="1"/>
  <c r="H2078" i="6"/>
  <c r="B2080" i="6"/>
  <c r="B2016" i="6"/>
  <c r="F2015" i="6"/>
  <c r="F2079" i="6"/>
  <c r="H2015" i="6" a="1"/>
  <c r="H2079" i="6" a="1"/>
  <c r="H2079" i="6" l="1"/>
  <c r="H2015" i="6"/>
  <c r="B2081" i="6"/>
  <c r="B2017" i="6"/>
  <c r="F2080" i="6"/>
  <c r="H2016" i="6" a="1"/>
  <c r="F2016" i="6"/>
  <c r="H2080" i="6" a="1"/>
  <c r="H2016" i="6" l="1"/>
  <c r="H2080" i="6"/>
  <c r="B2082" i="6"/>
  <c r="B2018" i="6"/>
  <c r="F2017" i="6"/>
  <c r="H2017" i="6" a="1"/>
  <c r="F2081" i="6"/>
  <c r="H2081" i="6" a="1"/>
  <c r="H2081" i="6" l="1"/>
  <c r="H2017" i="6"/>
  <c r="B2083" i="6"/>
  <c r="B2019" i="6"/>
  <c r="F2082" i="6"/>
  <c r="F2018" i="6"/>
  <c r="H2082" i="6" a="1"/>
  <c r="H2018" i="6" a="1"/>
  <c r="H2018" i="6" l="1"/>
  <c r="H2082" i="6"/>
  <c r="B2020" i="6"/>
  <c r="B2084" i="6"/>
  <c r="F2019" i="6"/>
  <c r="F2083" i="6"/>
  <c r="H2083" i="6" a="1"/>
  <c r="H2019" i="6" a="1"/>
  <c r="H2019" i="6" l="1"/>
  <c r="H2083" i="6"/>
  <c r="B2021" i="6"/>
  <c r="B2085" i="6"/>
  <c r="F2084" i="6"/>
  <c r="H2020" i="6" a="1"/>
  <c r="F2020" i="6"/>
  <c r="H2084" i="6" a="1"/>
  <c r="H2020" i="6" l="1"/>
  <c r="H2084" i="6"/>
  <c r="B2086" i="6"/>
  <c r="B2022" i="6"/>
  <c r="F2021" i="6"/>
  <c r="F2085" i="6"/>
  <c r="H2085" i="6" a="1"/>
  <c r="H2021" i="6" a="1"/>
  <c r="H2021" i="6" l="1"/>
  <c r="H2085" i="6"/>
  <c r="B2087" i="6"/>
  <c r="B2023" i="6"/>
  <c r="H2022" i="6" a="1"/>
  <c r="F2086" i="6"/>
  <c r="F2022" i="6"/>
  <c r="H2086" i="6" a="1"/>
  <c r="H2022" i="6" l="1"/>
  <c r="H2086" i="6"/>
  <c r="B2088" i="6"/>
  <c r="B2024" i="6"/>
  <c r="F2087" i="6"/>
  <c r="F2023" i="6"/>
  <c r="H2023" i="6" a="1"/>
  <c r="H2087" i="6" a="1"/>
  <c r="H2087" i="6" l="1"/>
  <c r="H2023" i="6"/>
  <c r="B2025" i="6"/>
  <c r="B2089" i="6"/>
  <c r="F2024" i="6"/>
  <c r="H2024" i="6" a="1"/>
  <c r="H2088" i="6" a="1"/>
  <c r="F2088" i="6"/>
  <c r="H2024" i="6" l="1"/>
  <c r="H2088" i="6"/>
  <c r="B2090" i="6"/>
  <c r="B2026" i="6"/>
  <c r="F2089" i="6"/>
  <c r="H2025" i="6" a="1"/>
  <c r="F2025" i="6"/>
  <c r="H2089" i="6" a="1"/>
  <c r="H2025" i="6" l="1"/>
  <c r="H2089" i="6"/>
  <c r="B2091" i="6"/>
  <c r="B2027" i="6"/>
  <c r="F2026" i="6"/>
  <c r="F2090" i="6"/>
  <c r="H2090" i="6" a="1"/>
  <c r="H2026" i="6" a="1"/>
  <c r="H2090" i="6" l="1"/>
  <c r="H2026" i="6"/>
  <c r="B2028" i="6"/>
  <c r="B2092" i="6"/>
  <c r="F2027" i="6"/>
  <c r="H2027" i="6" a="1"/>
  <c r="F2091" i="6"/>
  <c r="H2091" i="6" a="1"/>
  <c r="H2091" i="6" l="1"/>
  <c r="H2027" i="6"/>
  <c r="B2093" i="6"/>
  <c r="B2029" i="6"/>
  <c r="F2028" i="6"/>
  <c r="H2028" i="6" a="1"/>
  <c r="F2092" i="6"/>
  <c r="H2092" i="6" a="1"/>
  <c r="H2028" i="6" l="1"/>
  <c r="H2092" i="6"/>
  <c r="B2094" i="6"/>
  <c r="B2030" i="6"/>
  <c r="F2093" i="6"/>
  <c r="H2093" i="6" a="1"/>
  <c r="H2029" i="6" a="1"/>
  <c r="F2029" i="6"/>
  <c r="H2093" i="6" l="1"/>
  <c r="H2029" i="6"/>
  <c r="B2095" i="6"/>
  <c r="B2031" i="6"/>
  <c r="H2094" i="6" a="1"/>
  <c r="F2030" i="6"/>
  <c r="F2094" i="6"/>
  <c r="H2030" i="6" a="1"/>
  <c r="H2030" i="6" l="1"/>
  <c r="H2094" i="6"/>
  <c r="B2096" i="6"/>
  <c r="F2031" i="6"/>
  <c r="H2095" i="6" a="1"/>
  <c r="H2031" i="6" a="1"/>
  <c r="F2095" i="6"/>
  <c r="H2031" i="6" l="1"/>
  <c r="H2095" i="6"/>
  <c r="B2097" i="6"/>
  <c r="H2096" i="6" a="1"/>
  <c r="F2096" i="6"/>
  <c r="H2096" i="6" l="1"/>
  <c r="B2098" i="6"/>
  <c r="H2097" i="6" a="1"/>
  <c r="F2097" i="6"/>
  <c r="H2097" i="6" l="1"/>
  <c r="B2099" i="6"/>
  <c r="H2098" i="6" a="1"/>
  <c r="F2098" i="6"/>
  <c r="H2098" i="6" l="1"/>
  <c r="B2100" i="6"/>
  <c r="H2099" i="6" a="1"/>
  <c r="F2099" i="6"/>
  <c r="H2099" i="6" l="1"/>
  <c r="B2101" i="6"/>
  <c r="H2100" i="6" a="1"/>
  <c r="F2100" i="6"/>
  <c r="H2100" i="6" l="1"/>
  <c r="B2102" i="6"/>
  <c r="H2101" i="6" a="1"/>
  <c r="F2101" i="6"/>
  <c r="H2101" i="6" l="1"/>
  <c r="B2103" i="6"/>
  <c r="H2102" i="6" a="1"/>
  <c r="F2102" i="6"/>
  <c r="H2102" i="6" l="1"/>
  <c r="B2104" i="6"/>
  <c r="H2103" i="6" a="1"/>
  <c r="F2103" i="6"/>
  <c r="H2103" i="6" l="1"/>
  <c r="B2105" i="6"/>
  <c r="H2104" i="6" a="1"/>
  <c r="F2104" i="6"/>
  <c r="H2104" i="6" l="1"/>
  <c r="B2106" i="6"/>
  <c r="F2105" i="6"/>
  <c r="H2105" i="6" a="1"/>
  <c r="H2105" i="6" l="1"/>
  <c r="B2107" i="6"/>
  <c r="H2106" i="6" a="1"/>
  <c r="F2106" i="6"/>
  <c r="H2106" i="6" l="1"/>
  <c r="B2108" i="6"/>
  <c r="F2107" i="6"/>
  <c r="H2107" i="6" a="1"/>
  <c r="H2107" i="6" l="1"/>
  <c r="B2109" i="6"/>
  <c r="F2108" i="6"/>
  <c r="H2108" i="6" a="1"/>
  <c r="H2108" i="6" l="1"/>
  <c r="B2110" i="6"/>
  <c r="F2109" i="6"/>
  <c r="H2109" i="6" a="1"/>
  <c r="H2109" i="6" l="1"/>
  <c r="B2111" i="6"/>
  <c r="H2110" i="6" a="1"/>
  <c r="F2110" i="6"/>
  <c r="H2110" i="6" l="1"/>
  <c r="B2112" i="6"/>
  <c r="H2111" i="6" a="1"/>
  <c r="F2111" i="6"/>
  <c r="H2111" i="6" l="1"/>
  <c r="B2113" i="6"/>
  <c r="F2112" i="6"/>
  <c r="H2112" i="6" a="1"/>
  <c r="H2112" i="6" l="1"/>
  <c r="B2114" i="6"/>
  <c r="F2113" i="6"/>
  <c r="H2113" i="6" a="1"/>
  <c r="H2113" i="6" l="1"/>
  <c r="B2115" i="6"/>
  <c r="F2114" i="6"/>
  <c r="H2114" i="6" a="1"/>
  <c r="H2114" i="6" l="1"/>
  <c r="B2116" i="6"/>
  <c r="F2115" i="6"/>
  <c r="H2115" i="6" a="1"/>
  <c r="H2115" i="6" l="1"/>
  <c r="B2117" i="6"/>
  <c r="H2116" i="6" a="1"/>
  <c r="F2116" i="6"/>
  <c r="H2116" i="6" l="1"/>
  <c r="B2118" i="6"/>
  <c r="F2117" i="6"/>
  <c r="H2117" i="6" a="1"/>
  <c r="H2117" i="6" l="1"/>
  <c r="B2119" i="6"/>
  <c r="H2118" i="6" a="1"/>
  <c r="F2118" i="6"/>
  <c r="H2118" i="6" l="1"/>
  <c r="B2120" i="6"/>
  <c r="F2119" i="6"/>
  <c r="H2119" i="6" a="1"/>
  <c r="H2119" i="6" l="1"/>
  <c r="B2121" i="6"/>
  <c r="F2120" i="6"/>
  <c r="H2120" i="6" a="1"/>
  <c r="H2120" i="6" l="1"/>
  <c r="B2122" i="6"/>
  <c r="F2121" i="6"/>
  <c r="H2121" i="6" a="1"/>
  <c r="H2121" i="6" l="1"/>
  <c r="H2122" i="6" a="1"/>
  <c r="F2122" i="6"/>
  <c r="H2122" i="6" l="1"/>
</calcChain>
</file>

<file path=xl/sharedStrings.xml><?xml version="1.0" encoding="utf-8"?>
<sst xmlns="http://schemas.openxmlformats.org/spreadsheetml/2006/main" count="5174" uniqueCount="847">
  <si>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</si>
  <si>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</si>
  <si>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</si>
  <si>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</si>
  <si>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</si>
  <si>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</si>
  <si>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</si>
  <si>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</si>
  <si>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</si>
  <si>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</si>
  <si>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</si>
  <si>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</si>
  <si>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</si>
  <si>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</si>
  <si>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</si>
  <si>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</si>
  <si>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</si>
  <si>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</si>
  <si>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</si>
  <si>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</si>
  <si>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</si>
  <si>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</si>
  <si>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</si>
  <si>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</si>
  <si>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</si>
  <si>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</si>
  <si>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</si>
  <si>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</si>
  <si>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</si>
  <si>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</si>
  <si>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</si>
  <si>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</si>
  <si>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</si>
  <si>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</si>
  <si>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</si>
  <si>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</si>
  <si>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</si>
  <si>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</si>
  <si>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</si>
  <si>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</si>
  <si>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</si>
  <si>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</si>
  <si>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</si>
  <si>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</si>
  <si>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</si>
  <si>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</si>
  <si>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</si>
  <si>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</si>
  <si>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</si>
  <si>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</si>
  <si>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</si>
  <si>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</si>
  <si>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</si>
  <si>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</si>
  <si>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</si>
  <si>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</si>
  <si>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</si>
  <si>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</si>
  <si>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</si>
  <si>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</si>
  <si>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</si>
  <si>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</si>
  <si>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</si>
  <si>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</si>
  <si>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</si>
  <si>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</si>
  <si>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</si>
  <si>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</si>
  <si>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</si>
  <si>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</si>
  <si>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</si>
  <si>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</si>
  <si>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</si>
  <si>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</si>
  <si>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</si>
  <si>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</si>
  <si>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</si>
  <si>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</si>
  <si>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</si>
  <si>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</si>
  <si>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</si>
  <si>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</si>
  <si>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</si>
  <si>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</si>
  <si>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</si>
  <si>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</si>
  <si>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</si>
  <si>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</si>
  <si>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</si>
  <si>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</si>
  <si>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</si>
  <si>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</si>
  <si>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</si>
  <si>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</si>
  <si>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</si>
  <si>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</si>
  <si>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</si>
  <si>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</si>
  <si>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</si>
  <si>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</si>
  <si>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</si>
  <si>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</si>
  <si>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</si>
  <si>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</si>
  <si>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</si>
  <si>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</si>
  <si>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</si>
  <si>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</si>
  <si>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</si>
  <si>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</si>
  <si>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</si>
  <si>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</si>
  <si>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</si>
  <si>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</si>
  <si>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</si>
  <si>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</si>
  <si>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</si>
  <si>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</si>
  <si>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</si>
  <si>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</si>
  <si>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</si>
  <si>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</si>
  <si>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</si>
  <si>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</si>
  <si>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</si>
  <si>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</si>
  <si>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</si>
  <si>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</si>
  <si>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</si>
  <si>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Washington - State Patrol Retirement System</t>
  </si>
  <si>
    <t>Source</t>
  </si>
  <si>
    <t>Washington DRS_LEOFF_PERS_PSERS_TRF CAFR 2014.pdf.pg.no.102</t>
  </si>
  <si>
    <t>Washington DRS_LEOFF_PERS_PSERS_TRF CAFR 2014.pdf.pg.no.129</t>
  </si>
  <si>
    <t>Washington DRS_LEOFF_PERS_PSERS_TRF CAFR 2014.pdf.pg.no.49</t>
  </si>
  <si>
    <t>Washington DRS_LEOFF_PERS_PSERS_TRF CAFR 2014.pdf.pg.no.74</t>
  </si>
  <si>
    <t>Washington DRS_LEOFF_PERS_PSERS_TRF CAFR 2014.pdf.pg.no.73</t>
  </si>
  <si>
    <t>Washington DRS_LEOFF_PERS_PSERS_TRF CAFR 2014.pdf.pg.no.162</t>
  </si>
  <si>
    <t>Washington DRS_LEOFF_PERS_PSERS_TRF CAFR 2014.pdf.pg.no.98</t>
  </si>
  <si>
    <t>Washington DRS_LEOFF_PERS_PSERS_TRF CAFR 2014.pdf.pg.no.89</t>
  </si>
  <si>
    <t>Washington DRS_LEOFF_PERS_PSERS_TRF CAFR 2015.pdf.pg.no.132</t>
  </si>
  <si>
    <t>Washington DRS_LEOFF_PERS_PSERS_TRF CAFR 2015.pdf.pg.no.42</t>
  </si>
  <si>
    <t>Washington DRS_LEOFF_PERS_PSERS_TRF CAFR 2015.pdf.pg.no.66</t>
  </si>
  <si>
    <t>Washington DRS_LEOFF_PERS_PSERS_TRF CAFR 2015.pdf.pg.no.67</t>
  </si>
  <si>
    <t>Washington DRS_LEOFF_PERS_PSERS_TRF CAFR 2015.pdf.pg.no.166</t>
  </si>
  <si>
    <t>Washington DRS_LEOFF_PERS_PSERS_TRF CAFR 2015.pdf.pg.no.89</t>
  </si>
  <si>
    <t>Washington DRS_LEOFF_PERS_PSERS_TRF CAFR 2015.pdf.pg.no.81</t>
  </si>
  <si>
    <t>Washington DRS_LEOFF_PERS_PSERS_TRF CAFR 2016.pdf.pg.no.128</t>
  </si>
  <si>
    <t>Washington DRS_LEOFF_PERS_PSERS_TRF CAFR 2016.pdf.pg.no.46</t>
  </si>
  <si>
    <t>Washington DRS_LEOFF_PERS_PSERS_TRF CAFR 2016.pdf.pg.no.69</t>
  </si>
  <si>
    <t>Washington DRS_LEOFF_PERS_PSERS_TRF CAFR 2016.pdf.pg.no.70</t>
  </si>
  <si>
    <t>Washington DRS_LEOFF_PERS_PSERS_TRF CAFR 2016.pdf.pg.no.162</t>
  </si>
  <si>
    <t>Washington DRS_LEOFF_PERS_PSERS_TRF CAFR 2016.pdf.pg.no.93</t>
  </si>
  <si>
    <t>Washington DRS_LEOFF_PERS_PSERS_TRF CAFR 2016.pdf.pg.no.84</t>
  </si>
  <si>
    <t>Washington DRS_LEOFF_PERS_PSERS_TRF CAFR 2016.pdf.pg.no.71</t>
  </si>
  <si>
    <t>Washington DRS_LEOFF_PERS_PSERS_TRF CAFR 2017.pdf.pg.no.130</t>
  </si>
  <si>
    <t>Washington DRS_LEOFF_PERS_PSERS_TRF CAFR 2017.pdf.pg.no.48</t>
  </si>
  <si>
    <t>Washington DRS_LEOFF_PERS_PSERS_TRF CAFR 2017.pdf.pg.no.71</t>
  </si>
  <si>
    <t>Washington DRS_LEOFF_PERS_PSERS_TRF CAFR 2017.pdf.pg.no.72</t>
  </si>
  <si>
    <t>Washington DRS_LEOFF_PERS_PSERS_TRF CAFR 2017.pdf.pg.no.164</t>
  </si>
  <si>
    <t>Washington DRS_LEOFF_PERS_PSERS_TRF CAFR 2017.pdf.pg.no.96</t>
  </si>
  <si>
    <t>Washington DRS_LEOFF_PERS_PSERS_TRF CAFR 2017.pdf.pg.no.86</t>
  </si>
  <si>
    <t>Washington DRS_LEOFF_PERS_PSERS_TRF CAFR 2017.pdf.pg.no.73</t>
  </si>
  <si>
    <t>Washington DRS_LEOFF_PERS_PSERS_TRF CAFR 2018.pdf.pg.no.147</t>
  </si>
  <si>
    <t>Washington DRS_LEOFF_PERS_PSERS_TRF CAFR 2018.pdf.pg.no.57</t>
  </si>
  <si>
    <t>Washington DRS_LEOFF_PERS_PSERS_TRF CAFR 2018.pdf.pg.no.81</t>
  </si>
  <si>
    <t>Washington DRS_LEOFF_PERS_PSERS_TRF CAFR 2018.pdf.pg.no.82</t>
  </si>
  <si>
    <t>Washington DRS_LEOFF_PERS_PSERS_TRF CAFR 2018.pdf.pg.no.181</t>
  </si>
  <si>
    <t>Washington DRS_LEOFF_PERS_PSERS_TRF CAFR 2018.pdf.pg.no.113</t>
  </si>
  <si>
    <t>Washington DRS_LEOFF_PERS_PSERS_TRF CAFR 2018.pdf.pg.no.102</t>
  </si>
  <si>
    <t>Washington DRS_LEOFF_PERS_PSERS_TRF CAFR 2018.pdf.pg.no.83</t>
  </si>
  <si>
    <t>Washington DRS_LEOFF_PERS_PSERS_TRF CAFR 2019.pdf.pg.no.150</t>
  </si>
  <si>
    <t>Washington DRS_LEOFF_PERS_PSERS_TRF CAFR 2019.pdf.pg.no.56</t>
  </si>
  <si>
    <t>Washington DRS_LEOFF_PERS_PSERS_TRF CAFR 2019.pdf.pg.no.80</t>
  </si>
  <si>
    <t>Washington DRS_LEOFF_PERS_PSERS_TRF CAFR 2019.pdf.pg.no.81</t>
  </si>
  <si>
    <t>Washington DRS_LEOFF_PERS_PSERS_TRF CAFR 2019.pdf.pg.no.184</t>
  </si>
  <si>
    <t>Washington DRS_LEOFF_PERS_PSERS_TRF CAFR 2019.pdf.pg.no.116</t>
  </si>
  <si>
    <t>Washington DRS_LEOFF_PERS_PSERS_TRF CAFR 2019.pdf.pg.no.101</t>
  </si>
  <si>
    <t>Washington DRS_LEOFF_PERS_PSERS_TRF CAFR 2019.pdf.pg.no.82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</si>
  <si>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</si>
  <si>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</si>
  <si>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</si>
  <si>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</si>
  <si>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</si>
  <si>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</si>
  <si>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 Rate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</si>
  <si>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</si>
  <si>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</si>
  <si>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</si>
  <si>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</si>
  <si>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</si>
  <si>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</si>
  <si>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</si>
  <si>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</si>
  <si>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</si>
  <si>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</si>
  <si>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</si>
  <si>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</si>
  <si>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</si>
  <si>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</si>
  <si>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</si>
  <si>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</si>
  <si>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</si>
  <si>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</si>
  <si>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</si>
  <si>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</si>
  <si>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</si>
  <si>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</si>
  <si>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</si>
  <si>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</si>
  <si>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</si>
  <si>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</si>
  <si>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</si>
  <si>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</si>
  <si>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</si>
  <si>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</si>
  <si>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</si>
  <si>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</si>
  <si>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</si>
  <si>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</si>
  <si>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Years</t>
  </si>
  <si>
    <t>Mortality Table SetForward in Years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</si>
  <si>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</si>
  <si>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</si>
  <si>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</si>
  <si>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</si>
  <si>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</si>
  <si>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</si>
  <si>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</si>
  <si>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</si>
  <si>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</si>
  <si>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</si>
  <si>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</si>
  <si>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</si>
  <si>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</si>
  <si>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</si>
  <si>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</si>
  <si>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</si>
  <si>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</si>
  <si>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</si>
  <si>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</si>
  <si>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</si>
  <si>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</si>
  <si>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</si>
  <si>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</si>
  <si>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</si>
  <si>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</si>
  <si>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</si>
  <si>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</si>
  <si>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</si>
  <si>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</si>
  <si>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</si>
  <si>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</si>
  <si>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</si>
  <si>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</si>
  <si>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</si>
  <si>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</si>
  <si>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</si>
  <si>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</si>
  <si>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</si>
  <si>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</si>
  <si>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</si>
  <si>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</si>
  <si>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</si>
  <si>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</si>
  <si>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</si>
  <si>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</si>
  <si>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</si>
  <si>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</si>
  <si>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</si>
  <si>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</si>
  <si>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</si>
  <si>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</si>
  <si>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</si>
  <si>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</si>
  <si>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</si>
  <si>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</si>
  <si>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</si>
  <si>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</si>
  <si>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</si>
  <si>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</si>
  <si>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</si>
  <si>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</si>
  <si>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</si>
  <si>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</si>
  <si>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</si>
  <si>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</si>
  <si>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</si>
  <si>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</si>
  <si>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</si>
  <si>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</si>
  <si>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</si>
  <si>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</si>
  <si>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</si>
  <si>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</si>
  <si>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</si>
  <si>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</si>
  <si>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</si>
  <si>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</si>
  <si>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</si>
  <si>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</si>
  <si>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</si>
  <si>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</si>
  <si>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</si>
  <si>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</si>
  <si>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</si>
  <si>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</si>
  <si>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</si>
  <si>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</si>
  <si>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</si>
  <si>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</si>
  <si>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</si>
  <si>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</si>
  <si>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</si>
  <si>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</si>
  <si>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</si>
  <si>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</si>
  <si>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</si>
  <si>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</si>
  <si>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NC_Prior_Year</t>
  </si>
  <si>
    <t>Actuarial_Experience</t>
  </si>
  <si>
    <t>Benefit_Changes</t>
  </si>
  <si>
    <t>COLA_Gain_Loss</t>
  </si>
  <si>
    <t>PBI_Gain_Loss</t>
  </si>
  <si>
    <t>Legislative_Changes</t>
  </si>
  <si>
    <t>Changes_to_Methods_&amp;_Assumptions</t>
  </si>
  <si>
    <t>Interest_on_Debt</t>
  </si>
  <si>
    <t>Other_Interest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</si>
  <si>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</si>
  <si>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</si>
  <si>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</si>
  <si>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</si>
  <si>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</si>
  <si>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</si>
  <si>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</si>
  <si>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</si>
  <si>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</si>
  <si>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</si>
  <si>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</si>
  <si>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</si>
  <si>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</si>
  <si>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</si>
  <si>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</si>
  <si>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</si>
  <si>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</si>
  <si>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</si>
  <si>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</si>
  <si>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</si>
  <si>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</si>
  <si>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</si>
  <si>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The Office Of The State Actuary</t>
  </si>
  <si>
    <t>No</t>
  </si>
  <si>
    <t>Single Rate</t>
  </si>
  <si>
    <t>Accrued Benefit Formula= 2% x YOS x AFC (Max= 75% AFC)</t>
  </si>
  <si>
    <t>Percentage</t>
  </si>
  <si>
    <t>Pg.no.48, 49</t>
  </si>
  <si>
    <t>Pg.no.39</t>
  </si>
  <si>
    <t>RP-2000 Combined healthy table</t>
  </si>
  <si>
    <t>N/A</t>
  </si>
  <si>
    <t xml:space="preserve">Aggregate   </t>
  </si>
  <si>
    <t>4 Years</t>
  </si>
  <si>
    <t>Pg.no.51, 52</t>
  </si>
  <si>
    <t>Pg.no.40</t>
  </si>
  <si>
    <t>8 Years</t>
  </si>
  <si>
    <t>Pg.no.61</t>
  </si>
  <si>
    <t>Pg.no.50</t>
  </si>
  <si>
    <t>Pg.no.64</t>
  </si>
  <si>
    <t>Pg.no.53</t>
  </si>
  <si>
    <t>Pg.no.74</t>
  </si>
  <si>
    <t>Pg.no.60</t>
  </si>
  <si>
    <t>Scale AA</t>
  </si>
  <si>
    <t>Male: 1 Year</t>
  </si>
  <si>
    <t>Female: 1 Year</t>
  </si>
  <si>
    <t>Pg.no.72</t>
  </si>
  <si>
    <t>Pg.no.58</t>
  </si>
  <si>
    <t>Pg.no.73</t>
  </si>
  <si>
    <t>Pg.no.59</t>
  </si>
  <si>
    <t>Pg.no.80</t>
  </si>
  <si>
    <t>Pg.no.82</t>
  </si>
  <si>
    <t>Pg.no.67</t>
  </si>
  <si>
    <t>Pg.no.77</t>
  </si>
  <si>
    <t>Pg.no.66</t>
  </si>
  <si>
    <t>RP-2000 Mortality Table</t>
  </si>
  <si>
    <t>Scale BB</t>
  </si>
  <si>
    <t>Lesser of CPI or 3%</t>
  </si>
  <si>
    <t>CAFR Pg 141</t>
  </si>
  <si>
    <t>CAFR Pg 138</t>
  </si>
  <si>
    <t>RP-2000 Combined Healthy Table</t>
  </si>
  <si>
    <t>CAFR Pg 143</t>
  </si>
  <si>
    <t>CAFR Pg 140</t>
  </si>
  <si>
    <t>CAFR Pg 139</t>
  </si>
  <si>
    <t>CAFR Pg 136</t>
  </si>
  <si>
    <t>CAFR Pg 158</t>
  </si>
  <si>
    <t>CAFR Pg 155</t>
  </si>
  <si>
    <t>CAFR Pg 161</t>
  </si>
  <si>
    <t>SOURCE</t>
  </si>
  <si>
    <t>Washington DRS_LEOFF_PERS_PSERS_TRF Valuation 2001.pdf.pg.no.40</t>
  </si>
  <si>
    <t>Washington DRS_LEOFF_PERS_PSERS_TRF Valuation 2002.pdf.pg.no.77</t>
  </si>
  <si>
    <t>Washington DRS_LEOFF_PERS_PSERS_TRF Valuation 2001.pdf.pg.no.31</t>
  </si>
  <si>
    <t>Washington DRS_LEOFF_PERS_PSERS_TRF Valuation 2002.pdf.pg.no.16</t>
  </si>
  <si>
    <t>Washington DRS_LEOFF_PERS_PSERS_TRF CAFR 2002.pdf.pg.no.41</t>
  </si>
  <si>
    <t>Washington DRS_LEOFF_PERS_PSERS_TRF Valuation 2002.pdf.pg.no.61</t>
  </si>
  <si>
    <t>Washington DRS_LEOFF_PERS_PSERS_TRF Valuation 2002.pdf.pg.no.37</t>
  </si>
  <si>
    <t>Washington DRS_LEOFF_PERS_PSERS_TRF Valuation 2002.pdf.pg.no.40</t>
  </si>
  <si>
    <t>Washington DRS_LEOFF_PERS_PSERS_TRF CAFR 2002.pdf.pg.no.73</t>
  </si>
  <si>
    <t>Washington DRS_LEOFF_PERS_PSERS_TRF Valuation 2003.pdf.pg.no.4</t>
  </si>
  <si>
    <t>Washington DRS_LEOFF_PERS_PSERS_TRF Valuation 2003.pdf.pg.no.15</t>
  </si>
  <si>
    <t>Washington DRS_LEOFF_PERS_PSERS_TRF CAFR 2003.pdf.pg.no.37</t>
  </si>
  <si>
    <t>Washington DRS_LEOFF_PERS_PSERS_TRF Valuation 2003.pdf.pg.no.65</t>
  </si>
  <si>
    <t>Washington DRS_LEOFF_PERS_PSERS_TRF Valuation 2003.pdf.pg.no.39</t>
  </si>
  <si>
    <t>Washington DRS_LEOFF_PERS_PSERS_TRF Valuation 2003.pdf.pg.no.41</t>
  </si>
  <si>
    <t>Washington DRS_LEOFF_PERS_PSERS_TRF CAFR 2003.pdf.pg.no.69</t>
  </si>
  <si>
    <t>Washington DRS_LEOFF_PERS_PSERS_TRF Valuation 2003.pdf.pg.no.94</t>
  </si>
  <si>
    <t>Washington DRS_LEOFF_PERS_PSERS_TRF Valuation 2004.pdf.pg.no.4</t>
  </si>
  <si>
    <t>Washington DRS_LEOFF_PERS_PSERS_TRF Valuation 2004.pdf.pg.no.15</t>
  </si>
  <si>
    <t>Washington DRS_LEOFF_PERS_PSERS_TRF CAFR 2004.pdf.pg.no.40</t>
  </si>
  <si>
    <t>Washington DRS_LEOFF_PERS_PSERS_TRF Valuation 2004.pdf.pg.no.64</t>
  </si>
  <si>
    <t>Washington DRS_LEOFF_PERS_PSERS_TRF Valuation 2004.pdf.pg.no.39</t>
  </si>
  <si>
    <t>Washington DRS_LEOFF_PERS_PSERS_TRF Valuation 2004.pdf.pg.no.41</t>
  </si>
  <si>
    <t>Washington DRS_LEOFF_PERS_PSERS_TRF CAFR 2004.pdf.pg.no.72</t>
  </si>
  <si>
    <t>Washington DRS_LEOFF_PERS_PSERS_TRF Valuation 2004.pdf.pg.no.93</t>
  </si>
  <si>
    <t>Washington DRS_LEOFF_PERS_PSERS_TRF Valuation 2005.pdf.pg.no.6</t>
  </si>
  <si>
    <t>Washington DRS_LEOFF_PERS_PSERS_TRF Valuation 2005.pdf.pg.no.20</t>
  </si>
  <si>
    <t>Washington DRS_LEOFF_PERS_PSERS_TRF CAFR 2005.pdf.pg.no.40</t>
  </si>
  <si>
    <t>Washington DRS_LEOFF_PERS_PSERS_TRF Valuation 2005.pdf.pg.no.72</t>
  </si>
  <si>
    <t>Washington DRS_LEOFF_PERS_PSERS_TRF Valuation 2005.pdf.pg.no.48</t>
  </si>
  <si>
    <t>Washington DRS_LEOFF_PERS_PSERS_TRF Valuation 2005.pdf.pg.no.51</t>
  </si>
  <si>
    <t>Washington DRS_LEOFF_PERS_PSERS_TRF CAFR 2005.pdf.pg.no.76</t>
  </si>
  <si>
    <t>Washington DRS_LEOFF_PERS_PSERS_TRF Valuation 2005.pdf.pg.no.101</t>
  </si>
  <si>
    <t>Washington DRS_LEOFF_PERS_PSERS_TRF Valuation 2006.pdf.pg.no.6</t>
  </si>
  <si>
    <t>Washington DRS_LEOFF_PERS_PSERS_TRF Valuation 2006.pdf.pg.no.20</t>
  </si>
  <si>
    <t>Washington DRS_LEOFF_PERS_PSERS_TRF CAFR 2006.pdf.pg.no.37</t>
  </si>
  <si>
    <t>Washington DRS_LEOFF_PERS_PSERS_TRF Valuation 2006.pdf.pg.no.77</t>
  </si>
  <si>
    <t>Washington DRS_LEOFF_PERS_PSERS_TRF Valuation 2006.pdf.pg.no.50</t>
  </si>
  <si>
    <t>Washington DRS_LEOFF_PERS_PSERS_TRF Valuation 2006.pdf.pg.no.54</t>
  </si>
  <si>
    <t>Washington DRS_LEOFF_PERS_PSERS_TRF CAFR 2006.pdf.pg.no.75</t>
  </si>
  <si>
    <t>Washington DRS_LEOFF_PERS_PSERS_TRF Valuation 2006.pdf.pg.no.108</t>
  </si>
  <si>
    <t>Washington DRS_LEOFF_PERS_PSERS_TRF Valuation 2007.pdf.pg.no.7</t>
  </si>
  <si>
    <t>Washington DRS_LEOFF_PERS_PSERS_TRF Valuation 2007.pdf.pg.no.22</t>
  </si>
  <si>
    <t>Washington DRS_LEOFF_PERS_PSERS_TRF CAFR 2007.pdf.pg.no.39</t>
  </si>
  <si>
    <t>Washington DRS_LEOFF_PERS_PSERS_TRF Valuation 2007.pdf.pg.no.21</t>
  </si>
  <si>
    <t>Washington DRS_LEOFF_PERS_PSERS_TRF Valuation 2007.pdf.pg.no.88</t>
  </si>
  <si>
    <t>Washington DRS_LEOFF_PERS_PSERS_TRF Valuation 2007.pdf.pg.no.57</t>
  </si>
  <si>
    <t>Washington DRS_LEOFF_PERS_PSERS_TRF Valuation 2007.pdf.pg.no.61</t>
  </si>
  <si>
    <t>Washington DRS_LEOFF_PERS_PSERS_TRF Valuation 2007.pdf.pg.no.64</t>
  </si>
  <si>
    <t>Washington DRS_LEOFF_PERS_PSERS_TRF CAFR 2007.pdf.pg.no.83</t>
  </si>
  <si>
    <t>Washington DRS_LEOFF_PERS_PSERS_TRF Valuation 2007.pdf.pg.no.149</t>
  </si>
  <si>
    <t>Washington DRS_LEOFF_PERS_PSERS_TRF Valuation 2008.pdf.pg.no.21</t>
  </si>
  <si>
    <t>Washington DRS_LEOFF_PERS_PSERS_TRF Valuation 2008.pdf.pg.no.22</t>
  </si>
  <si>
    <t>Washington DRS_LEOFF_PERS_PSERS_TRF CAFR 2008.pdf.pg.no.37</t>
  </si>
  <si>
    <t>Washington DRS_LEOFF_PERS_PSERS_TRF Valuation 2008.pdf.pg.no.86</t>
  </si>
  <si>
    <t>Washington DRS_LEOFF_PERS_PSERS_TRF Valuation 2008.pdf.pg.no.53</t>
  </si>
  <si>
    <t>Washington DRS_LEOFF_PERS_PSERS_TRF Valuation 2008.pdf.pg.no.59</t>
  </si>
  <si>
    <t>Washington DRS_LEOFF_PERS_PSERS_TRF Valuation 2008.pdf.pg.no.62</t>
  </si>
  <si>
    <t>Washington DRS_LEOFF_PERS_PSERS_TRF CAFR 2008.pdf.pg.no.77</t>
  </si>
  <si>
    <t>Washington DRS_LEOFF_PERS_PSERS_TRF Valuation 2008.pdf.pg.no.157</t>
  </si>
  <si>
    <t>Washington DRS_LEOFF_PERS_PSERS_TRF Valuation 2009.pdf.pg.no.21</t>
  </si>
  <si>
    <t>Washington DRS_LEOFF_PERS_PSERS_TRF Valuation 2009.pdf.pg.no.22</t>
  </si>
  <si>
    <t>Washington DRS_LEOFF_PERS_PSERS_TRF CAFR 2009.pdf.pg.no.38</t>
  </si>
  <si>
    <t>Washington DRS_LEOFF_PERS_PSERS_TRF Valuation 2009.pdf.pg.no.88</t>
  </si>
  <si>
    <t>Washington DRS_LEOFF_PERS_PSERS_TRF Valuation 2009.pdf.pg.no.53</t>
  </si>
  <si>
    <t>Washington DRS_LEOFF_PERS_PSERS_TRF Valuation 2009.pdf.pg.no.60</t>
  </si>
  <si>
    <t>Washington DRS_LEOFF_PERS_PSERS_TRF Valuation 2009.pdf.pg.no.63</t>
  </si>
  <si>
    <t>Washington DRS_LEOFF_PERS_PSERS_TRF CAFR 2009.pdf.pg.no.79</t>
  </si>
  <si>
    <t>Washington DRS_LEOFF_PERS_PSERS_TRF Valuation 2009.pdf.pg.no.159</t>
  </si>
  <si>
    <t>Washington DRS_LEOFF_PERS_PSERS_TRF Valuation 2010.pdf.pg.no.7</t>
  </si>
  <si>
    <t>Washington DRS_LEOFF_PERS_PSERS_TRF Valuation 2010.pdf.pg.no.21</t>
  </si>
  <si>
    <t>Washington DRS_LEOFF_PERS_PSERS_TRF CAFR 2010.pdf.pg.no.38</t>
  </si>
  <si>
    <t>Washington DRS_LEOFF_PERS_PSERS_TRF Valuation 2010.pdf.pg.no.95</t>
  </si>
  <si>
    <t>Washington DRS_LEOFF_PERS_PSERS_TRF Valuation 2010.pdf.pg.no.61</t>
  </si>
  <si>
    <t>Washington DRS_LEOFF_PERS_PSERS_TRF Valuation 2010.pdf.pg.no.67</t>
  </si>
  <si>
    <t>Washington DRS_LEOFF_PERS_PSERS_TRF Valuation 2010.pdf.pg.no.70</t>
  </si>
  <si>
    <t>Washington DRS_LEOFF_PERS_PSERS_TRF CAFR 2010.pdf.pg.no.79</t>
  </si>
  <si>
    <t>Washington DRS_LEOFF_PERS_PSERS_TRF Valuation 2010.pdf.pg.no.158</t>
  </si>
  <si>
    <t>Washington DRS_LEOFF_PERS_PSERS_TRF Valuation 2011.pdf.pg.no.7</t>
  </si>
  <si>
    <t>Washington DRS_LEOFF_PERS_PSERS_TRF Valuation 2011.pdf.pg.no.21</t>
  </si>
  <si>
    <t>Washington DRS_LEOFF_PERS_PSERS_TRF CAFR 2011.pdf.pg.no.40</t>
  </si>
  <si>
    <t>Washington DRS_LEOFF_PERS_PSERS_TRF Valuation 2011.pdf.pg.no.102</t>
  </si>
  <si>
    <t>Washington DRS_LEOFF_PERS_PSERS_TRF Valuation 2011.pdf.pg.no.63</t>
  </si>
  <si>
    <t>Washington DRS_LEOFF_PERS_PSERS_TRF Valuation 2011.pdf.pg.no.69</t>
  </si>
  <si>
    <t>Washington DRS_LEOFF_PERS_PSERS_TRF Valuation 2011.pdf.pg.no.72</t>
  </si>
  <si>
    <t>Washington DRS_LEOFF_PERS_PSERS_TRF CAFR 2011.pdf.pg.no.81</t>
  </si>
  <si>
    <t>Washington DRS_LEOFF_PERS_PSERS_TRF Valuation 2011.pdf.pg.no.165</t>
  </si>
  <si>
    <t>Washington DRS_LEOFF_PERS_PSERS_TRF Valuation 2012.pdf.pg.no.7</t>
  </si>
  <si>
    <t>Washington DRS_LEOFF_PERS_PSERS_TRF Valuation 2012.pdf.pg.no.15</t>
  </si>
  <si>
    <t>Washington DRS_LEOFF_PERS_PSERS_TRF CAFR 2012.pdf.pg.no.34</t>
  </si>
  <si>
    <t>Washington DRS_LEOFF_PERS_PSERS_TRF Valuation 2012.pdf.pg.no.14</t>
  </si>
  <si>
    <t>Washington DRS_LEOFF_PERS_PSERS_TRF Valuation 2012.pdf.pg.no.96</t>
  </si>
  <si>
    <t>Washington DRS_LEOFF_PERS_PSERS_TRF Valuation 2012.pdf.pg.no.55</t>
  </si>
  <si>
    <t>Washington DRS_LEOFF_PERS_PSERS_TRF Valuation 2012.pdf.pg.no.60</t>
  </si>
  <si>
    <t>Washington DRS_LEOFF_PERS_PSERS_TRF Valuation 2012.pdf.pg.no.62</t>
  </si>
  <si>
    <t>Washington DRS_LEOFF_PERS_PSERS_TRF CAFR 2012.pdf.pg.no.75</t>
  </si>
  <si>
    <t>Washington DRS_LEOFF_PERS_PSERS_TRF Valuation 2012.pdf.pg.no.159</t>
  </si>
  <si>
    <t>Washington DRS_LEOFF_PERS_PSERS_TRF Valuation 2013.pdf.pg.no.7</t>
  </si>
  <si>
    <t>Washington DRS_LEOFF_PERS_PSERS_TRF Valuation 2013.pdf.pg.no.14</t>
  </si>
  <si>
    <t>Washington DRS_LEOFF_PERS_PSERS_TRF CAFR 2013.pdf.pg.no.34</t>
  </si>
  <si>
    <t>Washington DRS_LEOFF_PERS_PSERS_TRF Valuation 2013.pdf.pg.no.13</t>
  </si>
  <si>
    <t>Washington DRS_LEOFF_PERS_PSERS_TRF Valuation 2013.pdf.pg.no.84</t>
  </si>
  <si>
    <t>Washington DRS_LEOFF_PERS_PSERS_TRF Valuation 2013.pdf.pg.no.55</t>
  </si>
  <si>
    <t>Washington DRS_LEOFF_PERS_PSERS_TRF Valuation 2013.pdf.pg.no.60</t>
  </si>
  <si>
    <t>Washington DRS_LEOFF_PERS_PSERS_TRF CAFR 2013.pdf.pg.no.75</t>
  </si>
  <si>
    <t>Washington DRS_LEOFF_PERS_PSERS_TRF Valuation 2013.pdf.pg.no.147</t>
  </si>
  <si>
    <t>Washington DRS_LEOFF_PERS_PSERS_TRF Valuation 2014.pdf.pg.no.7</t>
  </si>
  <si>
    <t>Washington DRS_LEOFF_PERS_PSERS_TRF Valuation 2014.pdf.pg.no.15</t>
  </si>
  <si>
    <t>Washington DRS_LEOFF_PERS_PSERS_TRF CAFR 2014.pdf.pg.no.29</t>
  </si>
  <si>
    <t>Washington DRS_LEOFF_PERS_PSERS_TRF CAFR 2014.pdf.pg.no.134</t>
  </si>
  <si>
    <t>Washington DRS_LEOFF_PERS_PSERS_TRF Valuation 2014.pdf.pg.no.48</t>
  </si>
  <si>
    <t>Washington DRS_LEOFF_PERS_PSERS_TRF Valuation 2014.pdf.pg.no.79</t>
  </si>
  <si>
    <t>Washington DRS_LEOFF_PERS_PSERS_TRF CAFR 2014.pdf.pg.no.166</t>
  </si>
  <si>
    <t>Washington DRS_LEOFF_PERS_PSERS_TRF Valuation 2015.pdf.pg.no.7</t>
  </si>
  <si>
    <t>Washington DRS_LEOFF_PERS_PSERS_TRF Valuation 2015.pdf.pg.no.15</t>
  </si>
  <si>
    <t>Washington DRS_LEOFF_PERS_PSERS_TRF CAFR 2015.pdf.pg.no.26</t>
  </si>
  <si>
    <t>Washington DRS_LEOFF_PERS_PSERS_TRF Valuation 2015.pdf.pg.no.14</t>
  </si>
  <si>
    <t>Washington DRS_LEOFF_PERS_PSERS_TRF CAFR 2015.pdf.pg.no.136</t>
  </si>
  <si>
    <t>Washington DRS_LEOFF_PERS_PSERS_TRF Valuation 2015.pdf.pg.no.43</t>
  </si>
  <si>
    <t>Washington DRS_LEOFF_PERS_PSERS_TRF Valuation 2015.pdf.pg.no.8</t>
  </si>
  <si>
    <t>Washington DRS_LEOFF_PERS_PSERS_TRF CAFR 2015.pdf.pg.no.170</t>
  </si>
  <si>
    <t>Washington DRS_LEOFF_PERS_PSERS_TRF Valuation 2015.pdf.pg.no.24</t>
  </si>
  <si>
    <t>Washington DRS_LEOFF_PERS_PSERS_TRF Valuation 2016.pdf.pg.no.7</t>
  </si>
  <si>
    <t>Washington DRS_LEOFF_PERS_PSERS_TRF Valuation 2016.pdf.pg.no.15</t>
  </si>
  <si>
    <t>Washington DRS_LEOFF_PERS_PSERS_TRF CAFR 2016.pdf.pg.no.26</t>
  </si>
  <si>
    <t>Washington DRS_LEOFF_PERS_PSERS_TRF Valuation 2016.pdf.pg.no.14</t>
  </si>
  <si>
    <t>Washington DRS_LEOFF_PERS_PSERS_TRF CAFR 2016.pdf.pg.no.132</t>
  </si>
  <si>
    <t>Washington DRS_LEOFF_PERS_PSERS_TRF Valuation 2016.pdf.pg.no.49</t>
  </si>
  <si>
    <t>Washington DRS_LEOFF_PERS_PSERS_TRF Valuation 2016.pdf.pg.no.8</t>
  </si>
  <si>
    <t>Washington DRS_LEOFF_PERS_PSERS_TRF CAFR 2016.pdf.pg.no.167</t>
  </si>
  <si>
    <t>Washington DRS_LEOFF_PERS_PSERS_TRF Valuation 2016.pdf.pg.no.28</t>
  </si>
  <si>
    <t>Washington DRS_LEOFF_PERS_PSERS_TRF Valuation 2017.pdf.pg.no.7</t>
  </si>
  <si>
    <t>Washington DRS_LEOFF_PERS_PSERS_TRF Valuation 2017.pdf.pg.no.16</t>
  </si>
  <si>
    <t>Washington DRS_LEOFF_PERS_PSERS_TRF CAFR 2017.pdf.pg.no.27</t>
  </si>
  <si>
    <t>Washington DRS_LEOFF_PERS_PSERS_TRF Valuation 2017.pdf.pg.no.15</t>
  </si>
  <si>
    <t>Washington DRS_LEOFF_PERS_PSERS_TRF CAFR 2017.pdf.pg.no.134</t>
  </si>
  <si>
    <t>Washington DRS_LEOFF_PERS_PSERS_TRF Valuation 2017.pdf.pg.no.48</t>
  </si>
  <si>
    <t>Washington DRS_LEOFF_PERS_PSERS_TRF Valuation 2017.pdf.pg.no.9</t>
  </si>
  <si>
    <t>Washington DRS_LEOFF_PERS_PSERS_TRF CAFR 2017.pdf.pg.no.169</t>
  </si>
  <si>
    <t>Washington DRS_LEOFF_PERS_PSERS_TRF Valuation 2017.pdf.pg.no.28</t>
  </si>
  <si>
    <t>Washington DRS_LEOFF_PERS_PSERS_TRF Valuation 2018.pdf.pg.no.7</t>
  </si>
  <si>
    <t>Washington DRS_LEOFF_PERS_PSERS_TRF Valuation 2018.pdf.pg.no.14</t>
  </si>
  <si>
    <t>Washington DRS_LEOFF_PERS_PSERS_TRF CAFR 2018.pdf.pg.no.35</t>
  </si>
  <si>
    <t>Washington DRS_LEOFF_PERS_PSERS_TRF Valuation 2018.pdf.pg.no.13</t>
  </si>
  <si>
    <t>Washington DRS_LEOFF_PERS_PSERS_TRF CAFR 2018.pdf.pg.no.151</t>
  </si>
  <si>
    <t>Washington DRS_LEOFF_PERS_PSERS_TRF Valuation 2018.pdf.pg.no.45</t>
  </si>
  <si>
    <t>Washington DRS_LEOFF_PERS_PSERS_TRF Valuation 2018.pdf.pg.no.8</t>
  </si>
  <si>
    <t>Washington DRS_LEOFF_PERS_PSERS_TRF CAFR 2018.pdf.pg.no.186</t>
  </si>
  <si>
    <t>Washington DRS_LEOFF_PERS_PSERS_TRF Valuation 2018.pdf.pg.no.28</t>
  </si>
  <si>
    <t>Washington DRS_LEOFF_PERS_PSERS_TRF Valuation 2019.pdf.pg.no.7</t>
  </si>
  <si>
    <t>Washington DRS_LEOFF_PERS_PSERS_TRF Valuation 2019.pdf.pg.no.16</t>
  </si>
  <si>
    <t>Washington DRS_LEOFF_PERS_PSERS_TRF CAFR 2019.pdf.pg.no.34</t>
  </si>
  <si>
    <t>Washington DRS_LEOFF_PERS_PSERS_TRF Valuation 2019.pdf.pg.no.15</t>
  </si>
  <si>
    <t>Washington DRS_LEOFF_PERS_PSERS_TRF CAFR 2019.pdf.pg.no.154</t>
  </si>
  <si>
    <t>Washington DRS_LEOFF_PERS_PSERS_TRF Valuation 2019.pdf.pg.no.51</t>
  </si>
  <si>
    <t>Washington DRS_LEOFF_PERS_PSERS_TRF Valuation 2019.pdf.pg.no.10</t>
  </si>
  <si>
    <t>Washington DRS_LEOFF_PERS_PSERS_TRF CAFR 2019.pdf.pg.no.80, 81</t>
  </si>
  <si>
    <t>Washington DRS_LEOFF_PERS_PSERS_TRF CAFR 2019.pdf.pg.no.189</t>
  </si>
  <si>
    <t>Washington DRS_LEOFF_PERS_PSERS_TRF Valuation 2019.pdf.pg.no.31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</si>
  <si>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</si>
  <si>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</si>
  <si>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</si>
  <si>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</si>
  <si>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</si>
  <si>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</si>
  <si>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</si>
  <si>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</si>
  <si>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</si>
  <si>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</si>
  <si>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</si>
  <si>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</si>
  <si>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</si>
  <si>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</si>
  <si>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</si>
  <si>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</si>
  <si>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</si>
  <si>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</si>
  <si>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</si>
  <si>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</si>
  <si>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</si>
  <si>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</si>
  <si>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</si>
  <si>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</si>
  <si>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</si>
  <si>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adec_pct_reason</t>
  </si>
  <si>
    <t>arcpct_payroll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</si>
  <si>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</si>
  <si>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</si>
  <si>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</si>
  <si>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</si>
  <si>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</si>
  <si>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</si>
  <si>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</si>
  <si>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</si>
  <si>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-</t>
  </si>
  <si>
    <t>n/a</t>
  </si>
  <si>
    <t>NA</t>
  </si>
  <si>
    <t>Aggregate</t>
  </si>
  <si>
    <t>Washington DRS_LEOFF_PERS_PSERS_TRF CAFR 2002.pdf.pg.no.71</t>
  </si>
  <si>
    <t>Washington DRS_LEOFF_PERS_PSERS_TRF CAFR 2002.pdf.pg.no.123</t>
  </si>
  <si>
    <t>Washington DRS_LEOFF_PERS_PSERS_TRF CAFR 2003.pdf.pg.no.119</t>
  </si>
  <si>
    <t>Washington DRS_LEOFF_PERS_PSERS_TRF CAFR 2003.pdf.pg.no.67</t>
  </si>
  <si>
    <t>Washington DRS_LEOFF_PERS_PSERS_TRF CAFR 2004.pdf.pg.no.125</t>
  </si>
  <si>
    <t>Washington DRS_LEOFF_PERS_PSERS_TRF CAFR 2004.pdf.pg.no.70</t>
  </si>
  <si>
    <t>Washington DRS_LEOFF_PERS_PSERS_TRF CAFR 2005.pdf.pg.no.129</t>
  </si>
  <si>
    <t>Washington DRS_LEOFF_PERS_PSERS_TRF CAFR 2005.pdf.pg.no.74</t>
  </si>
  <si>
    <t>Washington DRS_LEOFF_PERS_PSERS_TRF CAFR 2010.pdf.pg.no.86</t>
  </si>
  <si>
    <t>Washington DRS_LEOFF_PERS_PSERS_TRF CAFR 2006.pdf.pg.no.129</t>
  </si>
  <si>
    <t>Washington DRS_LEOFF_PERS_PSERS_TRF CAFR 2006.pdf.pg.no.73</t>
  </si>
  <si>
    <t>Washington DRS_LEOFF_PERS_PSERS_TRF CAFR 2007.pdf.pg.no.140</t>
  </si>
  <si>
    <t>Washington DRS_LEOFF_PERS_PSERS_TRF CAFR 2007.pdf.pg.no.81</t>
  </si>
  <si>
    <t>Washington DRS_LEOFF_PERS_PSERS_TRF CAFR 2008.pdf.pg.no.84</t>
  </si>
  <si>
    <t>Washington DRS_LEOFF_PERS_PSERS_TRF CAFR 2008.pdf.pg.no.140</t>
  </si>
  <si>
    <t>Washington DRS_LEOFF_PERS_PSERS_TRF CAFR 2008.pdf.pg.no.86</t>
  </si>
  <si>
    <t>Washington DRS_LEOFF_PERS_PSERS_TRF CAFR 2009.pdf.pg.no.86</t>
  </si>
  <si>
    <t>Washington DRS_LEOFF_PERS_PSERS_TRF CAFR 2009.pdf.pg.no.147</t>
  </si>
  <si>
    <t>Washington DRS_LEOFF_PERS_PSERS_TRF CAFR 2009.pdf.pg.no.88</t>
  </si>
  <si>
    <t>Washington DRS_LEOFF_PERS_PSERS_TRF CAFR 2010.pdf.pg.no.149</t>
  </si>
  <si>
    <t>Washington DRS_LEOFF_PERS_PSERS_TRF CAFR 2010.pdf.pg.no.88</t>
  </si>
  <si>
    <t>Washington DRS_LEOFF_PERS_PSERS_TRF CAFR 2011.pdf.pg.no.88</t>
  </si>
  <si>
    <t>Washington DRS_LEOFF_PERS_PSERS_TRF CAFR 2011.pdf.pg.no.148</t>
  </si>
  <si>
    <t>Washington DRS_LEOFF_PERS_PSERS_TRF CAFR 2011.pdf.pg.no.90</t>
  </si>
  <si>
    <t>Washington DRS_LEOFF_PERS_PSERS_TRF CAFR 2012.pdf.pg.no.80</t>
  </si>
  <si>
    <t>Washington DRS_LEOFF_PERS_PSERS_TRF CAFR 2012.pdf.pg.no.140</t>
  </si>
  <si>
    <t>Washington DRS_LEOFF_PERS_PSERS_TRF CAFR 2012.pdf.pg.no.82</t>
  </si>
  <si>
    <t>Washington DRS_LEOFF_PERS_PSERS_TRF CAFR 2013.pdf.pg.no.80</t>
  </si>
  <si>
    <t>Washington DRS_LEOFF_PERS_PSERS_TRF CAFR 2013.pdf.pg.no.140</t>
  </si>
  <si>
    <t>Washington DRS_LEOFF_PERS_PSERS_TRF CAFR 2013.pdf.pg.no.82</t>
  </si>
  <si>
    <t>Washington DRS_LEOFF_PERS_PSERS_TRF CAFR 2014.pdf.pg.no.159</t>
  </si>
  <si>
    <t>Washington DRS_LEOFF_PERS_PSERS_TRF CAFR 2015.pdf.pg.no.163</t>
  </si>
  <si>
    <t>Washington DRS_LEOFF_PERS_PSERS_TRF CAFR 2016.pdf.pg.no.159</t>
  </si>
  <si>
    <t>Washington DRS_LEOFF_PERS_PSERS_TRF CAFR 2017.pdf.pg.no.161</t>
  </si>
  <si>
    <t>Washington DRS_LEOFF_PERS_PSERS_TRF CAFR 2018.pdf.pg.no.115</t>
  </si>
  <si>
    <t>Washington DRS_LEOFF_PERS_PSERS_TRF CAFR 2018.pdf.pg.no.178</t>
  </si>
  <si>
    <t>Washington DRS_LEOFF_PERS_PSERS_TRF CAFR 2019.pdf.pg.no.118</t>
  </si>
  <si>
    <t>Washington DRS_LEOFF_PERS_PSERS_TRF CAFR 2019.pdf.pg.no.181</t>
  </si>
  <si>
    <t>TAB</t>
  </si>
  <si>
    <t>HEADING</t>
  </si>
  <si>
    <t>YEARS</t>
  </si>
  <si>
    <t>COMMENT</t>
  </si>
  <si>
    <t>GASB 68</t>
  </si>
  <si>
    <t>2014-2019</t>
  </si>
  <si>
    <t>The Washington State DRS GASB Reports exclude the State Patrol Retirement System, hence, the CAFR documents have been used</t>
  </si>
  <si>
    <t>2015-2019</t>
  </si>
  <si>
    <t>Relevant data have been taken from the prior years' documents</t>
  </si>
  <si>
    <t xml:space="preserve">Membership Data  </t>
  </si>
  <si>
    <t>Includes figures for WSPRS Plan 1 &amp; Plan 2</t>
  </si>
  <si>
    <t>Includes figures for active plan members: vested and nonvested</t>
  </si>
  <si>
    <t>Relevant data have been taken from the Schedule of Changes in NPL</t>
  </si>
  <si>
    <t>Actuarial Valuation</t>
  </si>
  <si>
    <t>2001-2014</t>
  </si>
  <si>
    <t>Total Annual Salaries considered here</t>
  </si>
  <si>
    <t>2001-2013</t>
  </si>
  <si>
    <t>Projected Unit Credit Liability considered</t>
  </si>
  <si>
    <t>Entry Age Normal Liability has been considered</t>
  </si>
  <si>
    <t>2002-2019</t>
  </si>
  <si>
    <t xml:space="preserve">The payroll growth has been calculated as growth in membership multiplied by the salary growth </t>
  </si>
  <si>
    <t>CAFR</t>
  </si>
  <si>
    <t>Annual money-weighted rates of return have been considered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</si>
  <si>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</si>
  <si>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</si>
  <si>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</si>
  <si>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</si>
  <si>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</si>
  <si>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</si>
  <si>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</si>
  <si>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</si>
  <si>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</si>
  <si>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</si>
  <si>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</si>
  <si>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</si>
  <si>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</si>
  <si>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</si>
  <si>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</si>
  <si>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</si>
  <si>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</si>
  <si>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</si>
  <si>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</si>
  <si>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</si>
  <si>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</si>
  <si>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</si>
  <si>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</si>
  <si>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</si>
  <si>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</si>
  <si>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</si>
  <si>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</si>
  <si>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</si>
  <si>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</si>
  <si>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</si>
  <si>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</si>
  <si>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</si>
  <si>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</si>
  <si>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</si>
  <si>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</si>
  <si>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</si>
  <si>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</si>
  <si>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</si>
  <si>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</si>
  <si>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</si>
  <si>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</si>
  <si>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</si>
  <si>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</si>
  <si>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</si>
  <si>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</si>
  <si>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</si>
  <si>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</si>
  <si>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</si>
  <si>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</si>
  <si>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</si>
  <si>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</si>
  <si>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</si>
  <si>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</si>
  <si>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</si>
  <si>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</si>
  <si>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</si>
  <si>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</si>
  <si>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</si>
  <si>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</si>
  <si>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</si>
  <si>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</si>
  <si>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</si>
  <si>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</si>
  <si>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</si>
  <si>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</si>
  <si>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</si>
  <si>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</si>
  <si>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</si>
  <si>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</si>
  <si>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</si>
  <si>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</si>
  <si>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</si>
  <si>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</si>
  <si>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</si>
  <si>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</si>
  <si>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</si>
  <si>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</si>
  <si>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</si>
  <si>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</si>
  <si>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</si>
  <si>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</si>
  <si>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</si>
  <si>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</si>
  <si>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</si>
  <si>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</si>
  <si>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</si>
  <si>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</si>
  <si>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</si>
  <si>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</si>
  <si>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</si>
  <si>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</si>
  <si>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</si>
  <si>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</si>
  <si>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</si>
  <si>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</si>
  <si>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</si>
  <si>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</si>
  <si>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</si>
  <si>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</si>
  <si>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</si>
  <si>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</si>
  <si>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</si>
  <si>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</si>
  <si>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</si>
  <si>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</si>
  <si>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</si>
  <si>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</si>
  <si>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</si>
  <si>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</si>
  <si>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</si>
  <si>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</si>
  <si>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</si>
  <si>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</si>
  <si>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</si>
  <si>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</si>
  <si>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</si>
  <si>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</si>
  <si>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</si>
  <si>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</si>
  <si>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</si>
  <si>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</si>
  <si>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</si>
  <si>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</si>
  <si>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</si>
  <si>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</si>
  <si>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</si>
  <si>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</si>
  <si>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</si>
  <si>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</si>
  <si>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</si>
  <si>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</si>
  <si>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</si>
  <si>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</si>
  <si>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</si>
  <si>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</si>
  <si>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</si>
  <si>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</si>
  <si>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</si>
  <si>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</si>
  <si>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</si>
  <si>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</si>
  <si>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</si>
  <si>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</si>
  <si>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</si>
  <si>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</si>
  <si>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</si>
  <si>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</si>
  <si>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</si>
  <si>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</si>
  <si>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</si>
  <si>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</si>
  <si>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</si>
  <si>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</si>
  <si>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</si>
  <si>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</si>
  <si>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</si>
  <si>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</si>
  <si>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</si>
  <si>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</si>
  <si>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</si>
  <si>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</si>
  <si>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</si>
  <si>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</si>
  <si>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</si>
  <si>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</si>
  <si>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</si>
  <si>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</si>
  <si>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</si>
  <si>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</si>
  <si>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</si>
  <si>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</si>
  <si>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</si>
  <si>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</si>
  <si>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</si>
  <si>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Washington DRS_LEOFF_PERS_PSERS_TRF CAFR 2002.pdf Pg.No 123</t>
  </si>
  <si>
    <t>Washington DRS_LEOFF_PERS_PSERS_TRF CAFR 2003.pdf Pg.No 119</t>
  </si>
  <si>
    <t>Washington DRS_LEOFF_PERS_PSERS_TRF CAFR 2004 .pdf Pg.No 125</t>
  </si>
  <si>
    <t>Washington DRS_LEOFF_PERS_PSERS_TRF CAFR 2005.pdf Pg.No 129</t>
  </si>
  <si>
    <t>Washington DRS_LEOFF_PERS_PSERS_TRF CAFR 2006.pdf Pg.No 129</t>
  </si>
  <si>
    <t>Washington DRS_LEOFF_PERS_PSERS_TRF CAFR 2007.pdf Pg.No 140</t>
  </si>
  <si>
    <t>Washington DRS_LEOFF_PERS_PSERS_TRF CAFR 2008.pdf Pg.No 140</t>
  </si>
  <si>
    <t>Washington DRS_LEOFF_PERS_PSERS_TRF CAFR 2009.pdf Pg.No 147</t>
  </si>
  <si>
    <t>Washington DRS_LEOFF_PERS_PSERS_TRF CAFR 2010.pdf Pg.No 149</t>
  </si>
  <si>
    <t>Washington DRS_LEOFF_PERS_PSERS_TRF CAFR 2011.pdf Pg.No 148</t>
  </si>
  <si>
    <t>Washington DRS_LEOFF_PERS_PSERS_TRF CAFR 2012.pdf Pg.No 140</t>
  </si>
  <si>
    <t>Washington DRS_LEOFF_PERS_PSERS_TRF CAFR 2013.pdf Pg.No 140</t>
  </si>
  <si>
    <t>Washington DRS_LEOFF_PERS_PSERS_TRF CAFR 2014.pdf Pg.No 159</t>
  </si>
  <si>
    <t>Washington DRS_LEOFF_PERS_PSERS_TRF CAFR 2015.pdf Pg.No 163</t>
  </si>
  <si>
    <t>Washington DRS_LEOFF_PERS_PSERS_TRF CAFR 2016.pdf Pg.No 159</t>
  </si>
  <si>
    <t>Washington DRS_LEOFF_PERS_PSERS_TRF CAFR 2017.pdf Pg.No 161</t>
  </si>
  <si>
    <t>Washington DRS_LEOFF_PERS_PSERS_TRF CAFR 2018.pdf Pg.No 178</t>
  </si>
  <si>
    <t>Washington DRS_LEOFF_PERS_PSERS_TRF CAFR 2019.pdf Pg.No 181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</si>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</sst>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1"/>
      <color rgb="FF000000"/>
      <name val="Arial"/>
    </font>
    <font>
      <b/>
      <sz val="11"/>
      <color rgb="FF000000"/>
      <name val="Calibri"/>
    </font>
    <font>
      <sz val="11"/>
      <color rgb="FF222222"/>
      <name val="Arial"/>
    </font>
    <font>
      <sz val="11"/>
      <color theme="1"/>
      <name val="Arial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38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/>
    <xf numFmtId="15" fontId="2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  <xf numFmtId="10" fontId="2" fillId="0" borderId="0" xfId="0" applyNumberFormat="1" applyFont="1" applyAlignment="1">
      <alignment horizontal="right"/>
    </xf>
    <xf numFmtId="10" fontId="2" fillId="2" borderId="1" xfId="0" applyNumberFormat="1" applyFont="1" applyFill="1" applyBorder="1"/>
    <xf numFmtId="164" fontId="2" fillId="2" borderId="1" xfId="0" applyNumberFormat="1" applyFont="1" applyFill="1" applyBorder="1"/>
    <xf numFmtId="43" fontId="2" fillId="0" borderId="0" xfId="0" applyNumberFormat="1" applyFont="1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 wrapText="1"/>
    </xf>
    <xf numFmtId="2" fontId="2" fillId="0" borderId="0" xfId="0" applyNumberFormat="1" applyFon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1" fillId="3" borderId="1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0" fontId="0" fillId="4" borderId="1" xfId="0" applyFont="1" applyFill="1" applyBorder="1"/>
    <xf numFmtId="0" fontId="5" fillId="5" borderId="0" xfId="0" applyFont="1" applyFill="1" applyAlignment="1"/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0" fontId="0" fillId="0" borderId="0" xfId="0" applyNumberFormat="1" applyFont="1" applyAlignment="1">
      <alignment horizontal="left"/>
    </xf>
    <xf numFmtId="43" fontId="0" fillId="0" borderId="0" xfId="0" applyNumberFormat="1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7" fillId="0" borderId="0" xfId="0" applyFont="1"/>
    <xf numFmtId="164" fontId="2" fillId="0" borderId="0" xfId="1" applyNumberFormat="1" applyFont="1"/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0"/>
  <sheetViews>
    <sheetView tabSelected="1" zoomScale="80" zoomScaleNormal="80" workbookViewId="0"/>
  </sheetViews>
  <sheetFormatPr defaultColWidth="12.6640625" defaultRowHeight="14" x14ac:dyDescent="0.3"/>
  <cols>
    <col min="1" max="1" width="35.83203125" customWidth="1"/>
    <col min="2" max="2" width="7.5" customWidth="1"/>
    <col min="3" max="5" width="53.75" bestFit="1" customWidth="1"/>
    <col min="6" max="7" width="52.83203125" customWidth="1"/>
    <col min="8" max="8" width="19.1640625" customWidth="1"/>
    <col min="9" max="11" width="52.83203125" customWidth="1"/>
    <col min="12" max="13" width="17" customWidth="1"/>
    <col min="14" max="14" width="20.1640625" bestFit="1" customWidth="1"/>
    <col min="15" max="20" width="52.83203125" customWidth="1"/>
    <col min="21" max="21" width="53.75" bestFit="1" customWidth="1"/>
    <col min="22" max="22" width="13.6640625" customWidth="1"/>
    <col min="23" max="23" width="15.08203125" bestFit="1" customWidth="1"/>
    <col min="24" max="24" width="15.6640625" customWidth="1"/>
    <col min="25" max="25" width="24.5" bestFit="1" customWidth="1"/>
    <col min="26" max="26" width="13.08203125" bestFit="1" customWidth="1"/>
    <col min="27" max="28" width="53.75" bestFit="1" customWidth="1"/>
    <col min="29" max="29" width="21" bestFit="1" customWidth="1"/>
    <col min="30" max="30" width="23.25" bestFit="1" customWidth="1"/>
    <col min="31" max="33" width="53.75" bestFit="1" customWidth="1"/>
    <col min="34" max="34" width="40.58203125" bestFit="1" customWidth="1"/>
    <col min="35" max="35" width="31.1640625" customWidth="1"/>
    <col min="36" max="36" width="53.75" bestFit="1" customWidth="1"/>
    <col min="37" max="37" width="20.5" customWidth="1"/>
    <col min="38" max="38" width="32.08203125" bestFit="1" customWidth="1"/>
    <col min="39" max="39" width="53.75" bestFit="1" customWidth="1"/>
    <col min="40" max="40" width="22.6640625" customWidth="1"/>
    <col min="41" max="41" width="21.6640625" customWidth="1"/>
    <col min="42" max="42" width="8.83203125" customWidth="1"/>
    <col min="43" max="43" width="21" customWidth="1"/>
    <col min="44" max="49" width="52.83203125" customWidth="1"/>
    <col min="50" max="50" width="22.1640625" customWidth="1"/>
    <col min="51" max="60" width="53.75" bestFit="1" customWidth="1"/>
    <col min="61" max="61" width="14.33203125" customWidth="1"/>
    <col min="62" max="64" width="53.75" bestFit="1" customWidth="1"/>
    <col min="65" max="65" width="26.1640625" customWidth="1"/>
    <col min="66" max="67" width="53.75" bestFit="1" customWidth="1"/>
  </cols>
  <sheetData>
    <row r="1" spans="1:67" ht="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ht="14.5" x14ac:dyDescent="0.3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ht="14.5" x14ac:dyDescent="0.35">
      <c r="A3" s="3" t="s">
        <v>129</v>
      </c>
      <c r="B3" s="3">
        <v>2014</v>
      </c>
      <c r="C3" s="4">
        <v>41455</v>
      </c>
      <c r="D3" s="4" t="s">
        <v>846</v>
      </c>
      <c r="E3" s="4">
        <v>41820</v>
      </c>
      <c r="F3" s="5">
        <v>964</v>
      </c>
      <c r="G3" s="5">
        <f>119+10</f>
        <v>129</v>
      </c>
      <c r="H3" s="5"/>
      <c r="I3" s="5">
        <f>657+257+152</f>
        <v>1066</v>
      </c>
      <c r="J3" s="5">
        <f>1740+419</f>
        <v>2159</v>
      </c>
      <c r="K3" s="6">
        <v>7.4999999999999997E-2</v>
      </c>
      <c r="L3" s="6"/>
      <c r="M3" s="6"/>
      <c r="N3" s="3"/>
      <c r="O3" s="6"/>
      <c r="P3" s="6">
        <v>7.4999999999999997E-2</v>
      </c>
      <c r="Q3" s="5">
        <f>1072424*1000</f>
        <v>1072424000</v>
      </c>
      <c r="R3" s="5">
        <f>1098427*1000</f>
        <v>1098427000</v>
      </c>
      <c r="S3" s="5">
        <f>-26003*1000</f>
        <v>-26003000</v>
      </c>
      <c r="T3" s="7">
        <v>1.0242</v>
      </c>
      <c r="U3" s="5">
        <f>80*1000000</f>
        <v>80000000</v>
      </c>
      <c r="V3" s="5"/>
      <c r="W3" s="5"/>
      <c r="X3" s="5"/>
      <c r="Y3" s="8">
        <f t="shared" ref="Y3:Y8" si="0">AA3/U3</f>
        <v>8.3462499999999995E-2</v>
      </c>
      <c r="Z3" s="8">
        <f t="shared" ref="Z3:Z8" si="1">AB3/U3</f>
        <v>8.2337499999999994E-2</v>
      </c>
      <c r="AA3" s="5">
        <f>6677*1000</f>
        <v>6677000</v>
      </c>
      <c r="AB3" s="5">
        <f>6587*1000</f>
        <v>6587000</v>
      </c>
      <c r="AC3" s="9">
        <f t="shared" ref="AC3:AC8" si="2">AA3-AB3</f>
        <v>90000</v>
      </c>
      <c r="AD3" s="8">
        <f t="shared" ref="AD3:AD8" si="3">AB3/AA3</f>
        <v>0.98652089261644449</v>
      </c>
      <c r="AE3" s="5">
        <f>18041*1000</f>
        <v>18041000</v>
      </c>
      <c r="AF3" s="5">
        <f>75249*1000</f>
        <v>75249000</v>
      </c>
      <c r="AG3" s="5">
        <v>0</v>
      </c>
      <c r="AH3" s="5"/>
      <c r="AI3" s="5"/>
      <c r="AJ3" s="5">
        <f>-6555*1000</f>
        <v>-6555000</v>
      </c>
      <c r="AK3" s="5"/>
      <c r="AL3" s="5"/>
      <c r="AM3" s="5">
        <f>84*1000</f>
        <v>84000</v>
      </c>
      <c r="AN3" s="5"/>
      <c r="AO3" s="5"/>
      <c r="AP3" s="5"/>
      <c r="AQ3" s="5"/>
      <c r="AR3" s="6">
        <v>6.5000000000000002E-2</v>
      </c>
      <c r="AS3" s="6">
        <v>7.4999999999999997E-2</v>
      </c>
      <c r="AT3" s="6">
        <v>8.5000000000000006E-2</v>
      </c>
      <c r="AU3" s="5">
        <f>156101*1000</f>
        <v>156101000</v>
      </c>
      <c r="AV3" s="5">
        <f>-26003*1000</f>
        <v>-26003000</v>
      </c>
      <c r="AW3" s="5">
        <f>-168669*1000</f>
        <v>-168669000</v>
      </c>
      <c r="AX3" s="10"/>
      <c r="AY3" s="5">
        <f>1026644*1000</f>
        <v>1026644000</v>
      </c>
      <c r="AZ3" s="5">
        <f>18041*1000</f>
        <v>18041000</v>
      </c>
      <c r="BA3" s="5">
        <f>75249*1000</f>
        <v>75249000</v>
      </c>
      <c r="BB3" s="5">
        <v>0</v>
      </c>
      <c r="BC3" s="5">
        <v>0</v>
      </c>
      <c r="BD3" s="5">
        <v>0</v>
      </c>
      <c r="BE3" s="5">
        <f>6587*1000</f>
        <v>6587000</v>
      </c>
      <c r="BF3" s="5">
        <f>6555*1000</f>
        <v>6555000</v>
      </c>
      <c r="BG3" s="5">
        <f>176856*1000</f>
        <v>176856000</v>
      </c>
      <c r="BH3" s="5">
        <f>-47510*1000</f>
        <v>-47510000</v>
      </c>
      <c r="BI3" s="5"/>
      <c r="BJ3" s="5">
        <f t="shared" ref="BJ3:BJ8" si="4">BH3+BI3</f>
        <v>-47510000</v>
      </c>
      <c r="BK3" s="5">
        <f>-84*1000</f>
        <v>-84000</v>
      </c>
      <c r="BL3" s="5">
        <f>509*1000</f>
        <v>509000</v>
      </c>
      <c r="BM3" s="5"/>
      <c r="BN3" s="5">
        <f>955514*1000</f>
        <v>955514000</v>
      </c>
      <c r="BO3" s="5">
        <f>-26003*1000</f>
        <v>-26003000</v>
      </c>
    </row>
    <row r="4" spans="1:67" ht="14.5" x14ac:dyDescent="0.35">
      <c r="A4" s="3" t="s">
        <v>129</v>
      </c>
      <c r="B4" s="3">
        <f t="shared" ref="B4:B7" si="5">B3+1</f>
        <v>2015</v>
      </c>
      <c r="C4" s="4">
        <v>41820</v>
      </c>
      <c r="D4" s="4">
        <v>41820</v>
      </c>
      <c r="E4" s="4">
        <v>42185</v>
      </c>
      <c r="F4" s="5">
        <v>996</v>
      </c>
      <c r="G4" s="5">
        <f>124+15</f>
        <v>139</v>
      </c>
      <c r="H4" s="5"/>
      <c r="I4" s="5">
        <f>609+259+176</f>
        <v>1044</v>
      </c>
      <c r="J4" s="5">
        <f>1729+450</f>
        <v>2179</v>
      </c>
      <c r="K4" s="6">
        <v>7.4999999999999997E-2</v>
      </c>
      <c r="L4" s="6"/>
      <c r="M4" s="6"/>
      <c r="N4" s="3"/>
      <c r="O4" s="6">
        <f t="shared" ref="O4:O8" si="6">P3</f>
        <v>7.4999999999999997E-2</v>
      </c>
      <c r="P4" s="6">
        <v>7.4999999999999997E-2</v>
      </c>
      <c r="Q4" s="5">
        <f>1130177*1000</f>
        <v>1130177000</v>
      </c>
      <c r="R4" s="5">
        <f>1110626*1000</f>
        <v>1110626000</v>
      </c>
      <c r="S4" s="5">
        <f>19551*1000</f>
        <v>19551000</v>
      </c>
      <c r="T4" s="7">
        <v>0.98270000000000002</v>
      </c>
      <c r="U4" s="5">
        <f t="shared" ref="U4:U5" si="7">82*1000000</f>
        <v>82000000</v>
      </c>
      <c r="V4" s="5"/>
      <c r="W4" s="5"/>
      <c r="X4" s="5"/>
      <c r="Y4" s="8">
        <f t="shared" si="0"/>
        <v>8.3048780487804882E-2</v>
      </c>
      <c r="Z4" s="8">
        <f t="shared" si="1"/>
        <v>8.1451219512195125E-2</v>
      </c>
      <c r="AA4" s="5">
        <f>6810*1000</f>
        <v>6810000</v>
      </c>
      <c r="AB4" s="5">
        <f>6679*1000</f>
        <v>6679000</v>
      </c>
      <c r="AC4" s="9">
        <f t="shared" si="2"/>
        <v>131000</v>
      </c>
      <c r="AD4" s="8">
        <f t="shared" si="3"/>
        <v>0.98076358296622612</v>
      </c>
      <c r="AE4" s="5">
        <f>16633*1000</f>
        <v>16633000</v>
      </c>
      <c r="AF4" s="5">
        <f>80037*1000</f>
        <v>80037000</v>
      </c>
      <c r="AG4" s="5">
        <f>2258*1000</f>
        <v>2258000</v>
      </c>
      <c r="AH4" s="5"/>
      <c r="AI4" s="5"/>
      <c r="AJ4" s="5">
        <f>-6323*1000</f>
        <v>-6323000</v>
      </c>
      <c r="AK4" s="5"/>
      <c r="AL4" s="5"/>
      <c r="AM4" s="5">
        <f>67*1000</f>
        <v>67000</v>
      </c>
      <c r="AN4" s="5"/>
      <c r="AO4" s="5"/>
      <c r="AP4" s="5"/>
      <c r="AQ4" s="5"/>
      <c r="AR4" s="6">
        <v>6.5000000000000002E-2</v>
      </c>
      <c r="AS4" s="6">
        <v>7.4999999999999997E-2</v>
      </c>
      <c r="AT4" s="6">
        <v>8.5000000000000006E-2</v>
      </c>
      <c r="AU4" s="5">
        <f>208202*1000</f>
        <v>208202000</v>
      </c>
      <c r="AV4" s="5">
        <f>19551*1000</f>
        <v>19551000</v>
      </c>
      <c r="AW4" s="5">
        <f>-128553*1000</f>
        <v>-128553000</v>
      </c>
      <c r="AX4" s="10"/>
      <c r="AY4" s="5">
        <f>1072424*1000</f>
        <v>1072424000</v>
      </c>
      <c r="AZ4" s="5">
        <f>16633*1000</f>
        <v>16633000</v>
      </c>
      <c r="BA4" s="5">
        <f>80037*1000</f>
        <v>80037000</v>
      </c>
      <c r="BB4" s="5">
        <f>2258*1000</f>
        <v>2258000</v>
      </c>
      <c r="BC4" s="5">
        <f>8883*1000</f>
        <v>8883000</v>
      </c>
      <c r="BD4" s="5">
        <f>17*1000</f>
        <v>17000</v>
      </c>
      <c r="BE4" s="5">
        <f>6679*1000</f>
        <v>6679000</v>
      </c>
      <c r="BF4" s="5">
        <f>6323*1000</f>
        <v>6323000</v>
      </c>
      <c r="BG4" s="5">
        <f>49046*1000</f>
        <v>49046000</v>
      </c>
      <c r="BH4" s="5">
        <f>-50075*1000</f>
        <v>-50075000</v>
      </c>
      <c r="BI4" s="5"/>
      <c r="BJ4" s="5">
        <f t="shared" si="4"/>
        <v>-50075000</v>
      </c>
      <c r="BK4" s="5">
        <f>-67*1000</f>
        <v>-67000</v>
      </c>
      <c r="BL4" s="5">
        <f>293*1000</f>
        <v>293000</v>
      </c>
      <c r="BM4" s="5"/>
      <c r="BN4" s="5">
        <f>1098427*1000</f>
        <v>1098427000</v>
      </c>
      <c r="BO4" s="5">
        <f>19551*1000</f>
        <v>19551000</v>
      </c>
    </row>
    <row r="5" spans="1:67" ht="14.5" x14ac:dyDescent="0.35">
      <c r="A5" s="3" t="s">
        <v>129</v>
      </c>
      <c r="B5" s="3">
        <f t="shared" si="5"/>
        <v>2016</v>
      </c>
      <c r="C5" s="4">
        <v>42185</v>
      </c>
      <c r="D5" s="4">
        <f t="shared" ref="D5:D8" si="8">E4</f>
        <v>42185</v>
      </c>
      <c r="E5" s="4">
        <v>42551</v>
      </c>
      <c r="F5" s="5">
        <v>1078</v>
      </c>
      <c r="G5" s="5">
        <f>76+28</f>
        <v>104</v>
      </c>
      <c r="H5" s="5"/>
      <c r="I5" s="5">
        <f>498+291+179</f>
        <v>968</v>
      </c>
      <c r="J5" s="5">
        <f>1652+498</f>
        <v>2150</v>
      </c>
      <c r="K5" s="6">
        <v>7.4999999999999997E-2</v>
      </c>
      <c r="L5" s="6"/>
      <c r="M5" s="6"/>
      <c r="N5" s="3"/>
      <c r="O5" s="6">
        <f t="shared" si="6"/>
        <v>7.4999999999999997E-2</v>
      </c>
      <c r="P5" s="6">
        <v>7.4999999999999997E-2</v>
      </c>
      <c r="Q5" s="5">
        <f>1167443*1000</f>
        <v>1167443000</v>
      </c>
      <c r="R5" s="5">
        <f>1098127*1000</f>
        <v>1098127000</v>
      </c>
      <c r="S5" s="5">
        <f>69316*1000</f>
        <v>69316000</v>
      </c>
      <c r="T5" s="7">
        <v>0.94059999999999999</v>
      </c>
      <c r="U5" s="5">
        <f t="shared" si="7"/>
        <v>82000000</v>
      </c>
      <c r="V5" s="5"/>
      <c r="W5" s="5"/>
      <c r="X5" s="5"/>
      <c r="Y5" s="8">
        <f t="shared" si="0"/>
        <v>9.2902439024390243E-2</v>
      </c>
      <c r="Z5" s="8">
        <f t="shared" si="1"/>
        <v>8.5902439024390251E-2</v>
      </c>
      <c r="AA5" s="5">
        <f>7618*1000</f>
        <v>7618000</v>
      </c>
      <c r="AB5" s="5">
        <f>7044*1000</f>
        <v>7044000</v>
      </c>
      <c r="AC5" s="9">
        <f t="shared" si="2"/>
        <v>574000</v>
      </c>
      <c r="AD5" s="8">
        <f t="shared" si="3"/>
        <v>0.92465213966920456</v>
      </c>
      <c r="AE5" s="5">
        <f>16534*1000</f>
        <v>16534000</v>
      </c>
      <c r="AF5" s="5">
        <f>83373*1000</f>
        <v>83373000</v>
      </c>
      <c r="AG5" s="5">
        <f>1947*1000</f>
        <v>1947000</v>
      </c>
      <c r="AH5" s="5"/>
      <c r="AI5" s="5"/>
      <c r="AJ5" s="5">
        <f>-8895*1000</f>
        <v>-8895000</v>
      </c>
      <c r="AK5" s="5"/>
      <c r="AL5" s="5"/>
      <c r="AM5" s="5">
        <f>60*1000</f>
        <v>60000</v>
      </c>
      <c r="AN5" s="5"/>
      <c r="AO5" s="5"/>
      <c r="AP5" s="5"/>
      <c r="AQ5" s="5"/>
      <c r="AR5" s="6">
        <v>6.5000000000000002E-2</v>
      </c>
      <c r="AS5" s="6">
        <v>7.4999999999999997E-2</v>
      </c>
      <c r="AT5" s="6">
        <v>8.5000000000000006E-2</v>
      </c>
      <c r="AU5" s="5">
        <f>260659*1000</f>
        <v>260659000</v>
      </c>
      <c r="AV5" s="5">
        <f>69316*1000</f>
        <v>69316000</v>
      </c>
      <c r="AW5" s="5">
        <f>-81250*1000</f>
        <v>-81250000</v>
      </c>
      <c r="AX5" s="10"/>
      <c r="AY5" s="5">
        <f>1130177*1000</f>
        <v>1130177000</v>
      </c>
      <c r="AZ5" s="5">
        <f>16534*1000</f>
        <v>16534000</v>
      </c>
      <c r="BA5" s="5">
        <f>83373*1000</f>
        <v>83373000</v>
      </c>
      <c r="BB5" s="5">
        <f>1947*1000</f>
        <v>1947000</v>
      </c>
      <c r="BC5" s="5">
        <f>-10430*1000</f>
        <v>-10430000</v>
      </c>
      <c r="BD5" s="5">
        <f>2*1000</f>
        <v>2000</v>
      </c>
      <c r="BE5" s="5">
        <f>7044*1000</f>
        <v>7044000</v>
      </c>
      <c r="BF5" s="5">
        <f>8895*1000</f>
        <v>8895000</v>
      </c>
      <c r="BG5" s="5">
        <f>25352*1000</f>
        <v>25352000</v>
      </c>
      <c r="BH5" s="5">
        <f>-54159*1000</f>
        <v>-54159000</v>
      </c>
      <c r="BI5" s="5"/>
      <c r="BJ5" s="5">
        <f t="shared" si="4"/>
        <v>-54159000</v>
      </c>
      <c r="BK5" s="5">
        <f>-60*1000</f>
        <v>-60000</v>
      </c>
      <c r="BL5" s="5">
        <f>429*1000</f>
        <v>429000</v>
      </c>
      <c r="BM5" s="5"/>
      <c r="BN5" s="5">
        <f>1110626*1000</f>
        <v>1110626000</v>
      </c>
      <c r="BO5" s="5">
        <f>69316*1000</f>
        <v>69316000</v>
      </c>
    </row>
    <row r="6" spans="1:67" ht="14.5" x14ac:dyDescent="0.35">
      <c r="A6" s="3" t="s">
        <v>129</v>
      </c>
      <c r="B6" s="3">
        <f t="shared" si="5"/>
        <v>2017</v>
      </c>
      <c r="C6" s="4">
        <v>42551</v>
      </c>
      <c r="D6" s="4">
        <f t="shared" si="8"/>
        <v>42551</v>
      </c>
      <c r="E6" s="4">
        <v>42916</v>
      </c>
      <c r="F6" s="5">
        <v>1114</v>
      </c>
      <c r="G6" s="5">
        <f>73+33</f>
        <v>106</v>
      </c>
      <c r="H6" s="5"/>
      <c r="I6" s="5">
        <f>446+334+212</f>
        <v>992</v>
      </c>
      <c r="J6" s="5">
        <f>1633+579</f>
        <v>2212</v>
      </c>
      <c r="K6" s="6">
        <v>7.4999999999999997E-2</v>
      </c>
      <c r="L6" s="6"/>
      <c r="M6" s="6"/>
      <c r="N6" s="3"/>
      <c r="O6" s="6">
        <f t="shared" si="6"/>
        <v>7.4999999999999997E-2</v>
      </c>
      <c r="P6" s="6">
        <v>7.4999999999999997E-2</v>
      </c>
      <c r="Q6" s="5">
        <f>1269109*1000</f>
        <v>1269109000</v>
      </c>
      <c r="R6" s="5">
        <f>1210839*1000</f>
        <v>1210839000</v>
      </c>
      <c r="S6" s="5">
        <f>58270*1000</f>
        <v>58270000</v>
      </c>
      <c r="T6" s="7">
        <v>0.95399999999999996</v>
      </c>
      <c r="U6" s="5">
        <f>87*1000000</f>
        <v>87000000</v>
      </c>
      <c r="V6" s="5"/>
      <c r="W6" s="5"/>
      <c r="X6" s="5"/>
      <c r="Y6" s="8">
        <f t="shared" si="0"/>
        <v>9.4011494252873556E-2</v>
      </c>
      <c r="Z6" s="8">
        <f t="shared" si="1"/>
        <v>8.7206896551724145E-2</v>
      </c>
      <c r="AA6" s="5">
        <f>8179*1000</f>
        <v>8179000</v>
      </c>
      <c r="AB6" s="5">
        <f>7587*1000</f>
        <v>7587000</v>
      </c>
      <c r="AC6" s="9">
        <f t="shared" si="2"/>
        <v>592000</v>
      </c>
      <c r="AD6" s="8">
        <f t="shared" si="3"/>
        <v>0.92761951338794468</v>
      </c>
      <c r="AE6" s="5">
        <f>18474*1000</f>
        <v>18474000</v>
      </c>
      <c r="AF6" s="5">
        <f>90560*1000</f>
        <v>90560000</v>
      </c>
      <c r="AG6" s="5">
        <f>4830*1000</f>
        <v>4830000</v>
      </c>
      <c r="AH6" s="5"/>
      <c r="AI6" s="5"/>
      <c r="AJ6" s="5">
        <f>-10454*1000</f>
        <v>-10454000</v>
      </c>
      <c r="AK6" s="5"/>
      <c r="AL6" s="5"/>
      <c r="AM6" s="5">
        <f>53*1000</f>
        <v>53000</v>
      </c>
      <c r="AN6" s="5"/>
      <c r="AO6" s="5"/>
      <c r="AP6" s="5"/>
      <c r="AQ6" s="5"/>
      <c r="AR6" s="6">
        <v>6.5000000000000002E-2</v>
      </c>
      <c r="AS6" s="6">
        <v>7.4999999999999997E-2</v>
      </c>
      <c r="AT6" s="6">
        <v>8.5000000000000006E-2</v>
      </c>
      <c r="AU6" s="5">
        <f>239856*1000</f>
        <v>239856000</v>
      </c>
      <c r="AV6" s="5">
        <f>58270*1000</f>
        <v>58270000</v>
      </c>
      <c r="AW6" s="5">
        <f>-89098*1000</f>
        <v>-89098000</v>
      </c>
      <c r="AX6" s="3"/>
      <c r="AY6" s="5">
        <f>1167443*1000</f>
        <v>1167443000</v>
      </c>
      <c r="AZ6" s="5">
        <f>18474*1000</f>
        <v>18474000</v>
      </c>
      <c r="BA6" s="5">
        <f>90560*1000</f>
        <v>90560000</v>
      </c>
      <c r="BB6" s="5">
        <f>4830*1000</f>
        <v>4830000</v>
      </c>
      <c r="BC6" s="5">
        <f>23702*1000</f>
        <v>23702000</v>
      </c>
      <c r="BD6" s="5">
        <f>20921*1000</f>
        <v>20921000</v>
      </c>
      <c r="BE6" s="5">
        <f>7587*1000</f>
        <v>7587000</v>
      </c>
      <c r="BF6" s="5">
        <f>10454*1000</f>
        <v>10454000</v>
      </c>
      <c r="BG6" s="5">
        <f>151021*1000</f>
        <v>151021000</v>
      </c>
      <c r="BH6" s="5">
        <f>-56821*1000</f>
        <v>-56821000</v>
      </c>
      <c r="BI6" s="5"/>
      <c r="BJ6" s="5">
        <f t="shared" si="4"/>
        <v>-56821000</v>
      </c>
      <c r="BK6" s="5">
        <f>-53*1000</f>
        <v>-53000</v>
      </c>
      <c r="BL6" s="5">
        <f>524*1000</f>
        <v>524000</v>
      </c>
      <c r="BM6" s="5"/>
      <c r="BN6" s="5">
        <f>1098127*1000</f>
        <v>1098127000</v>
      </c>
      <c r="BO6" s="5">
        <f>58270*1000</f>
        <v>58270000</v>
      </c>
    </row>
    <row r="7" spans="1:67" ht="14.5" x14ac:dyDescent="0.35">
      <c r="A7" s="3" t="s">
        <v>129</v>
      </c>
      <c r="B7" s="3">
        <f t="shared" si="5"/>
        <v>2018</v>
      </c>
      <c r="C7" s="4">
        <v>42916</v>
      </c>
      <c r="D7" s="4">
        <f t="shared" si="8"/>
        <v>42916</v>
      </c>
      <c r="E7" s="4">
        <v>43281</v>
      </c>
      <c r="F7" s="5">
        <v>1136</v>
      </c>
      <c r="G7" s="5">
        <f>71+34</f>
        <v>105</v>
      </c>
      <c r="H7" s="5"/>
      <c r="I7" s="5">
        <f>444+366+231</f>
        <v>1041</v>
      </c>
      <c r="J7" s="5">
        <f>1651+631</f>
        <v>2282</v>
      </c>
      <c r="K7" s="6">
        <v>7.3999999999999996E-2</v>
      </c>
      <c r="L7" s="6"/>
      <c r="M7" s="6"/>
      <c r="N7" s="3"/>
      <c r="O7" s="6">
        <f t="shared" si="6"/>
        <v>7.4999999999999997E-2</v>
      </c>
      <c r="P7" s="6">
        <v>7.3999999999999996E-2</v>
      </c>
      <c r="Q7" s="5">
        <f>1314734*1000</f>
        <v>1314734000</v>
      </c>
      <c r="R7" s="5">
        <f>1289446*1000</f>
        <v>1289446000</v>
      </c>
      <c r="S7" s="5">
        <f>25288*1000</f>
        <v>25288000</v>
      </c>
      <c r="T7" s="7">
        <v>0.98080000000000001</v>
      </c>
      <c r="U7" s="5">
        <f>93*1000000</f>
        <v>93000000</v>
      </c>
      <c r="V7" s="5"/>
      <c r="W7" s="5"/>
      <c r="X7" s="5"/>
      <c r="Y7" s="8">
        <f t="shared" si="0"/>
        <v>0.17901075268817204</v>
      </c>
      <c r="Z7" s="8">
        <f t="shared" si="1"/>
        <v>0.15272043010752689</v>
      </c>
      <c r="AA7" s="5">
        <f>16648*1000</f>
        <v>16648000</v>
      </c>
      <c r="AB7" s="5">
        <f>14203*1000</f>
        <v>14203000</v>
      </c>
      <c r="AC7" s="9">
        <f t="shared" si="2"/>
        <v>2445000</v>
      </c>
      <c r="AD7" s="8">
        <f t="shared" si="3"/>
        <v>0.85313551177318592</v>
      </c>
      <c r="AE7" s="5">
        <f>21083*1000</f>
        <v>21083000</v>
      </c>
      <c r="AF7" s="5">
        <f>94569*1000</f>
        <v>94569000</v>
      </c>
      <c r="AG7" s="5">
        <v>0</v>
      </c>
      <c r="AH7" s="5"/>
      <c r="AI7" s="5"/>
      <c r="AJ7" s="5">
        <f>-9922*1000</f>
        <v>-9922000</v>
      </c>
      <c r="AK7" s="3"/>
      <c r="AL7" s="3"/>
      <c r="AM7" s="5">
        <f t="shared" ref="AM7:AM8" si="9">131*1000</f>
        <v>131000</v>
      </c>
      <c r="AN7" s="3"/>
      <c r="AO7" s="3"/>
      <c r="AP7" s="5"/>
      <c r="AQ7" s="5"/>
      <c r="AR7" s="6">
        <v>6.4000000000000001E-2</v>
      </c>
      <c r="AS7" s="6">
        <v>7.3999999999999996E-2</v>
      </c>
      <c r="AT7" s="6">
        <v>8.4000000000000005E-2</v>
      </c>
      <c r="AU7" s="5">
        <f>212814*1000</f>
        <v>212814000</v>
      </c>
      <c r="AV7" s="5">
        <f>25288*1000</f>
        <v>25288000</v>
      </c>
      <c r="AW7" s="5">
        <f>-127041*1000</f>
        <v>-127041000</v>
      </c>
      <c r="AX7" s="10"/>
      <c r="AY7" s="5">
        <f>1269109*1000</f>
        <v>1269109000</v>
      </c>
      <c r="AZ7" s="5">
        <f>21083*1000</f>
        <v>21083000</v>
      </c>
      <c r="BA7" s="5">
        <f>94569*1000</f>
        <v>94569000</v>
      </c>
      <c r="BB7" s="5">
        <v>0</v>
      </c>
      <c r="BC7" s="5">
        <f>13974*1000</f>
        <v>13974000</v>
      </c>
      <c r="BD7" s="5">
        <f>-24367*1000</f>
        <v>-24367000</v>
      </c>
      <c r="BE7" s="5">
        <f>14203*1000</f>
        <v>14203000</v>
      </c>
      <c r="BF7" s="5">
        <f>9922*1000</f>
        <v>9922000</v>
      </c>
      <c r="BG7" s="5">
        <f>113597*1000</f>
        <v>113597000</v>
      </c>
      <c r="BH7" s="5">
        <f>-59634*1000</f>
        <v>-59634000</v>
      </c>
      <c r="BI7" s="5"/>
      <c r="BJ7" s="5">
        <f t="shared" si="4"/>
        <v>-59634000</v>
      </c>
      <c r="BK7" s="5">
        <f t="shared" ref="BK7:BK8" si="10">-131*1000</f>
        <v>-131000</v>
      </c>
      <c r="BL7" s="5">
        <f>650*1000</f>
        <v>650000</v>
      </c>
      <c r="BM7" s="5"/>
      <c r="BN7" s="5">
        <f>1210839*1000</f>
        <v>1210839000</v>
      </c>
      <c r="BO7" s="5">
        <f>25288*1000</f>
        <v>25288000</v>
      </c>
    </row>
    <row r="8" spans="1:67" ht="14.5" x14ac:dyDescent="0.35">
      <c r="A8" s="3" t="s">
        <v>129</v>
      </c>
      <c r="B8" s="3">
        <v>2019</v>
      </c>
      <c r="C8" s="4">
        <v>43646</v>
      </c>
      <c r="D8" s="4">
        <f t="shared" si="8"/>
        <v>43281</v>
      </c>
      <c r="E8" s="4">
        <v>43646</v>
      </c>
      <c r="F8" s="5">
        <v>1181</v>
      </c>
      <c r="G8" s="5">
        <f>69+37</f>
        <v>106</v>
      </c>
      <c r="H8" s="5"/>
      <c r="I8" s="5">
        <f>397+414+232</f>
        <v>1043</v>
      </c>
      <c r="J8" s="5">
        <f>1647+683</f>
        <v>2330</v>
      </c>
      <c r="K8" s="6">
        <v>7.3999999999999996E-2</v>
      </c>
      <c r="L8" s="6"/>
      <c r="M8" s="6"/>
      <c r="N8" s="3"/>
      <c r="O8" s="6">
        <f t="shared" si="6"/>
        <v>7.3999999999999996E-2</v>
      </c>
      <c r="P8" s="6">
        <v>7.3999999999999996E-2</v>
      </c>
      <c r="Q8" s="5">
        <f>1373918*1000</f>
        <v>1373918000</v>
      </c>
      <c r="R8" s="5">
        <f>1362281*1000</f>
        <v>1362281000</v>
      </c>
      <c r="S8" s="5">
        <f>11637*1000</f>
        <v>11637000</v>
      </c>
      <c r="T8" s="7">
        <v>0.99150000000000005</v>
      </c>
      <c r="U8" s="5">
        <f>109*1000000</f>
        <v>109000000</v>
      </c>
      <c r="V8" s="5"/>
      <c r="W8" s="5"/>
      <c r="X8" s="5"/>
      <c r="Y8" s="8">
        <f t="shared" si="0"/>
        <v>0.15614678899082568</v>
      </c>
      <c r="Z8" s="8">
        <f t="shared" si="1"/>
        <v>0.13486238532110092</v>
      </c>
      <c r="AA8" s="5">
        <f>17020*1000</f>
        <v>17020000</v>
      </c>
      <c r="AB8" s="5">
        <f>14700*1000</f>
        <v>14700000</v>
      </c>
      <c r="AC8" s="9">
        <f t="shared" si="2"/>
        <v>2320000</v>
      </c>
      <c r="AD8" s="8">
        <f t="shared" si="3"/>
        <v>0.86368977673325498</v>
      </c>
      <c r="AE8" s="5">
        <f>22671*1000</f>
        <v>22671000</v>
      </c>
      <c r="AF8" s="5">
        <f>96629*1000</f>
        <v>96629000</v>
      </c>
      <c r="AG8" s="5">
        <v>0</v>
      </c>
      <c r="AH8" s="5"/>
      <c r="AI8" s="5"/>
      <c r="AJ8" s="5">
        <f>-10744*1000</f>
        <v>-10744000</v>
      </c>
      <c r="AK8" s="3"/>
      <c r="AL8" s="3"/>
      <c r="AM8" s="5">
        <f t="shared" si="9"/>
        <v>131000</v>
      </c>
      <c r="AN8" s="3"/>
      <c r="AO8" s="3"/>
      <c r="AP8" s="5"/>
      <c r="AQ8" s="5"/>
      <c r="AR8" s="6">
        <v>6.4000000000000001E-2</v>
      </c>
      <c r="AS8" s="6">
        <v>7.3999999999999996E-2</v>
      </c>
      <c r="AT8" s="6">
        <v>8.4000000000000005E-2</v>
      </c>
      <c r="AU8" s="5">
        <f>206668*1000</f>
        <v>206668000</v>
      </c>
      <c r="AV8" s="5">
        <f>11637*1000</f>
        <v>11637000</v>
      </c>
      <c r="AW8" s="5">
        <f>-146886*1000</f>
        <v>-146886000</v>
      </c>
      <c r="AX8" s="10"/>
      <c r="AY8" s="5">
        <f>1314734*1000</f>
        <v>1314734000</v>
      </c>
      <c r="AZ8" s="5">
        <f>22671*1000</f>
        <v>22671000</v>
      </c>
      <c r="BA8" s="5">
        <f>96629*1000</f>
        <v>96629000</v>
      </c>
      <c r="BB8" s="5">
        <v>0</v>
      </c>
      <c r="BC8" s="5">
        <f>4254*1000</f>
        <v>4254000</v>
      </c>
      <c r="BD8" s="5">
        <v>0</v>
      </c>
      <c r="BE8" s="5">
        <f>14700*1000</f>
        <v>14700000</v>
      </c>
      <c r="BF8" s="5">
        <f>10744*1000</f>
        <v>10744000</v>
      </c>
      <c r="BG8" s="5">
        <f>111123*1000</f>
        <v>111123000</v>
      </c>
      <c r="BH8" s="5">
        <f>-64370*1000</f>
        <v>-64370000</v>
      </c>
      <c r="BI8" s="5"/>
      <c r="BJ8" s="5">
        <f t="shared" si="4"/>
        <v>-64370000</v>
      </c>
      <c r="BK8" s="5">
        <f t="shared" si="10"/>
        <v>-131000</v>
      </c>
      <c r="BL8" s="5">
        <f>769*1000</f>
        <v>769000</v>
      </c>
      <c r="BM8" s="5"/>
      <c r="BN8" s="5">
        <f>1289446*1000</f>
        <v>1289446000</v>
      </c>
      <c r="BO8" s="5">
        <f>11637*1000</f>
        <v>11637000</v>
      </c>
    </row>
    <row r="9" spans="1:67" ht="14.5" x14ac:dyDescent="0.3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</row>
    <row r="10" spans="1:67" ht="14.5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</row>
    <row r="11" spans="1:67" ht="14.5" x14ac:dyDescent="0.35">
      <c r="A11" s="11" t="s">
        <v>130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</row>
    <row r="12" spans="1:67" ht="14.5" x14ac:dyDescent="0.35">
      <c r="A12" s="3" t="s">
        <v>129</v>
      </c>
      <c r="B12" s="3">
        <v>2014</v>
      </c>
      <c r="C12" s="3" t="s">
        <v>131</v>
      </c>
      <c r="D12" s="3"/>
      <c r="E12" s="3" t="s">
        <v>132</v>
      </c>
      <c r="F12" s="3" t="s">
        <v>133</v>
      </c>
      <c r="G12" s="3" t="s">
        <v>133</v>
      </c>
      <c r="H12" s="3"/>
      <c r="I12" s="3" t="s">
        <v>133</v>
      </c>
      <c r="J12" s="3" t="s">
        <v>133</v>
      </c>
      <c r="K12" s="3" t="s">
        <v>134</v>
      </c>
      <c r="L12" s="3"/>
      <c r="M12" s="3"/>
      <c r="N12" s="3"/>
      <c r="O12" s="3"/>
      <c r="P12" s="3" t="s">
        <v>134</v>
      </c>
      <c r="Q12" s="3" t="s">
        <v>135</v>
      </c>
      <c r="R12" s="3" t="s">
        <v>135</v>
      </c>
      <c r="S12" s="3" t="s">
        <v>135</v>
      </c>
      <c r="T12" s="3" t="s">
        <v>135</v>
      </c>
      <c r="U12" s="3" t="s">
        <v>136</v>
      </c>
      <c r="V12" s="3"/>
      <c r="W12" s="3"/>
      <c r="X12" s="3"/>
      <c r="Y12" s="3"/>
      <c r="Z12" s="3"/>
      <c r="AA12" s="3" t="s">
        <v>137</v>
      </c>
      <c r="AB12" s="3" t="s">
        <v>137</v>
      </c>
      <c r="AC12" s="3"/>
      <c r="AD12" s="3"/>
      <c r="AE12" s="3" t="s">
        <v>138</v>
      </c>
      <c r="AF12" s="3" t="s">
        <v>138</v>
      </c>
      <c r="AG12" s="3" t="s">
        <v>138</v>
      </c>
      <c r="AH12" s="3"/>
      <c r="AI12" s="3"/>
      <c r="AJ12" s="3" t="s">
        <v>138</v>
      </c>
      <c r="AK12" s="3"/>
      <c r="AL12" s="3"/>
      <c r="AM12" s="3" t="s">
        <v>138</v>
      </c>
      <c r="AN12" s="3"/>
      <c r="AO12" s="3"/>
      <c r="AP12" s="3"/>
      <c r="AQ12" s="3"/>
      <c r="AR12" s="3" t="s">
        <v>134</v>
      </c>
      <c r="AS12" s="3" t="s">
        <v>134</v>
      </c>
      <c r="AT12" s="3" t="s">
        <v>134</v>
      </c>
      <c r="AU12" s="3" t="s">
        <v>134</v>
      </c>
      <c r="AV12" s="3" t="s">
        <v>134</v>
      </c>
      <c r="AW12" s="3" t="s">
        <v>134</v>
      </c>
      <c r="AX12" s="3"/>
      <c r="AY12" s="3" t="s">
        <v>138</v>
      </c>
      <c r="AZ12" s="3" t="s">
        <v>138</v>
      </c>
      <c r="BA12" s="3" t="s">
        <v>138</v>
      </c>
      <c r="BB12" s="3" t="s">
        <v>138</v>
      </c>
      <c r="BC12" s="3" t="s">
        <v>138</v>
      </c>
      <c r="BD12" s="3" t="s">
        <v>138</v>
      </c>
      <c r="BE12" s="3" t="s">
        <v>138</v>
      </c>
      <c r="BF12" s="3" t="s">
        <v>138</v>
      </c>
      <c r="BG12" s="3" t="s">
        <v>138</v>
      </c>
      <c r="BH12" s="3" t="s">
        <v>138</v>
      </c>
      <c r="BI12" s="3"/>
      <c r="BJ12" s="3" t="s">
        <v>138</v>
      </c>
      <c r="BK12" s="3" t="s">
        <v>138</v>
      </c>
      <c r="BL12" s="3" t="s">
        <v>138</v>
      </c>
      <c r="BM12" s="3"/>
      <c r="BN12" s="3" t="s">
        <v>138</v>
      </c>
      <c r="BO12" s="3" t="s">
        <v>138</v>
      </c>
    </row>
    <row r="13" spans="1:67" ht="14.5" x14ac:dyDescent="0.35">
      <c r="A13" s="3" t="s">
        <v>129</v>
      </c>
      <c r="B13" s="3">
        <f t="shared" ref="B13:B16" si="11">B12+1</f>
        <v>2015</v>
      </c>
      <c r="C13" s="3" t="s">
        <v>139</v>
      </c>
      <c r="D13" s="3" t="str">
        <f t="shared" ref="D13:D17" si="12">E12</f>
        <v>Washington DRS_LEOFF_PERS_PSERS_TRF CAFR 2014.pdf.pg.no.129</v>
      </c>
      <c r="E13" s="3" t="s">
        <v>139</v>
      </c>
      <c r="F13" s="3" t="s">
        <v>140</v>
      </c>
      <c r="G13" s="3" t="s">
        <v>140</v>
      </c>
      <c r="H13" s="3"/>
      <c r="I13" s="3" t="s">
        <v>140</v>
      </c>
      <c r="J13" s="3" t="s">
        <v>140</v>
      </c>
      <c r="K13" s="3" t="s">
        <v>141</v>
      </c>
      <c r="L13" s="3"/>
      <c r="M13" s="3"/>
      <c r="N13" s="3"/>
      <c r="O13" s="3" t="str">
        <f t="shared" ref="O13:O17" si="13">P12</f>
        <v>Washington DRS_LEOFF_PERS_PSERS_TRF CAFR 2014.pdf.pg.no.74</v>
      </c>
      <c r="P13" s="3" t="s">
        <v>142</v>
      </c>
      <c r="Q13" s="3" t="s">
        <v>141</v>
      </c>
      <c r="R13" s="3" t="s">
        <v>141</v>
      </c>
      <c r="S13" s="3" t="s">
        <v>141</v>
      </c>
      <c r="T13" s="3" t="s">
        <v>141</v>
      </c>
      <c r="U13" s="3" t="s">
        <v>143</v>
      </c>
      <c r="V13" s="3"/>
      <c r="W13" s="3"/>
      <c r="X13" s="3"/>
      <c r="Y13" s="3"/>
      <c r="Z13" s="3"/>
      <c r="AA13" s="3" t="s">
        <v>144</v>
      </c>
      <c r="AB13" s="3" t="s">
        <v>144</v>
      </c>
      <c r="AC13" s="3"/>
      <c r="AD13" s="3"/>
      <c r="AE13" s="3" t="s">
        <v>145</v>
      </c>
      <c r="AF13" s="3" t="s">
        <v>145</v>
      </c>
      <c r="AG13" s="3" t="s">
        <v>145</v>
      </c>
      <c r="AH13" s="3"/>
      <c r="AI13" s="3"/>
      <c r="AJ13" s="3" t="s">
        <v>145</v>
      </c>
      <c r="AK13" s="3"/>
      <c r="AL13" s="3"/>
      <c r="AM13" s="3" t="s">
        <v>145</v>
      </c>
      <c r="AN13" s="3"/>
      <c r="AO13" s="3"/>
      <c r="AP13" s="3"/>
      <c r="AQ13" s="3"/>
      <c r="AR13" s="3" t="s">
        <v>142</v>
      </c>
      <c r="AS13" s="3" t="s">
        <v>142</v>
      </c>
      <c r="AT13" s="3" t="s">
        <v>142</v>
      </c>
      <c r="AU13" s="3" t="s">
        <v>142</v>
      </c>
      <c r="AV13" s="3" t="s">
        <v>142</v>
      </c>
      <c r="AW13" s="3" t="s">
        <v>142</v>
      </c>
      <c r="AX13" s="3"/>
      <c r="AY13" s="3" t="s">
        <v>145</v>
      </c>
      <c r="AZ13" s="3" t="s">
        <v>145</v>
      </c>
      <c r="BA13" s="3" t="s">
        <v>145</v>
      </c>
      <c r="BB13" s="3" t="s">
        <v>145</v>
      </c>
      <c r="BC13" s="3" t="s">
        <v>145</v>
      </c>
      <c r="BD13" s="3" t="s">
        <v>145</v>
      </c>
      <c r="BE13" s="3" t="s">
        <v>145</v>
      </c>
      <c r="BF13" s="3" t="s">
        <v>145</v>
      </c>
      <c r="BG13" s="3" t="s">
        <v>145</v>
      </c>
      <c r="BH13" s="3" t="s">
        <v>145</v>
      </c>
      <c r="BI13" s="3"/>
      <c r="BJ13" s="3" t="s">
        <v>145</v>
      </c>
      <c r="BK13" s="3" t="s">
        <v>145</v>
      </c>
      <c r="BL13" s="3" t="s">
        <v>145</v>
      </c>
      <c r="BM13" s="3"/>
      <c r="BN13" s="3" t="s">
        <v>145</v>
      </c>
      <c r="BO13" s="3" t="s">
        <v>145</v>
      </c>
    </row>
    <row r="14" spans="1:67" ht="14.5" x14ac:dyDescent="0.35">
      <c r="A14" s="3" t="s">
        <v>129</v>
      </c>
      <c r="B14" s="3">
        <f t="shared" si="11"/>
        <v>2016</v>
      </c>
      <c r="C14" s="3" t="s">
        <v>146</v>
      </c>
      <c r="D14" s="3" t="str">
        <f t="shared" si="12"/>
        <v>Washington DRS_LEOFF_PERS_PSERS_TRF CAFR 2015.pdf.pg.no.132</v>
      </c>
      <c r="E14" s="3" t="s">
        <v>146</v>
      </c>
      <c r="F14" s="3" t="s">
        <v>147</v>
      </c>
      <c r="G14" s="3" t="s">
        <v>147</v>
      </c>
      <c r="H14" s="3"/>
      <c r="I14" s="3" t="s">
        <v>147</v>
      </c>
      <c r="J14" s="3" t="s">
        <v>147</v>
      </c>
      <c r="K14" s="3" t="s">
        <v>148</v>
      </c>
      <c r="L14" s="3"/>
      <c r="M14" s="3"/>
      <c r="N14" s="3"/>
      <c r="O14" s="3" t="str">
        <f t="shared" si="13"/>
        <v>Washington DRS_LEOFF_PERS_PSERS_TRF CAFR 2015.pdf.pg.no.67</v>
      </c>
      <c r="P14" s="3" t="s">
        <v>149</v>
      </c>
      <c r="Q14" s="3" t="s">
        <v>148</v>
      </c>
      <c r="R14" s="3" t="s">
        <v>148</v>
      </c>
      <c r="S14" s="3" t="s">
        <v>148</v>
      </c>
      <c r="T14" s="3" t="s">
        <v>148</v>
      </c>
      <c r="U14" s="3" t="s">
        <v>150</v>
      </c>
      <c r="V14" s="3"/>
      <c r="W14" s="3"/>
      <c r="X14" s="3"/>
      <c r="Y14" s="3"/>
      <c r="Z14" s="3"/>
      <c r="AA14" s="3" t="s">
        <v>151</v>
      </c>
      <c r="AB14" s="3" t="s">
        <v>151</v>
      </c>
      <c r="AC14" s="3"/>
      <c r="AD14" s="3"/>
      <c r="AE14" s="3" t="s">
        <v>152</v>
      </c>
      <c r="AF14" s="3" t="s">
        <v>152</v>
      </c>
      <c r="AG14" s="3" t="s">
        <v>152</v>
      </c>
      <c r="AH14" s="3"/>
      <c r="AI14" s="3"/>
      <c r="AJ14" s="3" t="s">
        <v>152</v>
      </c>
      <c r="AK14" s="3"/>
      <c r="AL14" s="3"/>
      <c r="AM14" s="3" t="s">
        <v>152</v>
      </c>
      <c r="AN14" s="3"/>
      <c r="AO14" s="3"/>
      <c r="AP14" s="3"/>
      <c r="AQ14" s="3"/>
      <c r="AR14" s="3" t="s">
        <v>153</v>
      </c>
      <c r="AS14" s="3" t="s">
        <v>153</v>
      </c>
      <c r="AT14" s="3" t="s">
        <v>153</v>
      </c>
      <c r="AU14" s="3" t="s">
        <v>153</v>
      </c>
      <c r="AV14" s="3" t="s">
        <v>153</v>
      </c>
      <c r="AW14" s="3" t="s">
        <v>153</v>
      </c>
      <c r="AX14" s="3"/>
      <c r="AY14" s="3" t="s">
        <v>152</v>
      </c>
      <c r="AZ14" s="3" t="s">
        <v>152</v>
      </c>
      <c r="BA14" s="3" t="s">
        <v>152</v>
      </c>
      <c r="BB14" s="3" t="s">
        <v>152</v>
      </c>
      <c r="BC14" s="3" t="s">
        <v>152</v>
      </c>
      <c r="BD14" s="3" t="s">
        <v>152</v>
      </c>
      <c r="BE14" s="3" t="s">
        <v>152</v>
      </c>
      <c r="BF14" s="3" t="s">
        <v>152</v>
      </c>
      <c r="BG14" s="3" t="s">
        <v>152</v>
      </c>
      <c r="BH14" s="3" t="s">
        <v>152</v>
      </c>
      <c r="BI14" s="3"/>
      <c r="BJ14" s="3" t="s">
        <v>152</v>
      </c>
      <c r="BK14" s="3" t="s">
        <v>152</v>
      </c>
      <c r="BL14" s="3" t="s">
        <v>152</v>
      </c>
      <c r="BM14" s="3"/>
      <c r="BN14" s="3" t="s">
        <v>152</v>
      </c>
      <c r="BO14" s="3" t="s">
        <v>152</v>
      </c>
    </row>
    <row r="15" spans="1:67" ht="14.5" x14ac:dyDescent="0.35">
      <c r="A15" s="3" t="s">
        <v>129</v>
      </c>
      <c r="B15" s="3">
        <f t="shared" si="11"/>
        <v>2017</v>
      </c>
      <c r="C15" s="3" t="s">
        <v>154</v>
      </c>
      <c r="D15" s="3" t="str">
        <f t="shared" si="12"/>
        <v>Washington DRS_LEOFF_PERS_PSERS_TRF CAFR 2016.pdf.pg.no.128</v>
      </c>
      <c r="E15" s="3" t="s">
        <v>154</v>
      </c>
      <c r="F15" s="3" t="s">
        <v>155</v>
      </c>
      <c r="G15" s="3" t="s">
        <v>155</v>
      </c>
      <c r="H15" s="3"/>
      <c r="I15" s="3" t="s">
        <v>155</v>
      </c>
      <c r="J15" s="3" t="s">
        <v>155</v>
      </c>
      <c r="K15" s="3" t="s">
        <v>156</v>
      </c>
      <c r="L15" s="3"/>
      <c r="M15" s="3"/>
      <c r="N15" s="3"/>
      <c r="O15" s="3" t="str">
        <f t="shared" si="13"/>
        <v>Washington DRS_LEOFF_PERS_PSERS_TRF CAFR 2016.pdf.pg.no.70</v>
      </c>
      <c r="P15" s="3" t="s">
        <v>157</v>
      </c>
      <c r="Q15" s="3" t="s">
        <v>156</v>
      </c>
      <c r="R15" s="3" t="s">
        <v>156</v>
      </c>
      <c r="S15" s="3" t="s">
        <v>156</v>
      </c>
      <c r="T15" s="3" t="s">
        <v>156</v>
      </c>
      <c r="U15" s="3" t="s">
        <v>158</v>
      </c>
      <c r="V15" s="3"/>
      <c r="W15" s="3"/>
      <c r="X15" s="3"/>
      <c r="Y15" s="3"/>
      <c r="Z15" s="3"/>
      <c r="AA15" s="3" t="s">
        <v>159</v>
      </c>
      <c r="AB15" s="3" t="s">
        <v>159</v>
      </c>
      <c r="AC15" s="3"/>
      <c r="AD15" s="3"/>
      <c r="AE15" s="3" t="s">
        <v>160</v>
      </c>
      <c r="AF15" s="3" t="s">
        <v>160</v>
      </c>
      <c r="AG15" s="3" t="s">
        <v>160</v>
      </c>
      <c r="AH15" s="3"/>
      <c r="AI15" s="3"/>
      <c r="AJ15" s="3" t="s">
        <v>160</v>
      </c>
      <c r="AK15" s="3"/>
      <c r="AL15" s="3"/>
      <c r="AM15" s="3" t="s">
        <v>160</v>
      </c>
      <c r="AN15" s="3"/>
      <c r="AO15" s="3"/>
      <c r="AP15" s="3"/>
      <c r="AQ15" s="3"/>
      <c r="AR15" s="3" t="s">
        <v>161</v>
      </c>
      <c r="AS15" s="3" t="s">
        <v>161</v>
      </c>
      <c r="AT15" s="3" t="s">
        <v>161</v>
      </c>
      <c r="AU15" s="3" t="s">
        <v>161</v>
      </c>
      <c r="AV15" s="3" t="s">
        <v>161</v>
      </c>
      <c r="AW15" s="3" t="s">
        <v>161</v>
      </c>
      <c r="AX15" s="3"/>
      <c r="AY15" s="3" t="s">
        <v>160</v>
      </c>
      <c r="AZ15" s="3" t="s">
        <v>160</v>
      </c>
      <c r="BA15" s="3" t="s">
        <v>160</v>
      </c>
      <c r="BB15" s="3" t="s">
        <v>160</v>
      </c>
      <c r="BC15" s="3" t="s">
        <v>160</v>
      </c>
      <c r="BD15" s="3" t="s">
        <v>160</v>
      </c>
      <c r="BE15" s="3" t="s">
        <v>160</v>
      </c>
      <c r="BF15" s="3" t="s">
        <v>160</v>
      </c>
      <c r="BG15" s="3" t="s">
        <v>160</v>
      </c>
      <c r="BH15" s="3" t="s">
        <v>160</v>
      </c>
      <c r="BI15" s="3"/>
      <c r="BJ15" s="3" t="s">
        <v>160</v>
      </c>
      <c r="BK15" s="3" t="s">
        <v>160</v>
      </c>
      <c r="BL15" s="3" t="s">
        <v>160</v>
      </c>
      <c r="BM15" s="3"/>
      <c r="BN15" s="3" t="s">
        <v>160</v>
      </c>
      <c r="BO15" s="3" t="s">
        <v>160</v>
      </c>
    </row>
    <row r="16" spans="1:67" ht="14.5" x14ac:dyDescent="0.35">
      <c r="A16" s="3" t="s">
        <v>129</v>
      </c>
      <c r="B16" s="3">
        <f t="shared" si="11"/>
        <v>2018</v>
      </c>
      <c r="C16" s="3" t="s">
        <v>162</v>
      </c>
      <c r="D16" s="3" t="str">
        <f t="shared" si="12"/>
        <v>Washington DRS_LEOFF_PERS_PSERS_TRF CAFR 2017.pdf.pg.no.130</v>
      </c>
      <c r="E16" s="3" t="s">
        <v>162</v>
      </c>
      <c r="F16" s="3" t="s">
        <v>163</v>
      </c>
      <c r="G16" s="3" t="s">
        <v>163</v>
      </c>
      <c r="H16" s="3"/>
      <c r="I16" s="3" t="s">
        <v>163</v>
      </c>
      <c r="J16" s="3" t="s">
        <v>163</v>
      </c>
      <c r="K16" s="3" t="s">
        <v>164</v>
      </c>
      <c r="L16" s="3"/>
      <c r="M16" s="3"/>
      <c r="N16" s="3"/>
      <c r="O16" s="3" t="str">
        <f t="shared" si="13"/>
        <v>Washington DRS_LEOFF_PERS_PSERS_TRF CAFR 2017.pdf.pg.no.72</v>
      </c>
      <c r="P16" s="3" t="s">
        <v>165</v>
      </c>
      <c r="Q16" s="3" t="s">
        <v>164</v>
      </c>
      <c r="R16" s="3" t="s">
        <v>164</v>
      </c>
      <c r="S16" s="3" t="s">
        <v>164</v>
      </c>
      <c r="T16" s="3" t="s">
        <v>164</v>
      </c>
      <c r="U16" s="3" t="s">
        <v>166</v>
      </c>
      <c r="V16" s="3"/>
      <c r="W16" s="3"/>
      <c r="X16" s="3"/>
      <c r="Y16" s="3"/>
      <c r="Z16" s="3"/>
      <c r="AA16" s="3" t="s">
        <v>167</v>
      </c>
      <c r="AB16" s="3" t="s">
        <v>167</v>
      </c>
      <c r="AC16" s="3"/>
      <c r="AD16" s="3"/>
      <c r="AE16" s="3" t="s">
        <v>168</v>
      </c>
      <c r="AF16" s="3" t="s">
        <v>168</v>
      </c>
      <c r="AG16" s="3" t="s">
        <v>168</v>
      </c>
      <c r="AH16" s="3"/>
      <c r="AI16" s="3"/>
      <c r="AJ16" s="3" t="s">
        <v>168</v>
      </c>
      <c r="AK16" s="3"/>
      <c r="AL16" s="3"/>
      <c r="AM16" s="3" t="s">
        <v>168</v>
      </c>
      <c r="AN16" s="3"/>
      <c r="AO16" s="3"/>
      <c r="AP16" s="3"/>
      <c r="AQ16" s="3"/>
      <c r="AR16" s="3" t="s">
        <v>169</v>
      </c>
      <c r="AS16" s="3" t="s">
        <v>169</v>
      </c>
      <c r="AT16" s="3" t="s">
        <v>169</v>
      </c>
      <c r="AU16" s="3" t="s">
        <v>169</v>
      </c>
      <c r="AV16" s="3" t="s">
        <v>169</v>
      </c>
      <c r="AW16" s="3" t="s">
        <v>169</v>
      </c>
      <c r="AX16" s="3"/>
      <c r="AY16" s="3" t="s">
        <v>168</v>
      </c>
      <c r="AZ16" s="3" t="s">
        <v>168</v>
      </c>
      <c r="BA16" s="3" t="s">
        <v>168</v>
      </c>
      <c r="BB16" s="3" t="s">
        <v>168</v>
      </c>
      <c r="BC16" s="3" t="s">
        <v>168</v>
      </c>
      <c r="BD16" s="3" t="s">
        <v>168</v>
      </c>
      <c r="BE16" s="3" t="s">
        <v>168</v>
      </c>
      <c r="BF16" s="3" t="s">
        <v>168</v>
      </c>
      <c r="BG16" s="3" t="s">
        <v>168</v>
      </c>
      <c r="BH16" s="3" t="s">
        <v>168</v>
      </c>
      <c r="BI16" s="3"/>
      <c r="BJ16" s="3" t="s">
        <v>168</v>
      </c>
      <c r="BK16" s="3" t="s">
        <v>168</v>
      </c>
      <c r="BL16" s="3" t="s">
        <v>168</v>
      </c>
      <c r="BM16" s="3"/>
      <c r="BN16" s="3" t="s">
        <v>168</v>
      </c>
      <c r="BO16" s="3" t="s">
        <v>168</v>
      </c>
    </row>
    <row r="17" spans="1:67" ht="14.5" x14ac:dyDescent="0.35">
      <c r="A17" s="3" t="s">
        <v>129</v>
      </c>
      <c r="B17" s="3">
        <v>2019</v>
      </c>
      <c r="C17" s="3" t="s">
        <v>170</v>
      </c>
      <c r="D17" s="3" t="str">
        <f t="shared" si="12"/>
        <v>Washington DRS_LEOFF_PERS_PSERS_TRF CAFR 2018.pdf.pg.no.147</v>
      </c>
      <c r="E17" s="3" t="s">
        <v>170</v>
      </c>
      <c r="F17" s="3" t="s">
        <v>171</v>
      </c>
      <c r="G17" s="3" t="s">
        <v>171</v>
      </c>
      <c r="H17" s="3"/>
      <c r="I17" s="3" t="s">
        <v>171</v>
      </c>
      <c r="J17" s="3" t="s">
        <v>171</v>
      </c>
      <c r="K17" s="3" t="s">
        <v>172</v>
      </c>
      <c r="L17" s="3"/>
      <c r="M17" s="3"/>
      <c r="N17" s="3"/>
      <c r="O17" s="3" t="str">
        <f t="shared" si="13"/>
        <v>Washington DRS_LEOFF_PERS_PSERS_TRF CAFR 2018.pdf.pg.no.82</v>
      </c>
      <c r="P17" s="3" t="s">
        <v>173</v>
      </c>
      <c r="Q17" s="3" t="s">
        <v>172</v>
      </c>
      <c r="R17" s="3" t="s">
        <v>172</v>
      </c>
      <c r="S17" s="3" t="s">
        <v>172</v>
      </c>
      <c r="T17" s="3" t="s">
        <v>172</v>
      </c>
      <c r="U17" s="3" t="s">
        <v>174</v>
      </c>
      <c r="V17" s="3"/>
      <c r="W17" s="3"/>
      <c r="X17" s="3"/>
      <c r="Y17" s="3"/>
      <c r="Z17" s="3"/>
      <c r="AA17" s="3" t="s">
        <v>175</v>
      </c>
      <c r="AB17" s="3" t="s">
        <v>175</v>
      </c>
      <c r="AC17" s="3"/>
      <c r="AD17" s="3"/>
      <c r="AE17" s="3" t="s">
        <v>176</v>
      </c>
      <c r="AF17" s="3" t="s">
        <v>176</v>
      </c>
      <c r="AG17" s="3" t="s">
        <v>176</v>
      </c>
      <c r="AH17" s="3"/>
      <c r="AI17" s="3"/>
      <c r="AJ17" s="3" t="s">
        <v>176</v>
      </c>
      <c r="AK17" s="3"/>
      <c r="AL17" s="3"/>
      <c r="AM17" s="3" t="s">
        <v>176</v>
      </c>
      <c r="AN17" s="3"/>
      <c r="AO17" s="3"/>
      <c r="AP17" s="3"/>
      <c r="AQ17" s="3"/>
      <c r="AR17" s="3" t="s">
        <v>177</v>
      </c>
      <c r="AS17" s="3" t="s">
        <v>177</v>
      </c>
      <c r="AT17" s="3" t="s">
        <v>177</v>
      </c>
      <c r="AU17" s="3" t="s">
        <v>177</v>
      </c>
      <c r="AV17" s="3" t="s">
        <v>177</v>
      </c>
      <c r="AW17" s="3" t="s">
        <v>177</v>
      </c>
      <c r="AX17" s="3"/>
      <c r="AY17" s="3" t="s">
        <v>176</v>
      </c>
      <c r="AZ17" s="3" t="s">
        <v>176</v>
      </c>
      <c r="BA17" s="3" t="s">
        <v>176</v>
      </c>
      <c r="BB17" s="3" t="s">
        <v>176</v>
      </c>
      <c r="BC17" s="3" t="s">
        <v>176</v>
      </c>
      <c r="BD17" s="3" t="s">
        <v>176</v>
      </c>
      <c r="BE17" s="3" t="s">
        <v>176</v>
      </c>
      <c r="BF17" s="3" t="s">
        <v>176</v>
      </c>
      <c r="BG17" s="3" t="s">
        <v>176</v>
      </c>
      <c r="BH17" s="3" t="s">
        <v>176</v>
      </c>
      <c r="BI17" s="3"/>
      <c r="BJ17" s="3" t="s">
        <v>176</v>
      </c>
      <c r="BK17" s="3" t="s">
        <v>176</v>
      </c>
      <c r="BL17" s="3" t="s">
        <v>176</v>
      </c>
      <c r="BM17" s="3"/>
      <c r="BN17" s="3" t="s">
        <v>176</v>
      </c>
      <c r="BO17" s="3" t="s">
        <v>176</v>
      </c>
    </row>
    <row r="18" spans="1:67" ht="14.5" x14ac:dyDescent="0.35">
      <c r="A18" s="3"/>
      <c r="B18" s="3"/>
      <c r="C18" s="3"/>
      <c r="D18" s="3"/>
      <c r="E18" s="1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</row>
    <row r="19" spans="1:67" ht="14.5" x14ac:dyDescent="0.3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</row>
    <row r="20" spans="1:67" ht="14.5" x14ac:dyDescent="0.3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</row>
    <row r="21" spans="1:67" ht="14.5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ht="14.5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ht="14.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ht="14.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ht="14.5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ht="14.5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ht="14.5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ht="14.5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ht="14.5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ht="14.5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ht="14.5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ht="14.5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ht="14.5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ht="14.5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ht="14.5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ht="14.5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ht="14.5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ht="14.5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ht="14.5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ht="14.5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ht="14.5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ht="14.5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ht="14.5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ht="14.5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ht="14.5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0"/>
  <sheetViews>
    <sheetView zoomScale="80" zoomScaleNormal="80" workbookViewId="0">
      <selection activeCell="BJ23" sqref="BJ23"/>
    </sheetView>
  </sheetViews>
  <sheetFormatPr defaultColWidth="12.6640625" defaultRowHeight="15" customHeight="1" x14ac:dyDescent="0.3"/>
  <cols>
    <col min="1" max="1" width="35.83203125" customWidth="1"/>
    <col min="2" max="2" width="8.83203125" customWidth="1"/>
    <col min="3" max="3" width="56.1640625" customWidth="1"/>
    <col min="4" max="4" width="25.33203125" customWidth="1"/>
    <col min="5" max="7" width="56.1640625" customWidth="1"/>
    <col min="8" max="8" width="32.1640625" customWidth="1"/>
    <col min="9" max="10" width="56.1640625" customWidth="1"/>
    <col min="11" max="11" width="26.83203125" customWidth="1"/>
    <col min="12" max="12" width="52.83203125" customWidth="1"/>
    <col min="13" max="13" width="17.1640625" customWidth="1"/>
    <col min="14" max="14" width="18.33203125" customWidth="1"/>
    <col min="15" max="16" width="17.83203125" customWidth="1"/>
    <col min="17" max="18" width="56.1640625" customWidth="1"/>
    <col min="19" max="19" width="57.1640625" customWidth="1"/>
    <col min="20" max="20" width="21" customWidth="1"/>
    <col min="21" max="21" width="19.6640625" customWidth="1"/>
    <col min="22" max="22" width="57.1640625" customWidth="1"/>
    <col min="23" max="25" width="56.1640625" customWidth="1"/>
    <col min="26" max="26" width="14" customWidth="1"/>
    <col min="27" max="27" width="56.1640625" customWidth="1"/>
    <col min="28" max="28" width="20.5" customWidth="1"/>
    <col min="29" max="29" width="19.1640625" customWidth="1"/>
    <col min="30" max="30" width="32.6640625" customWidth="1"/>
    <col min="31" max="31" width="31.6640625" customWidth="1"/>
    <col min="32" max="32" width="21.1640625" customWidth="1"/>
    <col min="33" max="33" width="29.6640625" customWidth="1"/>
    <col min="34" max="34" width="19.1640625" customWidth="1"/>
    <col min="35" max="38" width="56.1640625" customWidth="1"/>
    <col min="39" max="39" width="20.83203125" customWidth="1"/>
    <col min="40" max="40" width="19.6640625" customWidth="1"/>
    <col min="41" max="45" width="56.1640625" customWidth="1"/>
    <col min="46" max="48" width="53.6640625" customWidth="1"/>
    <col min="49" max="49" width="56.1640625" customWidth="1"/>
    <col min="50" max="50" width="31.83203125" customWidth="1"/>
    <col min="51" max="51" width="56.1640625" customWidth="1"/>
    <col min="52" max="52" width="53.6640625" customWidth="1"/>
    <col min="53" max="54" width="57.1640625" customWidth="1"/>
    <col min="55" max="55" width="52.83203125" customWidth="1"/>
    <col min="56" max="56" width="21.1640625" customWidth="1"/>
    <col min="57" max="61" width="57.1640625" customWidth="1"/>
    <col min="62" max="67" width="58.5" customWidth="1"/>
    <col min="68" max="93" width="58.6640625" customWidth="1"/>
  </cols>
  <sheetData>
    <row r="1" spans="1:93" ht="31" customHeight="1" x14ac:dyDescent="0.3">
      <c r="A1" s="1" t="s">
        <v>0</v>
      </c>
      <c r="B1" s="1" t="s">
        <v>1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187</v>
      </c>
      <c r="M1" s="1" t="s">
        <v>188</v>
      </c>
      <c r="N1" s="1" t="s">
        <v>189</v>
      </c>
      <c r="O1" s="1" t="s">
        <v>190</v>
      </c>
      <c r="P1" s="1" t="s">
        <v>191</v>
      </c>
      <c r="Q1" s="1" t="s">
        <v>192</v>
      </c>
      <c r="R1" s="1" t="s">
        <v>193</v>
      </c>
      <c r="S1" s="1" t="s">
        <v>194</v>
      </c>
      <c r="T1" s="1" t="s">
        <v>195</v>
      </c>
      <c r="U1" s="1" t="s">
        <v>196</v>
      </c>
      <c r="V1" s="1" t="s">
        <v>197</v>
      </c>
      <c r="W1" s="1" t="s">
        <v>198</v>
      </c>
      <c r="X1" s="1" t="s">
        <v>199</v>
      </c>
      <c r="Y1" s="13" t="s">
        <v>200</v>
      </c>
      <c r="Z1" s="13" t="s">
        <v>201</v>
      </c>
      <c r="AA1" s="1" t="s">
        <v>202</v>
      </c>
      <c r="AB1" s="1" t="s">
        <v>203</v>
      </c>
      <c r="AC1" s="1" t="s">
        <v>204</v>
      </c>
      <c r="AD1" s="1" t="s">
        <v>205</v>
      </c>
      <c r="AE1" s="1" t="s">
        <v>206</v>
      </c>
      <c r="AF1" s="1" t="s">
        <v>207</v>
      </c>
      <c r="AG1" s="1" t="s">
        <v>208</v>
      </c>
      <c r="AH1" s="1" t="s">
        <v>209</v>
      </c>
      <c r="AI1" s="1" t="s">
        <v>210</v>
      </c>
      <c r="AJ1" s="1" t="s">
        <v>211</v>
      </c>
      <c r="AK1" s="1" t="s">
        <v>212</v>
      </c>
      <c r="AL1" s="1" t="s">
        <v>213</v>
      </c>
      <c r="AM1" s="1" t="s">
        <v>214</v>
      </c>
      <c r="AN1" s="1" t="s">
        <v>215</v>
      </c>
      <c r="AO1" s="1" t="s">
        <v>216</v>
      </c>
      <c r="AP1" s="1" t="s">
        <v>217</v>
      </c>
      <c r="AQ1" s="1" t="s">
        <v>218</v>
      </c>
      <c r="AR1" s="1" t="s">
        <v>219</v>
      </c>
      <c r="AS1" s="1" t="s">
        <v>220</v>
      </c>
      <c r="AT1" s="1" t="s">
        <v>221</v>
      </c>
      <c r="AU1" s="1" t="s">
        <v>222</v>
      </c>
      <c r="AV1" s="1" t="s">
        <v>223</v>
      </c>
      <c r="AW1" s="1" t="s">
        <v>224</v>
      </c>
      <c r="AX1" s="1" t="s">
        <v>225</v>
      </c>
      <c r="AY1" s="1" t="s">
        <v>226</v>
      </c>
      <c r="AZ1" s="1" t="s">
        <v>227</v>
      </c>
      <c r="BA1" s="1" t="s">
        <v>228</v>
      </c>
      <c r="BB1" s="1" t="s">
        <v>229</v>
      </c>
      <c r="BC1" s="1" t="s">
        <v>230</v>
      </c>
      <c r="BD1" s="1" t="s">
        <v>231</v>
      </c>
      <c r="BE1" s="1" t="s">
        <v>232</v>
      </c>
      <c r="BF1" s="1" t="s">
        <v>233</v>
      </c>
      <c r="BG1" s="1" t="s">
        <v>234</v>
      </c>
      <c r="BH1" s="1" t="s">
        <v>235</v>
      </c>
      <c r="BI1" s="1" t="s">
        <v>20</v>
      </c>
      <c r="BJ1" s="2"/>
      <c r="BK1" s="36" t="s">
        <v>236</v>
      </c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2"/>
      <c r="CE1" s="2"/>
      <c r="CF1" s="2"/>
      <c r="CG1" s="2"/>
      <c r="CH1" s="2"/>
      <c r="CI1" s="2"/>
      <c r="CJ1" s="2"/>
      <c r="CK1" s="2"/>
      <c r="CL1" s="2"/>
      <c r="CM1" s="2"/>
      <c r="CN1" s="13"/>
      <c r="CO1" s="2"/>
    </row>
    <row r="2" spans="1:93" ht="19" customHeight="1" x14ac:dyDescent="0.3">
      <c r="A2" s="14" t="s">
        <v>64</v>
      </c>
      <c r="B2" s="14" t="s">
        <v>65</v>
      </c>
      <c r="C2" s="14" t="s">
        <v>237</v>
      </c>
      <c r="D2" s="14" t="s">
        <v>238</v>
      </c>
      <c r="E2" s="14" t="s">
        <v>239</v>
      </c>
      <c r="F2" s="14" t="s">
        <v>240</v>
      </c>
      <c r="G2" s="14" t="s">
        <v>241</v>
      </c>
      <c r="H2" s="14" t="s">
        <v>242</v>
      </c>
      <c r="I2" s="14" t="s">
        <v>243</v>
      </c>
      <c r="J2" s="14" t="s">
        <v>244</v>
      </c>
      <c r="K2" s="1" t="s">
        <v>245</v>
      </c>
      <c r="L2" s="14" t="s">
        <v>246</v>
      </c>
      <c r="M2" s="1" t="s">
        <v>247</v>
      </c>
      <c r="N2" s="1" t="s">
        <v>248</v>
      </c>
      <c r="O2" s="2" t="s">
        <v>249</v>
      </c>
      <c r="P2" s="2" t="s">
        <v>250</v>
      </c>
      <c r="Q2" s="14" t="s">
        <v>251</v>
      </c>
      <c r="R2" s="14" t="s">
        <v>252</v>
      </c>
      <c r="S2" s="14" t="s">
        <v>253</v>
      </c>
      <c r="T2" s="14" t="s">
        <v>254</v>
      </c>
      <c r="U2" s="14" t="s">
        <v>255</v>
      </c>
      <c r="V2" s="14" t="s">
        <v>256</v>
      </c>
      <c r="W2" s="14" t="s">
        <v>257</v>
      </c>
      <c r="X2" s="14" t="s">
        <v>258</v>
      </c>
      <c r="Y2" s="14" t="s">
        <v>259</v>
      </c>
      <c r="Z2" s="14" t="s">
        <v>260</v>
      </c>
      <c r="AA2" s="14" t="s">
        <v>261</v>
      </c>
      <c r="AB2" s="14" t="s">
        <v>262</v>
      </c>
      <c r="AC2" s="14" t="s">
        <v>263</v>
      </c>
      <c r="AD2" s="14" t="s">
        <v>264</v>
      </c>
      <c r="AE2" s="14" t="s">
        <v>265</v>
      </c>
      <c r="AF2" s="14" t="s">
        <v>266</v>
      </c>
      <c r="AG2" s="14" t="s">
        <v>267</v>
      </c>
      <c r="AH2" s="14" t="s">
        <v>268</v>
      </c>
      <c r="AI2" s="14" t="s">
        <v>269</v>
      </c>
      <c r="AJ2" s="14" t="s">
        <v>270</v>
      </c>
      <c r="AK2" s="14" t="s">
        <v>271</v>
      </c>
      <c r="AL2" s="14" t="s">
        <v>272</v>
      </c>
      <c r="AM2" s="14" t="s">
        <v>273</v>
      </c>
      <c r="AN2" s="14" t="s">
        <v>274</v>
      </c>
      <c r="AO2" s="14" t="s">
        <v>275</v>
      </c>
      <c r="AP2" s="14" t="s">
        <v>276</v>
      </c>
      <c r="AQ2" s="14" t="s">
        <v>277</v>
      </c>
      <c r="AR2" s="14" t="s">
        <v>278</v>
      </c>
      <c r="AS2" s="14" t="s">
        <v>279</v>
      </c>
      <c r="AT2" s="14" t="s">
        <v>280</v>
      </c>
      <c r="AU2" s="14" t="s">
        <v>281</v>
      </c>
      <c r="AV2" s="14" t="s">
        <v>282</v>
      </c>
      <c r="AW2" s="14" t="s">
        <v>283</v>
      </c>
      <c r="AX2" s="14" t="s">
        <v>284</v>
      </c>
      <c r="AY2" s="14" t="s">
        <v>285</v>
      </c>
      <c r="AZ2" s="14" t="s">
        <v>286</v>
      </c>
      <c r="BA2" s="14" t="s">
        <v>287</v>
      </c>
      <c r="BB2" s="14" t="s">
        <v>288</v>
      </c>
      <c r="BC2" s="14" t="s">
        <v>289</v>
      </c>
      <c r="BD2" s="14" t="s">
        <v>290</v>
      </c>
      <c r="BE2" s="14" t="s">
        <v>291</v>
      </c>
      <c r="BF2" s="14" t="s">
        <v>292</v>
      </c>
      <c r="BG2" s="14" t="s">
        <v>293</v>
      </c>
      <c r="BH2" s="14" t="s">
        <v>294</v>
      </c>
      <c r="BI2" s="14" t="s">
        <v>295</v>
      </c>
      <c r="BJ2" s="1" t="s">
        <v>296</v>
      </c>
      <c r="BK2" s="1" t="s">
        <v>297</v>
      </c>
      <c r="BL2" s="1" t="s">
        <v>298</v>
      </c>
      <c r="BM2" s="1" t="s">
        <v>299</v>
      </c>
      <c r="BN2" s="1" t="s">
        <v>300</v>
      </c>
      <c r="BO2" s="1" t="s">
        <v>301</v>
      </c>
      <c r="BP2" s="1" t="s">
        <v>302</v>
      </c>
      <c r="BQ2" s="1" t="s">
        <v>303</v>
      </c>
      <c r="BR2" s="1" t="s">
        <v>304</v>
      </c>
      <c r="BS2" s="1" t="s">
        <v>305</v>
      </c>
      <c r="BT2" s="1" t="s">
        <v>306</v>
      </c>
      <c r="BU2" s="1" t="s">
        <v>307</v>
      </c>
      <c r="BV2" s="1" t="s">
        <v>308</v>
      </c>
      <c r="BW2" s="1" t="s">
        <v>309</v>
      </c>
      <c r="BX2" s="1" t="s">
        <v>310</v>
      </c>
      <c r="BY2" s="1" t="s">
        <v>311</v>
      </c>
      <c r="BZ2" s="1" t="s">
        <v>312</v>
      </c>
      <c r="CA2" s="1" t="s">
        <v>313</v>
      </c>
      <c r="CB2" s="1" t="s">
        <v>314</v>
      </c>
      <c r="CC2" s="1" t="s">
        <v>315</v>
      </c>
      <c r="CD2" s="1" t="s">
        <v>316</v>
      </c>
      <c r="CE2" s="1" t="s">
        <v>317</v>
      </c>
      <c r="CF2" s="1" t="s">
        <v>318</v>
      </c>
      <c r="CG2" s="1" t="s">
        <v>319</v>
      </c>
      <c r="CH2" s="1" t="s">
        <v>320</v>
      </c>
      <c r="CI2" s="1" t="s">
        <v>321</v>
      </c>
      <c r="CJ2" s="1" t="s">
        <v>322</v>
      </c>
      <c r="CK2" s="1" t="s">
        <v>323</v>
      </c>
      <c r="CL2" s="1" t="s">
        <v>324</v>
      </c>
      <c r="CM2" s="1" t="s">
        <v>325</v>
      </c>
      <c r="CN2" s="1" t="s">
        <v>326</v>
      </c>
      <c r="CO2" s="1" t="s">
        <v>327</v>
      </c>
    </row>
    <row r="3" spans="1:93" ht="39" customHeigh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" t="s">
        <v>328</v>
      </c>
      <c r="BK3" s="1" t="s">
        <v>329</v>
      </c>
      <c r="BL3" s="15" t="s">
        <v>330</v>
      </c>
      <c r="BM3" s="15"/>
      <c r="BN3" s="15"/>
      <c r="BO3" s="15"/>
      <c r="BP3" s="15" t="s">
        <v>331</v>
      </c>
      <c r="BQ3" s="15"/>
      <c r="BR3" s="15"/>
      <c r="BS3" s="15"/>
      <c r="BT3" s="15" t="s">
        <v>332</v>
      </c>
      <c r="BU3" s="15"/>
      <c r="BV3" s="15"/>
      <c r="BW3" s="15"/>
      <c r="BX3" s="1" t="s">
        <v>333</v>
      </c>
      <c r="BY3" s="1" t="s">
        <v>334</v>
      </c>
      <c r="BZ3" s="1" t="s">
        <v>335</v>
      </c>
      <c r="CA3" s="1" t="s">
        <v>336</v>
      </c>
      <c r="CB3" s="1"/>
      <c r="CC3" s="1" t="s">
        <v>337</v>
      </c>
      <c r="CD3" s="1"/>
      <c r="CE3" s="1" t="s">
        <v>338</v>
      </c>
      <c r="CF3" s="1" t="s">
        <v>339</v>
      </c>
      <c r="CG3" s="1" t="s">
        <v>340</v>
      </c>
      <c r="CH3" s="1" t="s">
        <v>341</v>
      </c>
      <c r="CI3" s="1" t="s">
        <v>342</v>
      </c>
      <c r="CJ3" s="1" t="s">
        <v>343</v>
      </c>
      <c r="CK3" s="1" t="s">
        <v>344</v>
      </c>
      <c r="CL3" s="1" t="s">
        <v>345</v>
      </c>
      <c r="CM3" s="1" t="s">
        <v>346</v>
      </c>
      <c r="CN3" s="1" t="s">
        <v>347</v>
      </c>
      <c r="CO3" s="1" t="s">
        <v>348</v>
      </c>
    </row>
    <row r="4" spans="1:93" ht="13.5" customHeight="1" x14ac:dyDescent="0.35">
      <c r="A4" s="3" t="s">
        <v>129</v>
      </c>
      <c r="B4" s="3">
        <v>2001</v>
      </c>
      <c r="C4" s="3"/>
      <c r="D4" s="3" t="s">
        <v>349</v>
      </c>
      <c r="E4" s="6"/>
      <c r="F4" s="6"/>
      <c r="G4" s="6"/>
      <c r="H4" s="16"/>
      <c r="I4" s="6"/>
      <c r="J4" s="6"/>
      <c r="L4" s="5"/>
      <c r="M4" s="6"/>
      <c r="N4" s="6"/>
      <c r="O4" s="6"/>
      <c r="P4" s="6"/>
      <c r="Q4" s="6"/>
      <c r="R4" s="6"/>
      <c r="S4" s="3"/>
      <c r="T4" s="6"/>
      <c r="U4" s="6"/>
      <c r="V4" s="3"/>
      <c r="W4" s="3"/>
      <c r="X4" s="3"/>
      <c r="Y4" s="6"/>
      <c r="Z4" s="6"/>
      <c r="AA4" s="6"/>
      <c r="AB4" s="6" t="s">
        <v>350</v>
      </c>
      <c r="AC4" s="6" t="s">
        <v>350</v>
      </c>
      <c r="AD4" s="3"/>
      <c r="AE4" s="6" t="s">
        <v>350</v>
      </c>
      <c r="AF4" s="6" t="s">
        <v>350</v>
      </c>
      <c r="AG4" s="6" t="s">
        <v>350</v>
      </c>
      <c r="AH4" s="6" t="s">
        <v>350</v>
      </c>
      <c r="AI4" s="6">
        <v>3.5000000000000003E-2</v>
      </c>
      <c r="AJ4" s="6">
        <v>0.08</v>
      </c>
      <c r="AK4" s="6">
        <f t="shared" ref="AK4:AK13" si="0">1.25%*AL4</f>
        <v>5.6249999999999996E-4</v>
      </c>
      <c r="AL4" s="6">
        <v>4.4999999999999998E-2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6">
        <v>0.08</v>
      </c>
      <c r="AX4" s="6" t="s">
        <v>350</v>
      </c>
      <c r="AY4" s="6">
        <v>0.08</v>
      </c>
      <c r="AZ4" s="3"/>
      <c r="BA4" s="6">
        <v>2.1000000000000001E-2</v>
      </c>
      <c r="BB4" s="6">
        <v>-9.6799999999999997E-2</v>
      </c>
      <c r="BC4" s="6"/>
      <c r="BE4" s="5">
        <v>712000000</v>
      </c>
      <c r="BF4" s="5">
        <v>483000000</v>
      </c>
      <c r="BG4" s="5">
        <v>-229000000</v>
      </c>
      <c r="BH4" s="6">
        <v>1.47</v>
      </c>
      <c r="BI4" s="5">
        <v>60000000</v>
      </c>
      <c r="BJ4" s="35">
        <v>27300000</v>
      </c>
      <c r="BK4" s="35"/>
      <c r="BO4" s="3"/>
      <c r="BP4" s="3"/>
      <c r="BQ4" s="3"/>
      <c r="BR4" s="3"/>
      <c r="BS4" s="3"/>
      <c r="BT4" s="3"/>
      <c r="BU4" s="3"/>
      <c r="BV4" s="3"/>
      <c r="BW4" s="3"/>
      <c r="BX4" s="35">
        <v>-100000</v>
      </c>
      <c r="BY4" s="35">
        <v>-4099999.9999999995</v>
      </c>
      <c r="BZ4" s="3"/>
      <c r="CA4" s="3"/>
      <c r="CB4" s="35">
        <v>100000</v>
      </c>
      <c r="CC4" s="3"/>
      <c r="CD4" s="3"/>
      <c r="CE4" s="3"/>
      <c r="CF4" s="3"/>
      <c r="CG4" s="35">
        <v>23200000</v>
      </c>
      <c r="CH4" s="5"/>
      <c r="CI4" s="5"/>
      <c r="CJ4" s="5"/>
      <c r="CK4" s="5"/>
      <c r="CL4" s="3"/>
      <c r="CM4" s="3"/>
      <c r="CN4" s="3"/>
      <c r="CO4" s="3"/>
    </row>
    <row r="5" spans="1:93" ht="13.5" customHeight="1" x14ac:dyDescent="0.35">
      <c r="A5" s="3" t="s">
        <v>129</v>
      </c>
      <c r="B5" s="3">
        <f t="shared" ref="B5:B21" si="1">B4+1</f>
        <v>2002</v>
      </c>
      <c r="C5" s="3"/>
      <c r="D5" s="3" t="s">
        <v>349</v>
      </c>
      <c r="E5" s="6">
        <v>-1.03E-2</v>
      </c>
      <c r="F5" s="6">
        <v>0</v>
      </c>
      <c r="G5" s="6">
        <v>0.02</v>
      </c>
      <c r="H5" s="16"/>
      <c r="I5" s="6">
        <v>0</v>
      </c>
      <c r="J5" s="6">
        <v>0</v>
      </c>
      <c r="K5" s="6"/>
      <c r="L5" s="5">
        <v>1245408</v>
      </c>
      <c r="M5" s="6"/>
      <c r="N5" s="6"/>
      <c r="O5" s="6"/>
      <c r="P5" s="6"/>
      <c r="Q5" s="6">
        <v>0</v>
      </c>
      <c r="R5" s="6">
        <v>0.02</v>
      </c>
      <c r="S5" s="3" t="s">
        <v>351</v>
      </c>
      <c r="T5" s="6"/>
      <c r="U5" s="6"/>
      <c r="V5" s="3" t="s">
        <v>352</v>
      </c>
      <c r="W5" s="3" t="s">
        <v>257</v>
      </c>
      <c r="X5" s="3" t="s">
        <v>353</v>
      </c>
      <c r="Y5" s="6">
        <v>0.03</v>
      </c>
      <c r="Z5" s="6"/>
      <c r="AB5" s="6" t="s">
        <v>350</v>
      </c>
      <c r="AC5" s="6" t="s">
        <v>350</v>
      </c>
      <c r="AD5" s="3"/>
      <c r="AE5" s="6" t="s">
        <v>350</v>
      </c>
      <c r="AF5" s="6" t="s">
        <v>350</v>
      </c>
      <c r="AG5" s="6" t="s">
        <v>350</v>
      </c>
      <c r="AH5" s="6" t="s">
        <v>350</v>
      </c>
      <c r="AI5" s="6">
        <v>3.5000000000000003E-2</v>
      </c>
      <c r="AJ5" s="6">
        <v>0.08</v>
      </c>
      <c r="AK5" s="6">
        <f t="shared" si="0"/>
        <v>5.6249999999999996E-4</v>
      </c>
      <c r="AL5" s="6">
        <v>4.4999999999999998E-2</v>
      </c>
      <c r="AM5" s="3" t="s">
        <v>354</v>
      </c>
      <c r="AN5" s="3" t="s">
        <v>355</v>
      </c>
      <c r="AO5" s="3" t="s">
        <v>356</v>
      </c>
      <c r="AP5" s="3">
        <v>2000</v>
      </c>
      <c r="AQ5" s="3"/>
      <c r="AR5" s="3"/>
      <c r="AS5" s="3"/>
      <c r="AT5" s="3" t="s">
        <v>357</v>
      </c>
      <c r="AU5" s="3" t="s">
        <v>357</v>
      </c>
      <c r="AV5" s="3" t="s">
        <v>358</v>
      </c>
      <c r="AW5" s="6">
        <v>0.08</v>
      </c>
      <c r="AX5" s="6" t="s">
        <v>350</v>
      </c>
      <c r="AY5" s="6">
        <v>0.08</v>
      </c>
      <c r="AZ5" s="3" t="s">
        <v>359</v>
      </c>
      <c r="BA5" s="6">
        <v>-2E-3</v>
      </c>
      <c r="BB5" s="6">
        <v>-5.9900000000000002E-2</v>
      </c>
      <c r="BC5" s="6">
        <f>398141/595908315</f>
        <v>6.6812459228732192E-4</v>
      </c>
      <c r="BD5" s="5" t="s">
        <v>350</v>
      </c>
      <c r="BE5" s="5">
        <v>689000000</v>
      </c>
      <c r="BF5" s="5">
        <v>508000000</v>
      </c>
      <c r="BG5" s="5">
        <v>-180000000</v>
      </c>
      <c r="BH5" s="6">
        <v>1.3549</v>
      </c>
      <c r="BI5" s="5">
        <v>63000000</v>
      </c>
      <c r="BJ5" s="35">
        <v>68100000</v>
      </c>
      <c r="BK5" s="35"/>
      <c r="BO5" s="3"/>
      <c r="BP5" s="3"/>
      <c r="BQ5" s="3"/>
      <c r="BR5" s="3"/>
      <c r="BS5" s="3"/>
      <c r="BT5" s="3"/>
      <c r="BU5" s="3"/>
      <c r="BV5" s="3"/>
      <c r="BW5" s="3"/>
      <c r="BX5" s="35">
        <v>-300000</v>
      </c>
      <c r="BY5" s="35">
        <v>-6900000</v>
      </c>
      <c r="BZ5" s="3"/>
      <c r="CA5" s="3"/>
      <c r="CB5" s="35">
        <v>200000</v>
      </c>
      <c r="CC5" s="3"/>
      <c r="CD5" s="3"/>
      <c r="CE5" s="3"/>
      <c r="CF5" s="3"/>
      <c r="CG5" s="35">
        <v>61100000</v>
      </c>
      <c r="CH5" s="5"/>
      <c r="CI5" s="5"/>
      <c r="CJ5" s="5"/>
      <c r="CK5" s="5"/>
      <c r="CL5" s="3"/>
      <c r="CM5" s="3"/>
      <c r="CN5" s="3"/>
      <c r="CO5" s="3"/>
    </row>
    <row r="6" spans="1:93" ht="13.5" customHeight="1" x14ac:dyDescent="0.35">
      <c r="A6" s="3" t="s">
        <v>129</v>
      </c>
      <c r="B6" s="3">
        <f t="shared" si="1"/>
        <v>2003</v>
      </c>
      <c r="C6" s="3">
        <v>2003</v>
      </c>
      <c r="D6" s="3" t="s">
        <v>349</v>
      </c>
      <c r="E6" s="6">
        <v>9.0200000000000002E-2</v>
      </c>
      <c r="F6" s="6">
        <v>4.5100000000000001E-2</v>
      </c>
      <c r="G6" s="6">
        <v>4.5100000000000001E-2</v>
      </c>
      <c r="H6" s="16"/>
      <c r="I6" s="6">
        <v>0</v>
      </c>
      <c r="J6" s="6">
        <v>0</v>
      </c>
      <c r="K6" s="6"/>
      <c r="L6" s="5">
        <v>1313432</v>
      </c>
      <c r="M6" s="6"/>
      <c r="N6" s="6"/>
      <c r="O6" s="6"/>
      <c r="P6" s="6"/>
      <c r="Q6" s="6">
        <v>4.5100000000000001E-2</v>
      </c>
      <c r="R6" s="6">
        <v>4.5100000000000001E-2</v>
      </c>
      <c r="S6" s="3" t="s">
        <v>351</v>
      </c>
      <c r="T6" s="6"/>
      <c r="U6" s="6"/>
      <c r="V6" s="3" t="s">
        <v>352</v>
      </c>
      <c r="W6" s="3" t="s">
        <v>257</v>
      </c>
      <c r="X6" s="3" t="s">
        <v>353</v>
      </c>
      <c r="Y6" s="6">
        <v>0.03</v>
      </c>
      <c r="Z6" s="6"/>
      <c r="AB6" s="6" t="s">
        <v>350</v>
      </c>
      <c r="AC6" s="6" t="s">
        <v>350</v>
      </c>
      <c r="AD6" s="3"/>
      <c r="AE6" s="6" t="s">
        <v>350</v>
      </c>
      <c r="AF6" s="6" t="s">
        <v>350</v>
      </c>
      <c r="AG6" s="6" t="s">
        <v>350</v>
      </c>
      <c r="AH6" s="6" t="s">
        <v>350</v>
      </c>
      <c r="AI6" s="6">
        <v>3.5000000000000003E-2</v>
      </c>
      <c r="AJ6" s="6">
        <v>0.08</v>
      </c>
      <c r="AK6" s="6">
        <f t="shared" si="0"/>
        <v>5.6249999999999996E-4</v>
      </c>
      <c r="AL6" s="6">
        <v>4.4999999999999998E-2</v>
      </c>
      <c r="AM6" s="3" t="s">
        <v>360</v>
      </c>
      <c r="AN6" s="3" t="s">
        <v>361</v>
      </c>
      <c r="AO6" s="3" t="s">
        <v>356</v>
      </c>
      <c r="AP6" s="3">
        <v>2000</v>
      </c>
      <c r="AQ6" s="3"/>
      <c r="AR6" s="3"/>
      <c r="AS6" s="3"/>
      <c r="AT6" s="3" t="s">
        <v>357</v>
      </c>
      <c r="AU6" s="3" t="s">
        <v>357</v>
      </c>
      <c r="AV6" s="3" t="s">
        <v>358</v>
      </c>
      <c r="AW6" s="6">
        <v>0.08</v>
      </c>
      <c r="AX6" s="6" t="s">
        <v>350</v>
      </c>
      <c r="AY6" s="6">
        <v>0.08</v>
      </c>
      <c r="AZ6" s="3" t="s">
        <v>362</v>
      </c>
      <c r="BA6" s="6">
        <v>-2E-3</v>
      </c>
      <c r="BB6" s="6">
        <v>0.15029999999999999</v>
      </c>
      <c r="BC6" s="6">
        <f>377870/595857604</f>
        <v>6.341615806584554E-4</v>
      </c>
      <c r="BD6" s="5" t="s">
        <v>350</v>
      </c>
      <c r="BE6" s="5">
        <v>664000000</v>
      </c>
      <c r="BF6" s="5">
        <v>540000000</v>
      </c>
      <c r="BG6" s="5">
        <v>-124000000</v>
      </c>
      <c r="BH6" s="6">
        <v>1.2299</v>
      </c>
      <c r="BI6" s="5">
        <v>65000000</v>
      </c>
      <c r="BJ6" s="35">
        <v>55600000</v>
      </c>
      <c r="BK6" s="35"/>
      <c r="BO6" s="3"/>
      <c r="BP6" s="5"/>
      <c r="BQ6" s="5"/>
      <c r="BR6" s="5"/>
      <c r="BS6" s="5"/>
      <c r="BT6" s="5"/>
      <c r="BU6" s="5"/>
      <c r="BV6" s="5"/>
      <c r="BW6" s="5"/>
      <c r="BX6" s="35">
        <v>900000</v>
      </c>
      <c r="BY6" s="35">
        <v>-11200000</v>
      </c>
      <c r="BZ6" s="5"/>
      <c r="CA6" s="5"/>
      <c r="CB6" s="35">
        <v>700000</v>
      </c>
      <c r="CC6" s="5"/>
      <c r="CD6" s="5"/>
      <c r="CE6" s="5"/>
      <c r="CF6" s="5"/>
      <c r="CG6" s="35">
        <v>46000000</v>
      </c>
      <c r="CH6" s="5"/>
      <c r="CI6" s="5"/>
      <c r="CJ6" s="5"/>
      <c r="CK6" s="5"/>
      <c r="CL6" s="5"/>
      <c r="CM6" s="5"/>
      <c r="CN6" s="5"/>
      <c r="CO6" s="3"/>
    </row>
    <row r="7" spans="1:93" ht="13.5" customHeight="1" x14ac:dyDescent="0.35">
      <c r="A7" s="3" t="s">
        <v>129</v>
      </c>
      <c r="B7" s="3">
        <f t="shared" si="1"/>
        <v>2004</v>
      </c>
      <c r="C7" s="3">
        <v>2004</v>
      </c>
      <c r="D7" s="3" t="s">
        <v>349</v>
      </c>
      <c r="E7" s="6">
        <v>0.10440000000000001</v>
      </c>
      <c r="F7" s="6">
        <v>5.2200000000000003E-2</v>
      </c>
      <c r="G7" s="6">
        <v>5.2200000000000003E-2</v>
      </c>
      <c r="H7" s="16"/>
      <c r="I7" s="6" t="s">
        <v>357</v>
      </c>
      <c r="J7" s="6" t="s">
        <v>357</v>
      </c>
      <c r="K7" s="6"/>
      <c r="L7" s="5">
        <v>1322000</v>
      </c>
      <c r="M7" s="6"/>
      <c r="N7" s="6"/>
      <c r="O7" s="6"/>
      <c r="P7" s="6"/>
      <c r="Q7" s="6">
        <v>5.2200000000000003E-2</v>
      </c>
      <c r="R7" s="6">
        <v>5.2200000000000003E-2</v>
      </c>
      <c r="S7" s="3" t="s">
        <v>351</v>
      </c>
      <c r="T7" s="6"/>
      <c r="U7" s="6"/>
      <c r="V7" s="3" t="s">
        <v>352</v>
      </c>
      <c r="W7" s="3" t="s">
        <v>257</v>
      </c>
      <c r="X7" s="3" t="s">
        <v>353</v>
      </c>
      <c r="Y7" s="6">
        <v>0.03</v>
      </c>
      <c r="Z7" s="6"/>
      <c r="AB7" s="6" t="s">
        <v>350</v>
      </c>
      <c r="AC7" s="6" t="s">
        <v>350</v>
      </c>
      <c r="AD7" s="3"/>
      <c r="AE7" s="6" t="s">
        <v>350</v>
      </c>
      <c r="AF7" s="6" t="s">
        <v>350</v>
      </c>
      <c r="AG7" s="6" t="s">
        <v>350</v>
      </c>
      <c r="AH7" s="6" t="s">
        <v>350</v>
      </c>
      <c r="AI7" s="6">
        <v>3.5000000000000003E-2</v>
      </c>
      <c r="AJ7" s="6">
        <v>0.08</v>
      </c>
      <c r="AK7" s="6">
        <f t="shared" si="0"/>
        <v>5.6249999999999996E-4</v>
      </c>
      <c r="AL7" s="6">
        <v>4.4999999999999998E-2</v>
      </c>
      <c r="AM7" s="3" t="s">
        <v>360</v>
      </c>
      <c r="AN7" s="3" t="s">
        <v>361</v>
      </c>
      <c r="AO7" s="3" t="s">
        <v>356</v>
      </c>
      <c r="AP7" s="3">
        <v>2000</v>
      </c>
      <c r="AQ7" s="3"/>
      <c r="AR7" s="3"/>
      <c r="AS7" s="3"/>
      <c r="AT7" s="3" t="s">
        <v>357</v>
      </c>
      <c r="AU7" s="3" t="s">
        <v>357</v>
      </c>
      <c r="AV7" s="3" t="s">
        <v>358</v>
      </c>
      <c r="AW7" s="6">
        <v>0.08</v>
      </c>
      <c r="AX7" s="6" t="s">
        <v>350</v>
      </c>
      <c r="AY7" s="6">
        <v>0.08</v>
      </c>
      <c r="AZ7" s="3" t="s">
        <v>362</v>
      </c>
      <c r="BA7" s="6">
        <v>3.2000000000000001E-2</v>
      </c>
      <c r="BB7" s="6">
        <v>0.13830000000000001</v>
      </c>
      <c r="BC7" s="6">
        <f>347000/664116000</f>
        <v>5.2249908148576459E-4</v>
      </c>
      <c r="BD7" s="5" t="s">
        <v>350</v>
      </c>
      <c r="BE7" s="5">
        <v>660000000</v>
      </c>
      <c r="BF7" s="5">
        <v>560000000</v>
      </c>
      <c r="BG7" s="5">
        <v>-100000000</v>
      </c>
      <c r="BH7" s="6">
        <v>1.1781999999999999</v>
      </c>
      <c r="BI7" s="5">
        <v>62000000</v>
      </c>
      <c r="BJ7" s="35">
        <v>31000000</v>
      </c>
      <c r="BK7" s="35"/>
      <c r="BO7" s="3"/>
      <c r="BP7" s="5"/>
      <c r="BQ7" s="5"/>
      <c r="BR7" s="5"/>
      <c r="BS7" s="5"/>
      <c r="BT7" s="5"/>
      <c r="BU7" s="5"/>
      <c r="BV7" s="5"/>
      <c r="BW7" s="5"/>
      <c r="BX7" s="35">
        <v>600000</v>
      </c>
      <c r="BY7" s="35">
        <v>-23800000</v>
      </c>
      <c r="BZ7" s="5"/>
      <c r="CA7" s="5"/>
      <c r="CB7" s="35">
        <v>700000</v>
      </c>
      <c r="CC7" s="5"/>
      <c r="CD7" s="5"/>
      <c r="CE7" s="5"/>
      <c r="CF7" s="5"/>
      <c r="CG7" s="35">
        <v>8500000</v>
      </c>
      <c r="CH7" s="5"/>
      <c r="CI7" s="5"/>
      <c r="CJ7" s="5"/>
      <c r="CK7" s="5"/>
      <c r="CL7" s="5"/>
      <c r="CM7" s="5"/>
      <c r="CN7" s="5"/>
      <c r="CO7" s="3"/>
    </row>
    <row r="8" spans="1:93" ht="13.5" customHeight="1" x14ac:dyDescent="0.35">
      <c r="A8" s="3" t="s">
        <v>129</v>
      </c>
      <c r="B8" s="3">
        <f t="shared" si="1"/>
        <v>2005</v>
      </c>
      <c r="C8" s="3">
        <v>2005</v>
      </c>
      <c r="D8" s="3" t="s">
        <v>349</v>
      </c>
      <c r="E8" s="6">
        <v>0.14450000000000002</v>
      </c>
      <c r="F8" s="6">
        <v>7.7499999999999999E-2</v>
      </c>
      <c r="G8" s="6">
        <v>6.7000000000000004E-2</v>
      </c>
      <c r="H8" s="16"/>
      <c r="I8" s="6" t="s">
        <v>357</v>
      </c>
      <c r="J8" s="6" t="s">
        <v>357</v>
      </c>
      <c r="K8" s="6"/>
      <c r="L8" s="5">
        <v>1316000</v>
      </c>
      <c r="M8" s="6"/>
      <c r="N8" s="6"/>
      <c r="O8" s="6"/>
      <c r="P8" s="6"/>
      <c r="Q8" s="6">
        <v>7.7499999999999999E-2</v>
      </c>
      <c r="R8" s="6">
        <v>6.7000000000000004E-2</v>
      </c>
      <c r="S8" s="3" t="s">
        <v>351</v>
      </c>
      <c r="T8" s="6"/>
      <c r="U8" s="6"/>
      <c r="V8" s="3" t="s">
        <v>352</v>
      </c>
      <c r="W8" s="3" t="s">
        <v>257</v>
      </c>
      <c r="X8" s="3" t="s">
        <v>353</v>
      </c>
      <c r="Y8" s="6">
        <v>0.03</v>
      </c>
      <c r="Z8" s="6"/>
      <c r="AB8" s="6" t="s">
        <v>350</v>
      </c>
      <c r="AC8" s="6" t="s">
        <v>350</v>
      </c>
      <c r="AD8" s="3"/>
      <c r="AE8" s="6" t="s">
        <v>350</v>
      </c>
      <c r="AF8" s="6" t="s">
        <v>350</v>
      </c>
      <c r="AG8" s="6" t="s">
        <v>350</v>
      </c>
      <c r="AH8" s="6" t="s">
        <v>350</v>
      </c>
      <c r="AI8" s="6">
        <v>3.5000000000000003E-2</v>
      </c>
      <c r="AJ8" s="6">
        <v>0.08</v>
      </c>
      <c r="AK8" s="6">
        <f t="shared" si="0"/>
        <v>5.6249999999999996E-4</v>
      </c>
      <c r="AL8" s="6">
        <v>4.4999999999999998E-2</v>
      </c>
      <c r="AM8" s="3" t="s">
        <v>363</v>
      </c>
      <c r="AN8" s="3" t="s">
        <v>364</v>
      </c>
      <c r="AO8" s="3" t="s">
        <v>356</v>
      </c>
      <c r="AP8" s="3">
        <v>2000</v>
      </c>
      <c r="AQ8" s="3"/>
      <c r="AR8" s="3"/>
      <c r="AS8" s="3"/>
      <c r="AT8" s="3" t="s">
        <v>357</v>
      </c>
      <c r="AU8" s="3" t="s">
        <v>357</v>
      </c>
      <c r="AV8" s="3" t="s">
        <v>358</v>
      </c>
      <c r="AW8" s="6">
        <v>0.08</v>
      </c>
      <c r="AX8" s="6" t="s">
        <v>350</v>
      </c>
      <c r="AY8" s="6">
        <v>0.08</v>
      </c>
      <c r="AZ8" s="3" t="s">
        <v>362</v>
      </c>
      <c r="BA8" s="6">
        <v>9.1999999999999998E-2</v>
      </c>
      <c r="BB8" s="6">
        <v>0.1757</v>
      </c>
      <c r="BC8" s="6">
        <f>358000/723854000</f>
        <v>4.9457487283347196E-4</v>
      </c>
      <c r="BD8" s="5" t="s">
        <v>350</v>
      </c>
      <c r="BE8" s="5">
        <v>694000000</v>
      </c>
      <c r="BF8" s="5">
        <v>614000000</v>
      </c>
      <c r="BG8" s="5">
        <v>-80000000</v>
      </c>
      <c r="BH8" s="6">
        <v>1.1306</v>
      </c>
      <c r="BI8" s="5">
        <v>61000000</v>
      </c>
      <c r="BJ8" s="35">
        <v>-8000000</v>
      </c>
      <c r="BK8" s="35"/>
      <c r="BO8" s="3"/>
      <c r="BP8" s="5"/>
      <c r="BQ8" s="5"/>
      <c r="BR8" s="5"/>
      <c r="BS8" s="5"/>
      <c r="BT8" s="5"/>
      <c r="BU8" s="5"/>
      <c r="BV8" s="5"/>
      <c r="BW8" s="5"/>
      <c r="BX8" s="35">
        <v>-1400000</v>
      </c>
      <c r="BY8" s="35">
        <v>-2300000</v>
      </c>
      <c r="BZ8" s="5"/>
      <c r="CA8" s="5"/>
      <c r="CB8" s="35">
        <v>500000</v>
      </c>
      <c r="CC8" s="5"/>
      <c r="CD8" s="5"/>
      <c r="CE8" s="5"/>
      <c r="CF8" s="5"/>
      <c r="CG8" s="35">
        <v>-11200000</v>
      </c>
      <c r="CH8" s="5"/>
      <c r="CI8" s="5"/>
      <c r="CJ8" s="5"/>
      <c r="CK8" s="5"/>
      <c r="CL8" s="5"/>
      <c r="CM8" s="5"/>
      <c r="CN8" s="5"/>
      <c r="CO8" s="3"/>
    </row>
    <row r="9" spans="1:93" ht="13.5" customHeight="1" x14ac:dyDescent="0.35">
      <c r="A9" s="3" t="s">
        <v>129</v>
      </c>
      <c r="B9" s="3">
        <f t="shared" si="1"/>
        <v>2006</v>
      </c>
      <c r="C9" s="3">
        <v>2006</v>
      </c>
      <c r="D9" s="3" t="s">
        <v>349</v>
      </c>
      <c r="E9" s="6">
        <v>0.1328</v>
      </c>
      <c r="F9" s="6">
        <v>7.2999999999999995E-2</v>
      </c>
      <c r="G9" s="6">
        <v>5.9799999999999999E-2</v>
      </c>
      <c r="H9" s="16"/>
      <c r="I9" s="6" t="s">
        <v>357</v>
      </c>
      <c r="J9" s="6" t="s">
        <v>357</v>
      </c>
      <c r="K9" s="6"/>
      <c r="L9" s="5">
        <v>3134000</v>
      </c>
      <c r="M9" s="6"/>
      <c r="N9" s="6"/>
      <c r="O9" s="6"/>
      <c r="P9" s="6"/>
      <c r="Q9" s="6">
        <v>7.2999999999999995E-2</v>
      </c>
      <c r="R9" s="6">
        <v>5.9799999999999999E-2</v>
      </c>
      <c r="S9" s="3" t="s">
        <v>351</v>
      </c>
      <c r="T9" s="6"/>
      <c r="U9" s="6"/>
      <c r="V9" s="3" t="s">
        <v>352</v>
      </c>
      <c r="W9" s="3" t="s">
        <v>257</v>
      </c>
      <c r="X9" s="3" t="s">
        <v>353</v>
      </c>
      <c r="Y9" s="6">
        <v>0.03</v>
      </c>
      <c r="Z9" s="6"/>
      <c r="AB9" s="6" t="s">
        <v>350</v>
      </c>
      <c r="AC9" s="6" t="s">
        <v>350</v>
      </c>
      <c r="AD9" s="3"/>
      <c r="AE9" s="6" t="s">
        <v>350</v>
      </c>
      <c r="AF9" s="6" t="s">
        <v>350</v>
      </c>
      <c r="AG9" s="6" t="s">
        <v>350</v>
      </c>
      <c r="AH9" s="6" t="s">
        <v>350</v>
      </c>
      <c r="AI9" s="6">
        <v>3.5000000000000003E-2</v>
      </c>
      <c r="AJ9" s="6">
        <v>0.08</v>
      </c>
      <c r="AK9" s="6">
        <f t="shared" si="0"/>
        <v>5.6249999999999996E-4</v>
      </c>
      <c r="AL9" s="6">
        <v>4.4999999999999998E-2</v>
      </c>
      <c r="AM9" s="3" t="s">
        <v>365</v>
      </c>
      <c r="AN9" s="3" t="s">
        <v>366</v>
      </c>
      <c r="AO9" s="3" t="s">
        <v>356</v>
      </c>
      <c r="AP9" s="3">
        <v>2000</v>
      </c>
      <c r="AQ9" s="3"/>
      <c r="AR9" s="3"/>
      <c r="AS9" s="3"/>
      <c r="AT9" s="3" t="s">
        <v>357</v>
      </c>
      <c r="AU9" s="3" t="s">
        <v>357</v>
      </c>
      <c r="AV9" s="3" t="s">
        <v>358</v>
      </c>
      <c r="AW9" s="6">
        <v>0.08</v>
      </c>
      <c r="AX9" s="6" t="s">
        <v>350</v>
      </c>
      <c r="AY9" s="6">
        <v>0.08</v>
      </c>
      <c r="AZ9" s="3" t="s">
        <v>362</v>
      </c>
      <c r="BA9" s="6">
        <v>0.109</v>
      </c>
      <c r="BB9" s="6">
        <v>0.158</v>
      </c>
      <c r="BC9" s="6">
        <f>408000/818165000</f>
        <v>4.9867691724774345E-4</v>
      </c>
      <c r="BD9" s="5" t="s">
        <v>350</v>
      </c>
      <c r="BE9" s="5">
        <v>743000000</v>
      </c>
      <c r="BF9" s="5">
        <v>654000000</v>
      </c>
      <c r="BG9" s="5">
        <v>-89000000</v>
      </c>
      <c r="BH9" s="6">
        <v>1.1362000000000001</v>
      </c>
      <c r="BI9" s="5">
        <v>63000000</v>
      </c>
      <c r="BJ9" s="35">
        <v>-19600000</v>
      </c>
      <c r="BK9" s="35"/>
      <c r="BO9" s="3"/>
      <c r="BP9" s="5"/>
      <c r="BQ9" s="5"/>
      <c r="BR9" s="5"/>
      <c r="BS9" s="5"/>
      <c r="BT9" s="5"/>
      <c r="BU9" s="5"/>
      <c r="BV9" s="5"/>
      <c r="BW9" s="5"/>
      <c r="BX9" s="35">
        <v>-1200000</v>
      </c>
      <c r="BY9" s="35">
        <v>1900000</v>
      </c>
      <c r="BZ9" s="5"/>
      <c r="CA9" s="5"/>
      <c r="CB9" s="35">
        <v>700000</v>
      </c>
      <c r="CC9" s="5"/>
      <c r="CD9" s="5"/>
      <c r="CE9" s="5"/>
      <c r="CF9" s="5"/>
      <c r="CG9" s="35">
        <v>-18200000</v>
      </c>
      <c r="CH9" s="5"/>
      <c r="CI9" s="5"/>
      <c r="CJ9" s="5"/>
      <c r="CK9" s="5"/>
      <c r="CL9" s="5"/>
      <c r="CM9" s="5"/>
      <c r="CN9" s="5"/>
      <c r="CO9" s="3"/>
    </row>
    <row r="10" spans="1:93" ht="13.5" customHeight="1" x14ac:dyDescent="0.35">
      <c r="A10" s="3" t="s">
        <v>129</v>
      </c>
      <c r="B10" s="3">
        <f t="shared" si="1"/>
        <v>2007</v>
      </c>
      <c r="C10" s="3">
        <v>2007</v>
      </c>
      <c r="D10" s="3" t="s">
        <v>349</v>
      </c>
      <c r="E10" s="6">
        <v>0.1552</v>
      </c>
      <c r="F10" s="6">
        <v>8.5699999999999998E-2</v>
      </c>
      <c r="G10" s="6">
        <v>6.9500000000000006E-2</v>
      </c>
      <c r="H10" s="16"/>
      <c r="I10" s="6" t="s">
        <v>357</v>
      </c>
      <c r="J10" s="6" t="s">
        <v>357</v>
      </c>
      <c r="K10" s="6"/>
      <c r="L10" s="5">
        <v>3278000</v>
      </c>
      <c r="M10" s="6"/>
      <c r="N10" s="6"/>
      <c r="O10" s="6"/>
      <c r="P10" s="6"/>
      <c r="Q10" s="6">
        <v>8.5699999999999998E-2</v>
      </c>
      <c r="R10" s="6">
        <v>6.9500000000000006E-2</v>
      </c>
      <c r="S10" s="3" t="s">
        <v>351</v>
      </c>
      <c r="T10" s="6"/>
      <c r="U10" s="6"/>
      <c r="V10" s="3" t="s">
        <v>352</v>
      </c>
      <c r="W10" s="3" t="s">
        <v>257</v>
      </c>
      <c r="X10" s="3" t="s">
        <v>353</v>
      </c>
      <c r="Y10" s="6">
        <v>0.03</v>
      </c>
      <c r="Z10" s="6"/>
      <c r="AB10" s="6" t="s">
        <v>350</v>
      </c>
      <c r="AC10" s="6" t="s">
        <v>350</v>
      </c>
      <c r="AD10" s="3"/>
      <c r="AE10" s="6" t="s">
        <v>350</v>
      </c>
      <c r="AF10" s="6" t="s">
        <v>350</v>
      </c>
      <c r="AG10" s="6" t="s">
        <v>350</v>
      </c>
      <c r="AH10" s="6" t="s">
        <v>350</v>
      </c>
      <c r="AI10" s="6">
        <v>3.5000000000000003E-2</v>
      </c>
      <c r="AJ10" s="6">
        <v>0.08</v>
      </c>
      <c r="AK10" s="6">
        <f t="shared" si="0"/>
        <v>5.3125000000000004E-4</v>
      </c>
      <c r="AL10" s="6">
        <v>4.2500000000000003E-2</v>
      </c>
      <c r="AM10" s="3" t="s">
        <v>367</v>
      </c>
      <c r="AN10" s="3" t="s">
        <v>368</v>
      </c>
      <c r="AO10" s="3" t="s">
        <v>356</v>
      </c>
      <c r="AP10" s="3">
        <v>2000</v>
      </c>
      <c r="AQ10" s="3" t="s">
        <v>369</v>
      </c>
      <c r="AR10" s="3" t="s">
        <v>370</v>
      </c>
      <c r="AS10" s="3" t="s">
        <v>371</v>
      </c>
      <c r="AT10" s="3" t="s">
        <v>357</v>
      </c>
      <c r="AU10" s="3" t="s">
        <v>357</v>
      </c>
      <c r="AV10" s="3" t="s">
        <v>358</v>
      </c>
      <c r="AW10" s="6">
        <v>0.08</v>
      </c>
      <c r="AX10" s="6" t="s">
        <v>350</v>
      </c>
      <c r="AY10" s="6">
        <v>0.08</v>
      </c>
      <c r="AZ10" s="3" t="s">
        <v>362</v>
      </c>
      <c r="BA10" s="6">
        <v>0.10299999999999999</v>
      </c>
      <c r="BB10" s="6">
        <v>0.1661</v>
      </c>
      <c r="BC10" s="6">
        <f>381000/964597000</f>
        <v>3.9498360455195278E-4</v>
      </c>
      <c r="BD10" s="5" t="s">
        <v>350</v>
      </c>
      <c r="BE10" s="5">
        <f>800*1000000</f>
        <v>800000000</v>
      </c>
      <c r="BF10" s="5">
        <v>679000000</v>
      </c>
      <c r="BG10" s="5">
        <v>-121000000</v>
      </c>
      <c r="BH10" s="6">
        <v>1.1787000000000001</v>
      </c>
      <c r="BI10" s="5">
        <v>64000000</v>
      </c>
      <c r="BJ10" s="35">
        <v>-32000000</v>
      </c>
      <c r="BK10" s="35"/>
      <c r="BO10" s="3"/>
      <c r="BP10" s="5"/>
      <c r="BQ10" s="5"/>
      <c r="BR10" s="5"/>
      <c r="BS10" s="5"/>
      <c r="BT10" s="5"/>
      <c r="BU10" s="5"/>
      <c r="BV10" s="5"/>
      <c r="BW10" s="5"/>
      <c r="BX10" s="35">
        <v>-100000</v>
      </c>
      <c r="BY10" s="35">
        <v>-5500000</v>
      </c>
      <c r="BZ10" s="5"/>
      <c r="CA10" s="5"/>
      <c r="CB10" s="35">
        <v>49700000</v>
      </c>
      <c r="CC10" s="5"/>
      <c r="CD10" s="5"/>
      <c r="CE10" s="5"/>
      <c r="CF10" s="5"/>
      <c r="CG10" s="35">
        <v>12100000</v>
      </c>
      <c r="CH10" s="5"/>
      <c r="CI10" s="5"/>
      <c r="CJ10" s="5"/>
      <c r="CK10" s="5"/>
      <c r="CL10" s="5"/>
      <c r="CM10" s="5"/>
      <c r="CN10" s="5"/>
      <c r="CO10" s="3"/>
    </row>
    <row r="11" spans="1:93" ht="13.5" customHeight="1" x14ac:dyDescent="0.35">
      <c r="A11" s="3" t="s">
        <v>129</v>
      </c>
      <c r="B11" s="3">
        <f t="shared" si="1"/>
        <v>2008</v>
      </c>
      <c r="C11" s="3">
        <v>2008</v>
      </c>
      <c r="D11" s="3" t="s">
        <v>349</v>
      </c>
      <c r="E11" s="6">
        <v>0.11220000000000001</v>
      </c>
      <c r="F11" s="6">
        <v>6.2700000000000006E-2</v>
      </c>
      <c r="G11" s="6">
        <v>4.9500000000000002E-2</v>
      </c>
      <c r="H11" s="16"/>
      <c r="I11" s="6" t="s">
        <v>357</v>
      </c>
      <c r="J11" s="6" t="s">
        <v>357</v>
      </c>
      <c r="K11" s="6"/>
      <c r="L11" s="5">
        <v>5239000</v>
      </c>
      <c r="M11" s="6"/>
      <c r="N11" s="6"/>
      <c r="O11" s="6"/>
      <c r="P11" s="6"/>
      <c r="Q11" s="6">
        <v>6.2700000000000006E-2</v>
      </c>
      <c r="R11" s="6">
        <v>4.9500000000000002E-2</v>
      </c>
      <c r="S11" s="3" t="s">
        <v>351</v>
      </c>
      <c r="T11" s="6"/>
      <c r="U11" s="6"/>
      <c r="V11" s="3" t="s">
        <v>352</v>
      </c>
      <c r="W11" s="3" t="s">
        <v>257</v>
      </c>
      <c r="X11" s="3" t="s">
        <v>353</v>
      </c>
      <c r="Y11" s="6">
        <v>0.03</v>
      </c>
      <c r="Z11" s="6"/>
      <c r="AB11" s="6" t="s">
        <v>350</v>
      </c>
      <c r="AC11" s="6" t="s">
        <v>350</v>
      </c>
      <c r="AD11" s="3"/>
      <c r="AE11" s="6" t="s">
        <v>350</v>
      </c>
      <c r="AF11" s="6" t="s">
        <v>350</v>
      </c>
      <c r="AG11" s="6" t="s">
        <v>350</v>
      </c>
      <c r="AH11" s="6" t="s">
        <v>350</v>
      </c>
      <c r="AI11" s="6">
        <v>3.5000000000000003E-2</v>
      </c>
      <c r="AJ11" s="6">
        <v>0.08</v>
      </c>
      <c r="AK11" s="6">
        <f t="shared" si="0"/>
        <v>5.0000000000000001E-4</v>
      </c>
      <c r="AL11" s="6">
        <v>0.04</v>
      </c>
      <c r="AM11" s="3" t="s">
        <v>372</v>
      </c>
      <c r="AN11" s="3" t="s">
        <v>373</v>
      </c>
      <c r="AO11" s="3" t="s">
        <v>356</v>
      </c>
      <c r="AP11" s="3">
        <v>2000</v>
      </c>
      <c r="AQ11" s="3" t="s">
        <v>369</v>
      </c>
      <c r="AR11" s="3" t="s">
        <v>370</v>
      </c>
      <c r="AS11" s="3" t="s">
        <v>371</v>
      </c>
      <c r="AT11" s="3" t="s">
        <v>357</v>
      </c>
      <c r="AU11" s="3" t="s">
        <v>357</v>
      </c>
      <c r="AV11" s="3" t="s">
        <v>358</v>
      </c>
      <c r="AW11" s="6">
        <v>0.08</v>
      </c>
      <c r="AX11" s="6" t="s">
        <v>350</v>
      </c>
      <c r="AY11" s="6">
        <v>0.08</v>
      </c>
      <c r="AZ11" s="3" t="s">
        <v>362</v>
      </c>
      <c r="BA11" s="6">
        <v>0.11600000000000001</v>
      </c>
      <c r="BB11" s="6">
        <v>-1.17E-2</v>
      </c>
      <c r="BC11" s="6">
        <f>391000/931844000</f>
        <v>4.1959813015912537E-4</v>
      </c>
      <c r="BD11" s="5" t="s">
        <v>350</v>
      </c>
      <c r="BE11" s="5">
        <f>870*1000000</f>
        <v>870000000</v>
      </c>
      <c r="BF11" s="5">
        <v>719000000</v>
      </c>
      <c r="BG11" s="5">
        <v>-150000000</v>
      </c>
      <c r="BH11" s="6">
        <v>1.2091000000000001</v>
      </c>
      <c r="BI11" s="5">
        <v>65000000</v>
      </c>
      <c r="BJ11" s="35">
        <v>-28400000</v>
      </c>
      <c r="BK11" s="35"/>
      <c r="BO11" s="3"/>
      <c r="BP11" s="5"/>
      <c r="BQ11" s="5"/>
      <c r="BR11" s="5"/>
      <c r="BS11" s="5"/>
      <c r="BT11" s="5"/>
      <c r="BU11" s="5"/>
      <c r="BV11" s="5"/>
      <c r="BW11" s="5"/>
      <c r="BX11" s="35">
        <v>-1100000</v>
      </c>
      <c r="BY11" s="35">
        <v>5900000</v>
      </c>
      <c r="BZ11" s="5"/>
      <c r="CA11" s="5"/>
      <c r="CB11" s="35">
        <v>0</v>
      </c>
      <c r="CC11" s="5"/>
      <c r="CD11" s="5"/>
      <c r="CE11" s="5"/>
      <c r="CF11" s="5"/>
      <c r="CG11" s="35">
        <v>-23600000</v>
      </c>
      <c r="CH11" s="5"/>
      <c r="CI11" s="5"/>
      <c r="CJ11" s="5"/>
      <c r="CK11" s="5"/>
      <c r="CL11" s="5"/>
      <c r="CM11" s="5"/>
      <c r="CN11" s="5"/>
      <c r="CO11" s="3"/>
    </row>
    <row r="12" spans="1:93" ht="13.5" customHeight="1" x14ac:dyDescent="0.35">
      <c r="A12" s="3" t="s">
        <v>129</v>
      </c>
      <c r="B12" s="3">
        <f t="shared" si="1"/>
        <v>2009</v>
      </c>
      <c r="C12" s="3">
        <v>2009</v>
      </c>
      <c r="D12" s="3" t="s">
        <v>349</v>
      </c>
      <c r="E12" s="6">
        <v>0.1454</v>
      </c>
      <c r="F12" s="6">
        <v>7.9299999999999995E-2</v>
      </c>
      <c r="G12" s="6">
        <v>6.6100000000000006E-2</v>
      </c>
      <c r="H12" s="16"/>
      <c r="I12" s="6" t="s">
        <v>357</v>
      </c>
      <c r="J12" s="6" t="s">
        <v>357</v>
      </c>
      <c r="K12" s="6"/>
      <c r="L12" s="5">
        <v>5501000</v>
      </c>
      <c r="M12" s="6"/>
      <c r="N12" s="6"/>
      <c r="O12" s="6"/>
      <c r="P12" s="6"/>
      <c r="Q12" s="6">
        <v>7.9299999999999995E-2</v>
      </c>
      <c r="R12" s="6">
        <v>6.6100000000000006E-2</v>
      </c>
      <c r="S12" s="3" t="s">
        <v>351</v>
      </c>
      <c r="T12" s="6"/>
      <c r="U12" s="6"/>
      <c r="V12" s="3" t="s">
        <v>352</v>
      </c>
      <c r="W12" s="3" t="s">
        <v>257</v>
      </c>
      <c r="X12" s="3" t="s">
        <v>353</v>
      </c>
      <c r="Y12" s="6">
        <v>0.03</v>
      </c>
      <c r="Z12" s="6"/>
      <c r="AB12" s="6" t="s">
        <v>350</v>
      </c>
      <c r="AC12" s="6" t="s">
        <v>350</v>
      </c>
      <c r="AD12" s="3"/>
      <c r="AE12" s="6" t="s">
        <v>350</v>
      </c>
      <c r="AF12" s="6" t="s">
        <v>350</v>
      </c>
      <c r="AG12" s="6" t="s">
        <v>350</v>
      </c>
      <c r="AH12" s="6" t="s">
        <v>350</v>
      </c>
      <c r="AI12" s="6">
        <v>3.5000000000000003E-2</v>
      </c>
      <c r="AJ12" s="6">
        <v>0.08</v>
      </c>
      <c r="AK12" s="6">
        <f t="shared" si="0"/>
        <v>5.0000000000000001E-4</v>
      </c>
      <c r="AL12" s="6">
        <v>0.04</v>
      </c>
      <c r="AM12" s="3" t="s">
        <v>374</v>
      </c>
      <c r="AN12" s="3" t="s">
        <v>375</v>
      </c>
      <c r="AO12" s="3" t="s">
        <v>356</v>
      </c>
      <c r="AP12" s="3">
        <v>2000</v>
      </c>
      <c r="AQ12" s="3" t="s">
        <v>369</v>
      </c>
      <c r="AR12" s="3" t="s">
        <v>370</v>
      </c>
      <c r="AS12" s="3" t="s">
        <v>371</v>
      </c>
      <c r="AT12" s="3" t="s">
        <v>357</v>
      </c>
      <c r="AU12" s="3" t="s">
        <v>357</v>
      </c>
      <c r="AV12" s="3" t="s">
        <v>358</v>
      </c>
      <c r="AW12" s="6">
        <v>0.08</v>
      </c>
      <c r="AX12" s="6" t="s">
        <v>350</v>
      </c>
      <c r="AY12" s="6">
        <v>0.08</v>
      </c>
      <c r="AZ12" s="3" t="s">
        <v>362</v>
      </c>
      <c r="BA12" s="6">
        <v>6.1800000000000001E-2</v>
      </c>
      <c r="BB12" s="6">
        <v>-0.2298</v>
      </c>
      <c r="BC12" s="6">
        <f>354000/698624000</f>
        <v>5.0671033345547824E-4</v>
      </c>
      <c r="BD12" s="5" t="s">
        <v>350</v>
      </c>
      <c r="BE12" s="5">
        <v>900000000</v>
      </c>
      <c r="BF12" s="5">
        <v>759000000</v>
      </c>
      <c r="BG12" s="5">
        <v>-142000000</v>
      </c>
      <c r="BH12" s="6">
        <v>1.1870000000000001</v>
      </c>
      <c r="BI12" s="5">
        <v>67000000</v>
      </c>
      <c r="BJ12" s="35">
        <v>6200000</v>
      </c>
      <c r="BK12" s="35"/>
      <c r="BO12" s="3"/>
      <c r="BP12" s="5"/>
      <c r="BQ12" s="5"/>
      <c r="BR12" s="5"/>
      <c r="BS12" s="5"/>
      <c r="BT12" s="5"/>
      <c r="BU12" s="5"/>
      <c r="BV12" s="5"/>
      <c r="BW12" s="5"/>
      <c r="BX12" s="35">
        <v>-1200000</v>
      </c>
      <c r="BY12" s="35">
        <v>700000</v>
      </c>
      <c r="BZ12" s="5"/>
      <c r="CA12" s="5"/>
      <c r="CB12" s="35">
        <v>500000</v>
      </c>
      <c r="CC12" s="5"/>
      <c r="CD12" s="5"/>
      <c r="CE12" s="5"/>
      <c r="CF12" s="5"/>
      <c r="CG12" s="35">
        <v>6200000</v>
      </c>
      <c r="CH12" s="5"/>
      <c r="CI12" s="5"/>
      <c r="CJ12" s="5"/>
      <c r="CK12" s="5"/>
      <c r="CL12" s="5"/>
      <c r="CM12" s="5"/>
      <c r="CN12" s="5"/>
      <c r="CO12" s="3"/>
    </row>
    <row r="13" spans="1:93" ht="13.5" customHeight="1" x14ac:dyDescent="0.35">
      <c r="A13" s="3" t="s">
        <v>129</v>
      </c>
      <c r="B13" s="3">
        <f t="shared" si="1"/>
        <v>2010</v>
      </c>
      <c r="C13" s="3">
        <v>2010</v>
      </c>
      <c r="D13" s="3" t="s">
        <v>349</v>
      </c>
      <c r="E13" s="6">
        <v>0.14100000000000001</v>
      </c>
      <c r="F13" s="6">
        <v>7.7100000000000002E-2</v>
      </c>
      <c r="G13" s="6">
        <v>6.3899999999999998E-2</v>
      </c>
      <c r="H13" s="16"/>
      <c r="I13" s="6" t="s">
        <v>357</v>
      </c>
      <c r="J13" s="6" t="s">
        <v>357</v>
      </c>
      <c r="K13" s="6"/>
      <c r="L13" s="5">
        <v>4173000</v>
      </c>
      <c r="M13" s="6"/>
      <c r="N13" s="6"/>
      <c r="O13" s="6"/>
      <c r="P13" s="6"/>
      <c r="Q13" s="6">
        <v>7.7100000000000002E-2</v>
      </c>
      <c r="R13" s="6">
        <v>6.3899999999999998E-2</v>
      </c>
      <c r="S13" s="3" t="s">
        <v>351</v>
      </c>
      <c r="T13" s="6"/>
      <c r="U13" s="6"/>
      <c r="V13" s="3" t="s">
        <v>352</v>
      </c>
      <c r="W13" s="3" t="s">
        <v>257</v>
      </c>
      <c r="X13" s="3" t="s">
        <v>353</v>
      </c>
      <c r="Y13" s="6">
        <v>0.03</v>
      </c>
      <c r="Z13" s="6"/>
      <c r="AB13" s="6" t="s">
        <v>350</v>
      </c>
      <c r="AC13" s="6" t="s">
        <v>350</v>
      </c>
      <c r="AD13" s="3"/>
      <c r="AE13" s="6" t="s">
        <v>350</v>
      </c>
      <c r="AF13" s="6" t="s">
        <v>350</v>
      </c>
      <c r="AG13" s="6" t="s">
        <v>350</v>
      </c>
      <c r="AH13" s="6" t="s">
        <v>350</v>
      </c>
      <c r="AI13" s="6">
        <v>3.5000000000000003E-2</v>
      </c>
      <c r="AJ13" s="6">
        <v>0.08</v>
      </c>
      <c r="AK13" s="6">
        <f t="shared" si="0"/>
        <v>5.0000000000000001E-4</v>
      </c>
      <c r="AL13" s="6">
        <v>0.04</v>
      </c>
      <c r="AM13" s="3" t="s">
        <v>376</v>
      </c>
      <c r="AN13" s="3" t="s">
        <v>365</v>
      </c>
      <c r="AO13" s="3" t="s">
        <v>356</v>
      </c>
      <c r="AP13" s="3">
        <v>2000</v>
      </c>
      <c r="AQ13" s="3" t="s">
        <v>369</v>
      </c>
      <c r="AR13" s="3" t="s">
        <v>370</v>
      </c>
      <c r="AS13" s="3" t="s">
        <v>371</v>
      </c>
      <c r="AT13" s="3" t="s">
        <v>357</v>
      </c>
      <c r="AU13" s="3" t="s">
        <v>357</v>
      </c>
      <c r="AV13" s="3" t="s">
        <v>358</v>
      </c>
      <c r="AW13" s="6">
        <v>0.08</v>
      </c>
      <c r="AX13" s="6" t="s">
        <v>350</v>
      </c>
      <c r="AY13" s="6">
        <v>0.08</v>
      </c>
      <c r="AZ13" s="3" t="s">
        <v>362</v>
      </c>
      <c r="BA13" s="6">
        <v>5.0700000000000002E-2</v>
      </c>
      <c r="BB13" s="6">
        <v>0.13389999999999999</v>
      </c>
      <c r="BC13" s="6">
        <f>364000/764191000</f>
        <v>4.7632071039831664E-4</v>
      </c>
      <c r="BD13" s="5" t="s">
        <v>350</v>
      </c>
      <c r="BE13" s="5">
        <v>920000000</v>
      </c>
      <c r="BF13" s="5">
        <v>782000000</v>
      </c>
      <c r="BG13" s="5">
        <v>-137000000</v>
      </c>
      <c r="BH13" s="6">
        <v>1.175</v>
      </c>
      <c r="BI13" s="5">
        <v>65000000</v>
      </c>
      <c r="BJ13" s="35">
        <v>20500000</v>
      </c>
      <c r="BK13" s="35"/>
      <c r="BO13" s="3"/>
      <c r="BP13" s="5"/>
      <c r="BQ13" s="5"/>
      <c r="BR13" s="5"/>
      <c r="BS13" s="5"/>
      <c r="BT13" s="5"/>
      <c r="BU13" s="5"/>
      <c r="BV13" s="5"/>
      <c r="BW13" s="5"/>
      <c r="BX13" s="35">
        <v>1000000</v>
      </c>
      <c r="BY13" s="35">
        <v>-19000000</v>
      </c>
      <c r="BZ13" s="5"/>
      <c r="CA13" s="5"/>
      <c r="CB13" s="35">
        <v>500000</v>
      </c>
      <c r="CC13" s="5"/>
      <c r="CD13" s="5"/>
      <c r="CE13" s="5"/>
      <c r="CF13" s="5"/>
      <c r="CG13" s="35">
        <v>3000000</v>
      </c>
      <c r="CH13" s="5"/>
      <c r="CI13" s="5"/>
      <c r="CJ13" s="5"/>
      <c r="CK13" s="5"/>
      <c r="CL13" s="5"/>
      <c r="CM13" s="5"/>
      <c r="CN13" s="5"/>
      <c r="CO13" s="3"/>
    </row>
    <row r="14" spans="1:93" ht="13.5" customHeight="1" x14ac:dyDescent="0.35">
      <c r="A14" s="3" t="s">
        <v>129</v>
      </c>
      <c r="B14" s="3">
        <f t="shared" si="1"/>
        <v>2011</v>
      </c>
      <c r="C14" s="3">
        <v>2011</v>
      </c>
      <c r="D14" s="3" t="s">
        <v>349</v>
      </c>
      <c r="E14" s="6">
        <v>0.13940000000000002</v>
      </c>
      <c r="F14" s="6">
        <v>7.6300000000000007E-2</v>
      </c>
      <c r="G14" s="6">
        <v>6.3100000000000003E-2</v>
      </c>
      <c r="H14" s="16"/>
      <c r="I14" s="6" t="s">
        <v>357</v>
      </c>
      <c r="J14" s="6" t="s">
        <v>357</v>
      </c>
      <c r="K14" s="6"/>
      <c r="L14" s="5">
        <v>4166000</v>
      </c>
      <c r="M14" s="6"/>
      <c r="N14" s="6"/>
      <c r="O14" s="6"/>
      <c r="P14" s="6"/>
      <c r="Q14" s="6">
        <v>7.6300000000000007E-2</v>
      </c>
      <c r="R14" s="6">
        <v>6.3100000000000003E-2</v>
      </c>
      <c r="S14" s="3" t="s">
        <v>351</v>
      </c>
      <c r="T14" s="6"/>
      <c r="U14" s="6"/>
      <c r="V14" s="3" t="s">
        <v>352</v>
      </c>
      <c r="W14" s="3" t="s">
        <v>257</v>
      </c>
      <c r="X14" s="3" t="s">
        <v>353</v>
      </c>
      <c r="Y14" s="6">
        <v>0.03</v>
      </c>
      <c r="Z14" s="6"/>
      <c r="AB14" s="6" t="s">
        <v>350</v>
      </c>
      <c r="AC14" s="6" t="s">
        <v>350</v>
      </c>
      <c r="AD14" s="3"/>
      <c r="AE14" s="6" t="s">
        <v>350</v>
      </c>
      <c r="AF14" s="6" t="s">
        <v>350</v>
      </c>
      <c r="AG14" s="6" t="s">
        <v>350</v>
      </c>
      <c r="AH14" s="6" t="s">
        <v>350</v>
      </c>
      <c r="AI14" s="6">
        <v>0.03</v>
      </c>
      <c r="AJ14" s="6">
        <v>7.9000000000000001E-2</v>
      </c>
      <c r="AK14" s="6">
        <f t="shared" ref="AK14:AK22" si="2">0.95%*AL14</f>
        <v>3.5624999999999996E-4</v>
      </c>
      <c r="AL14" s="6">
        <v>3.7499999999999999E-2</v>
      </c>
      <c r="AM14" s="3" t="s">
        <v>377</v>
      </c>
      <c r="AN14" s="3" t="s">
        <v>378</v>
      </c>
      <c r="AO14" s="3" t="s">
        <v>356</v>
      </c>
      <c r="AP14" s="3">
        <v>2000</v>
      </c>
      <c r="AQ14" s="3" t="s">
        <v>369</v>
      </c>
      <c r="AR14" s="3" t="s">
        <v>370</v>
      </c>
      <c r="AS14" s="3" t="s">
        <v>371</v>
      </c>
      <c r="AT14" s="3" t="s">
        <v>357</v>
      </c>
      <c r="AU14" s="3" t="s">
        <v>357</v>
      </c>
      <c r="AV14" s="3" t="s">
        <v>358</v>
      </c>
      <c r="AW14" s="6">
        <v>7.9000000000000001E-2</v>
      </c>
      <c r="AX14" s="6" t="s">
        <v>350</v>
      </c>
      <c r="AY14" s="6">
        <v>7.9000000000000001E-2</v>
      </c>
      <c r="AZ14" s="3" t="s">
        <v>362</v>
      </c>
      <c r="BA14" s="6">
        <v>6.3799999999999996E-2</v>
      </c>
      <c r="BB14" s="6">
        <v>0.21229999999999999</v>
      </c>
      <c r="BC14" s="6">
        <f>356000/894899000</f>
        <v>3.9781025568248486E-4</v>
      </c>
      <c r="BD14" s="5" t="s">
        <v>350</v>
      </c>
      <c r="BE14" s="5">
        <v>949000000</v>
      </c>
      <c r="BF14" s="5">
        <v>829000000</v>
      </c>
      <c r="BG14" s="5">
        <v>-120000000</v>
      </c>
      <c r="BH14" s="6">
        <v>1.145</v>
      </c>
      <c r="BI14" s="5">
        <v>61000000</v>
      </c>
      <c r="BJ14" s="35">
        <v>8500000</v>
      </c>
      <c r="BK14" s="35"/>
      <c r="BO14" s="3"/>
      <c r="BP14" s="5"/>
      <c r="BQ14" s="5"/>
      <c r="BR14" s="5"/>
      <c r="BS14" s="5"/>
      <c r="BT14" s="5"/>
      <c r="BU14" s="5"/>
      <c r="BV14" s="5"/>
      <c r="BW14" s="5"/>
      <c r="BX14" s="35">
        <v>-100000</v>
      </c>
      <c r="BY14" s="35">
        <v>-18800000</v>
      </c>
      <c r="BZ14" s="5"/>
      <c r="CA14" s="5"/>
      <c r="CB14" s="35">
        <v>200000</v>
      </c>
      <c r="CC14" s="5"/>
      <c r="CD14" s="5"/>
      <c r="CE14" s="5"/>
      <c r="CF14" s="5"/>
      <c r="CG14" s="35">
        <v>-10200000</v>
      </c>
      <c r="CH14" s="5"/>
      <c r="CI14" s="5"/>
      <c r="CJ14" s="5"/>
      <c r="CK14" s="5"/>
      <c r="CL14" s="5"/>
      <c r="CM14" s="5"/>
      <c r="CN14" s="5"/>
      <c r="CO14" s="3"/>
    </row>
    <row r="15" spans="1:93" ht="13.5" customHeight="1" x14ac:dyDescent="0.35">
      <c r="A15" s="3" t="s">
        <v>129</v>
      </c>
      <c r="B15" s="3">
        <f t="shared" si="1"/>
        <v>2012</v>
      </c>
      <c r="C15" s="3">
        <v>2012</v>
      </c>
      <c r="D15" s="3" t="s">
        <v>349</v>
      </c>
      <c r="E15" s="6">
        <v>0.14200000000000002</v>
      </c>
      <c r="F15" s="6">
        <v>7.7600000000000002E-2</v>
      </c>
      <c r="G15" s="6">
        <v>6.4399999999999999E-2</v>
      </c>
      <c r="H15" s="16"/>
      <c r="I15" s="6" t="s">
        <v>357</v>
      </c>
      <c r="J15" s="6" t="s">
        <v>357</v>
      </c>
      <c r="K15" s="6"/>
      <c r="L15" s="5">
        <v>5376000</v>
      </c>
      <c r="M15" s="6"/>
      <c r="N15" s="6"/>
      <c r="O15" s="6"/>
      <c r="P15" s="6"/>
      <c r="Q15" s="6">
        <v>7.7600000000000002E-2</v>
      </c>
      <c r="R15" s="6">
        <v>6.4399999999999999E-2</v>
      </c>
      <c r="S15" s="3" t="s">
        <v>351</v>
      </c>
      <c r="T15" s="6"/>
      <c r="U15" s="6"/>
      <c r="V15" s="3" t="s">
        <v>352</v>
      </c>
      <c r="W15" s="3" t="s">
        <v>257</v>
      </c>
      <c r="X15" s="3" t="s">
        <v>353</v>
      </c>
      <c r="Y15" s="6">
        <v>0.03</v>
      </c>
      <c r="Z15" s="6"/>
      <c r="AB15" s="6" t="s">
        <v>350</v>
      </c>
      <c r="AC15" s="6" t="s">
        <v>350</v>
      </c>
      <c r="AD15" s="3"/>
      <c r="AE15" s="6" t="s">
        <v>350</v>
      </c>
      <c r="AF15" s="6" t="s">
        <v>350</v>
      </c>
      <c r="AG15" s="6" t="s">
        <v>350</v>
      </c>
      <c r="AH15" s="6" t="s">
        <v>350</v>
      </c>
      <c r="AI15" s="6">
        <v>0.03</v>
      </c>
      <c r="AJ15" s="6">
        <v>7.9000000000000001E-2</v>
      </c>
      <c r="AK15" s="6">
        <f t="shared" si="2"/>
        <v>3.5624999999999996E-4</v>
      </c>
      <c r="AL15" s="6">
        <v>3.7499999999999999E-2</v>
      </c>
      <c r="AM15" s="3" t="s">
        <v>379</v>
      </c>
      <c r="AN15" s="3" t="s">
        <v>373</v>
      </c>
      <c r="AO15" s="3" t="s">
        <v>356</v>
      </c>
      <c r="AP15" s="3">
        <v>2000</v>
      </c>
      <c r="AQ15" s="3" t="s">
        <v>369</v>
      </c>
      <c r="AR15" s="3" t="s">
        <v>370</v>
      </c>
      <c r="AS15" s="3" t="s">
        <v>371</v>
      </c>
      <c r="AT15" s="3" t="s">
        <v>357</v>
      </c>
      <c r="AU15" s="3" t="s">
        <v>357</v>
      </c>
      <c r="AV15" s="3" t="s">
        <v>358</v>
      </c>
      <c r="AW15" s="6">
        <v>7.9000000000000001E-2</v>
      </c>
      <c r="AX15" s="6" t="s">
        <v>350</v>
      </c>
      <c r="AY15" s="6">
        <v>7.9000000000000001E-2</v>
      </c>
      <c r="AZ15" s="3" t="s">
        <v>362</v>
      </c>
      <c r="BA15" s="6">
        <v>6.3399999999999998E-2</v>
      </c>
      <c r="BB15" s="6">
        <v>1.3100000000000001E-2</v>
      </c>
      <c r="BC15" s="6">
        <f>392000/879220000</f>
        <v>4.4584973044289254E-4</v>
      </c>
      <c r="BD15" s="5" t="s">
        <v>350</v>
      </c>
      <c r="BE15" s="5">
        <v>982000000</v>
      </c>
      <c r="BF15" s="5">
        <v>859000000</v>
      </c>
      <c r="BG15" s="5">
        <v>-123000000</v>
      </c>
      <c r="BH15" s="6">
        <v>1.143</v>
      </c>
      <c r="BI15" s="5">
        <v>57000000</v>
      </c>
      <c r="BJ15" s="35">
        <v>6700000</v>
      </c>
      <c r="BK15" s="35"/>
      <c r="BO15" s="3"/>
      <c r="BP15" s="5"/>
      <c r="BQ15" s="5"/>
      <c r="BR15" s="5"/>
      <c r="BS15" s="5"/>
      <c r="BT15" s="5"/>
      <c r="BU15" s="5"/>
      <c r="BV15" s="5"/>
      <c r="BW15" s="5"/>
      <c r="BX15" s="35">
        <v>-2500000</v>
      </c>
      <c r="BY15" s="35">
        <v>-12500000</v>
      </c>
      <c r="BZ15" s="5"/>
      <c r="CA15" s="5"/>
      <c r="CB15" s="35">
        <v>300000</v>
      </c>
      <c r="CC15" s="5"/>
      <c r="CD15" s="5"/>
      <c r="CE15" s="5"/>
      <c r="CF15" s="5"/>
      <c r="CG15" s="35">
        <v>-8000000</v>
      </c>
      <c r="CH15" s="5"/>
      <c r="CI15" s="5"/>
      <c r="CJ15" s="5"/>
      <c r="CK15" s="5"/>
      <c r="CL15" s="5"/>
      <c r="CM15" s="5"/>
      <c r="CN15" s="5"/>
      <c r="CO15" s="3"/>
    </row>
    <row r="16" spans="1:93" ht="13.5" customHeight="1" x14ac:dyDescent="0.35">
      <c r="A16" s="3" t="s">
        <v>129</v>
      </c>
      <c r="B16" s="3">
        <f t="shared" si="1"/>
        <v>2013</v>
      </c>
      <c r="C16" s="3">
        <v>2013</v>
      </c>
      <c r="D16" s="3" t="s">
        <v>349</v>
      </c>
      <c r="E16" s="6">
        <v>0.1598</v>
      </c>
      <c r="F16" s="6">
        <v>8.7900000000000006E-2</v>
      </c>
      <c r="G16" s="6">
        <v>7.1900000000000006E-2</v>
      </c>
      <c r="H16" s="16"/>
      <c r="I16" s="6" t="s">
        <v>357</v>
      </c>
      <c r="J16" s="6" t="s">
        <v>357</v>
      </c>
      <c r="K16" s="6"/>
      <c r="L16" s="5">
        <v>5396000</v>
      </c>
      <c r="M16" s="6"/>
      <c r="N16" s="6"/>
      <c r="O16" s="6"/>
      <c r="P16" s="6"/>
      <c r="Q16" s="6">
        <v>8.7900000000000006E-2</v>
      </c>
      <c r="R16" s="6">
        <v>7.1900000000000006E-2</v>
      </c>
      <c r="S16" s="3" t="s">
        <v>351</v>
      </c>
      <c r="T16" s="6"/>
      <c r="U16" s="6"/>
      <c r="V16" s="3" t="s">
        <v>352</v>
      </c>
      <c r="W16" s="3" t="s">
        <v>257</v>
      </c>
      <c r="X16" s="3" t="s">
        <v>353</v>
      </c>
      <c r="Y16" s="6">
        <v>0.03</v>
      </c>
      <c r="Z16" s="6"/>
      <c r="AB16" s="6" t="s">
        <v>350</v>
      </c>
      <c r="AC16" s="6" t="s">
        <v>350</v>
      </c>
      <c r="AD16" s="3"/>
      <c r="AE16" s="6" t="s">
        <v>350</v>
      </c>
      <c r="AF16" s="6" t="s">
        <v>350</v>
      </c>
      <c r="AG16" s="6" t="s">
        <v>350</v>
      </c>
      <c r="AH16" s="6" t="s">
        <v>350</v>
      </c>
      <c r="AI16" s="6">
        <v>0.03</v>
      </c>
      <c r="AJ16" s="6">
        <v>7.8E-2</v>
      </c>
      <c r="AK16" s="6">
        <f t="shared" si="2"/>
        <v>3.5624999999999996E-4</v>
      </c>
      <c r="AL16" s="6">
        <v>3.7499999999999999E-2</v>
      </c>
      <c r="AM16" s="3" t="s">
        <v>380</v>
      </c>
      <c r="AN16" s="3" t="s">
        <v>373</v>
      </c>
      <c r="AO16" s="3" t="s">
        <v>381</v>
      </c>
      <c r="AP16" s="3">
        <v>2000</v>
      </c>
      <c r="AQ16" s="3" t="s">
        <v>382</v>
      </c>
      <c r="AR16" s="3" t="s">
        <v>370</v>
      </c>
      <c r="AS16" s="3" t="s">
        <v>371</v>
      </c>
      <c r="AT16" s="3" t="s">
        <v>357</v>
      </c>
      <c r="AU16" s="3" t="s">
        <v>357</v>
      </c>
      <c r="AV16" s="3" t="s">
        <v>358</v>
      </c>
      <c r="AW16" s="6">
        <v>7.8E-2</v>
      </c>
      <c r="AX16" s="6" t="s">
        <v>350</v>
      </c>
      <c r="AY16" s="6">
        <v>7.8E-2</v>
      </c>
      <c r="AZ16" s="3" t="s">
        <v>362</v>
      </c>
      <c r="BA16" s="6">
        <v>5.9900000000000002E-2</v>
      </c>
      <c r="BB16" s="6">
        <v>0.1237</v>
      </c>
      <c r="BC16" s="6">
        <f>538000/955573000</f>
        <v>5.6301297755378184E-4</v>
      </c>
      <c r="BD16" s="5" t="s">
        <v>350</v>
      </c>
      <c r="BE16" s="5">
        <v>1009000000</v>
      </c>
      <c r="BF16" s="5">
        <v>959000000</v>
      </c>
      <c r="BG16" s="5">
        <v>-50000000</v>
      </c>
      <c r="BH16" s="6">
        <v>1.0529999999999999</v>
      </c>
      <c r="BI16" s="5">
        <v>54000000</v>
      </c>
      <c r="BJ16" s="35">
        <v>10200000</v>
      </c>
      <c r="BK16" s="35"/>
      <c r="BO16" s="3"/>
      <c r="BP16" s="5"/>
      <c r="BQ16" s="5"/>
      <c r="BR16" s="5"/>
      <c r="BS16" s="5"/>
      <c r="BT16" s="5"/>
      <c r="BU16" s="5"/>
      <c r="BV16" s="5"/>
      <c r="BW16" s="5"/>
      <c r="BX16" s="35">
        <v>300000</v>
      </c>
      <c r="BY16" s="35">
        <v>-8600000</v>
      </c>
      <c r="BZ16" s="5"/>
      <c r="CA16" s="5"/>
      <c r="CB16" s="35">
        <v>400000</v>
      </c>
      <c r="CC16" s="5"/>
      <c r="CD16" s="5"/>
      <c r="CE16" s="5"/>
      <c r="CF16" s="5"/>
      <c r="CG16" s="35">
        <v>2300000</v>
      </c>
      <c r="CH16" s="5"/>
      <c r="CI16" s="5"/>
      <c r="CJ16" s="5"/>
      <c r="CK16" s="5"/>
      <c r="CL16" s="5"/>
      <c r="CM16" s="5"/>
      <c r="CN16" s="5"/>
      <c r="CO16" s="3"/>
    </row>
    <row r="17" spans="1:102" ht="13.5" customHeight="1" x14ac:dyDescent="0.35">
      <c r="A17" s="3" t="s">
        <v>129</v>
      </c>
      <c r="B17" s="3">
        <f t="shared" si="1"/>
        <v>2014</v>
      </c>
      <c r="C17" s="3">
        <v>2014</v>
      </c>
      <c r="D17" s="3" t="s">
        <v>349</v>
      </c>
      <c r="E17" s="6">
        <v>0.18160000000000001</v>
      </c>
      <c r="F17" s="6">
        <v>0.1082</v>
      </c>
      <c r="G17" s="6">
        <v>7.3400000000000007E-2</v>
      </c>
      <c r="H17" s="16"/>
      <c r="I17" s="6" t="s">
        <v>357</v>
      </c>
      <c r="J17" s="6" t="s">
        <v>357</v>
      </c>
      <c r="K17" s="6"/>
      <c r="L17" s="5">
        <v>5489000</v>
      </c>
      <c r="M17" s="6"/>
      <c r="N17" s="6"/>
      <c r="O17" s="6"/>
      <c r="P17" s="6"/>
      <c r="Q17" s="6">
        <v>0.1082</v>
      </c>
      <c r="R17" s="6">
        <v>7.3400000000000007E-2</v>
      </c>
      <c r="S17" s="3" t="s">
        <v>351</v>
      </c>
      <c r="T17" s="6"/>
      <c r="U17" s="6"/>
      <c r="V17" s="3" t="s">
        <v>352</v>
      </c>
      <c r="W17" s="3" t="s">
        <v>257</v>
      </c>
      <c r="X17" s="3" t="s">
        <v>353</v>
      </c>
      <c r="Y17" s="6"/>
      <c r="Z17" s="6"/>
      <c r="AA17" s="6" t="s">
        <v>383</v>
      </c>
      <c r="AB17" s="6" t="s">
        <v>350</v>
      </c>
      <c r="AC17" s="6" t="s">
        <v>350</v>
      </c>
      <c r="AD17" s="3"/>
      <c r="AE17" s="6" t="s">
        <v>350</v>
      </c>
      <c r="AF17" s="6" t="s">
        <v>350</v>
      </c>
      <c r="AG17" s="6" t="s">
        <v>350</v>
      </c>
      <c r="AH17" s="6" t="s">
        <v>350</v>
      </c>
      <c r="AI17" s="6">
        <v>0.03</v>
      </c>
      <c r="AJ17" s="6">
        <v>7.8E-2</v>
      </c>
      <c r="AK17" s="6">
        <f t="shared" si="2"/>
        <v>4.8355000000000002E-4</v>
      </c>
      <c r="AL17" s="6">
        <v>5.0900000000000001E-2</v>
      </c>
      <c r="AM17" s="3" t="s">
        <v>384</v>
      </c>
      <c r="AN17" s="3" t="s">
        <v>385</v>
      </c>
      <c r="AO17" s="3" t="s">
        <v>386</v>
      </c>
      <c r="AP17" s="3">
        <v>2000</v>
      </c>
      <c r="AQ17" s="3" t="s">
        <v>382</v>
      </c>
      <c r="AR17" s="3"/>
      <c r="AS17" s="3"/>
      <c r="AT17" s="3" t="s">
        <v>357</v>
      </c>
      <c r="AU17" s="3" t="s">
        <v>357</v>
      </c>
      <c r="AV17" s="3" t="s">
        <v>358</v>
      </c>
      <c r="AW17" s="6">
        <v>7.8E-2</v>
      </c>
      <c r="AX17" s="6" t="s">
        <v>350</v>
      </c>
      <c r="AY17" s="6">
        <v>7.8E-2</v>
      </c>
      <c r="AZ17" s="3" t="s">
        <v>362</v>
      </c>
      <c r="BA17" s="6">
        <v>6.93E-2</v>
      </c>
      <c r="BB17" s="6">
        <v>0.18870000000000001</v>
      </c>
      <c r="BC17" s="6">
        <f>431000/1098541000</f>
        <v>3.9233856542450398E-4</v>
      </c>
      <c r="BD17" s="5" t="s">
        <v>350</v>
      </c>
      <c r="BE17" s="5">
        <v>1044000000</v>
      </c>
      <c r="BF17" s="5">
        <v>1042000000</v>
      </c>
      <c r="BG17" s="5">
        <v>-2000000</v>
      </c>
      <c r="BH17" s="6">
        <v>1.002</v>
      </c>
      <c r="BI17" s="5">
        <v>53000000</v>
      </c>
      <c r="BJ17" s="35">
        <v>10000000</v>
      </c>
      <c r="BK17" s="35"/>
      <c r="BO17" s="3"/>
      <c r="BP17" s="5"/>
      <c r="BQ17" s="5"/>
      <c r="BR17" s="5"/>
      <c r="BS17" s="5"/>
      <c r="BT17" s="5"/>
      <c r="BU17" s="5"/>
      <c r="BV17" s="5"/>
      <c r="BW17" s="5"/>
      <c r="BX17" s="35">
        <v>-2800000</v>
      </c>
      <c r="BY17" s="35">
        <v>1300000</v>
      </c>
      <c r="BZ17" s="5"/>
      <c r="CA17" s="5"/>
      <c r="CB17" s="35">
        <v>0</v>
      </c>
      <c r="CC17" s="5"/>
      <c r="CD17" s="5"/>
      <c r="CE17" s="5"/>
      <c r="CF17" s="5"/>
      <c r="CG17" s="35">
        <v>8500000</v>
      </c>
      <c r="CH17" s="5"/>
      <c r="CI17" s="5"/>
      <c r="CJ17" s="5"/>
      <c r="CK17" s="5"/>
      <c r="CL17" s="5"/>
      <c r="CM17" s="5"/>
      <c r="CN17" s="5"/>
      <c r="CO17" s="3"/>
    </row>
    <row r="18" spans="1:102" ht="13.5" customHeight="1" x14ac:dyDescent="0.35">
      <c r="A18" s="3" t="s">
        <v>129</v>
      </c>
      <c r="B18" s="3">
        <f t="shared" si="1"/>
        <v>2015</v>
      </c>
      <c r="C18" s="3">
        <v>2015</v>
      </c>
      <c r="D18" s="3" t="s">
        <v>349</v>
      </c>
      <c r="E18" s="6">
        <v>0.22239999999999999</v>
      </c>
      <c r="F18" s="6">
        <v>0.14899999999999999</v>
      </c>
      <c r="G18" s="6">
        <v>7.3400000000000007E-2</v>
      </c>
      <c r="H18" s="16"/>
      <c r="I18" s="6" t="s">
        <v>357</v>
      </c>
      <c r="J18" s="6" t="s">
        <v>357</v>
      </c>
      <c r="K18" s="6"/>
      <c r="L18" s="5">
        <v>5561000</v>
      </c>
      <c r="M18" s="6"/>
      <c r="N18" s="6"/>
      <c r="O18" s="6"/>
      <c r="P18" s="6"/>
      <c r="Q18" s="6">
        <v>0.14899999999999999</v>
      </c>
      <c r="R18" s="6">
        <v>7.3400000000000007E-2</v>
      </c>
      <c r="S18" s="3" t="s">
        <v>351</v>
      </c>
      <c r="T18" s="6"/>
      <c r="U18" s="6"/>
      <c r="V18" s="3" t="s">
        <v>352</v>
      </c>
      <c r="W18" s="3" t="s">
        <v>257</v>
      </c>
      <c r="X18" s="3" t="s">
        <v>353</v>
      </c>
      <c r="Y18" s="6"/>
      <c r="Z18" s="6"/>
      <c r="AA18" s="6" t="s">
        <v>383</v>
      </c>
      <c r="AB18" s="6" t="s">
        <v>350</v>
      </c>
      <c r="AC18" s="6" t="s">
        <v>350</v>
      </c>
      <c r="AD18" s="3"/>
      <c r="AE18" s="6" t="s">
        <v>350</v>
      </c>
      <c r="AF18" s="6" t="s">
        <v>350</v>
      </c>
      <c r="AG18" s="6" t="s">
        <v>350</v>
      </c>
      <c r="AH18" s="6" t="s">
        <v>350</v>
      </c>
      <c r="AI18" s="6">
        <v>0.03</v>
      </c>
      <c r="AJ18" s="6">
        <v>7.6999999999999999E-2</v>
      </c>
      <c r="AK18" s="6">
        <f t="shared" si="2"/>
        <v>3.5624999999999996E-4</v>
      </c>
      <c r="AL18" s="6">
        <v>3.7499999999999999E-2</v>
      </c>
      <c r="AM18" s="3" t="s">
        <v>387</v>
      </c>
      <c r="AN18" s="3" t="s">
        <v>388</v>
      </c>
      <c r="AO18" s="3" t="s">
        <v>386</v>
      </c>
      <c r="AP18" s="3">
        <v>2000</v>
      </c>
      <c r="AQ18" s="3" t="s">
        <v>382</v>
      </c>
      <c r="AR18" s="3"/>
      <c r="AS18" s="3"/>
      <c r="AT18" s="3" t="s">
        <v>357</v>
      </c>
      <c r="AU18" s="3" t="s">
        <v>357</v>
      </c>
      <c r="AV18" s="3" t="s">
        <v>358</v>
      </c>
      <c r="AW18" s="6">
        <v>7.6999999999999999E-2</v>
      </c>
      <c r="AX18" s="6" t="s">
        <v>350</v>
      </c>
      <c r="AY18" s="6">
        <v>7.6999999999999999E-2</v>
      </c>
      <c r="AZ18" s="3" t="s">
        <v>362</v>
      </c>
      <c r="BA18" s="6"/>
      <c r="BB18" s="6"/>
      <c r="BC18" s="6">
        <f>425000/1110799000</f>
        <v>3.8260747443957007E-4</v>
      </c>
      <c r="BD18" s="5" t="s">
        <v>350</v>
      </c>
      <c r="BE18" s="5">
        <v>1067000000</v>
      </c>
      <c r="BF18" s="5">
        <v>1093000000</v>
      </c>
      <c r="BG18" s="5">
        <v>26000000</v>
      </c>
      <c r="BH18" s="6">
        <v>0.98</v>
      </c>
      <c r="BI18" s="5"/>
      <c r="BJ18" s="35">
        <v>23300000</v>
      </c>
      <c r="BK18" s="35"/>
      <c r="BO18" s="3"/>
      <c r="BP18" s="5"/>
      <c r="BQ18" s="5"/>
      <c r="BR18" s="5"/>
      <c r="BS18" s="5"/>
      <c r="BT18" s="5"/>
      <c r="BU18" s="5"/>
      <c r="BV18" s="5"/>
      <c r="BW18" s="5"/>
      <c r="BX18" s="35">
        <v>-5700000</v>
      </c>
      <c r="BY18" s="35">
        <v>-7200000</v>
      </c>
      <c r="BZ18" s="5"/>
      <c r="CA18" s="5"/>
      <c r="CB18" s="35">
        <v>500000</v>
      </c>
      <c r="CC18" s="5"/>
      <c r="CD18" s="5"/>
      <c r="CE18" s="5"/>
      <c r="CF18" s="5"/>
      <c r="CG18" s="35">
        <v>10900000</v>
      </c>
      <c r="CH18" s="5"/>
      <c r="CI18" s="5"/>
      <c r="CJ18" s="5"/>
      <c r="CK18" s="5"/>
      <c r="CL18" s="5"/>
      <c r="CM18" s="5"/>
      <c r="CN18" s="5"/>
      <c r="CO18" s="3"/>
    </row>
    <row r="19" spans="1:102" ht="13.5" customHeight="1" x14ac:dyDescent="0.35">
      <c r="A19" s="3" t="s">
        <v>129</v>
      </c>
      <c r="B19" s="3">
        <f t="shared" si="1"/>
        <v>2016</v>
      </c>
      <c r="C19" s="3">
        <v>2016</v>
      </c>
      <c r="D19" s="3" t="s">
        <v>349</v>
      </c>
      <c r="E19" s="6">
        <v>0.32539999999999997</v>
      </c>
      <c r="F19" s="6">
        <v>0.24859999999999999</v>
      </c>
      <c r="G19" s="6">
        <v>7.6799999999999993E-2</v>
      </c>
      <c r="H19" s="16"/>
      <c r="I19" s="6" t="s">
        <v>357</v>
      </c>
      <c r="J19" s="6" t="s">
        <v>357</v>
      </c>
      <c r="K19" s="6"/>
      <c r="L19" s="5">
        <v>5895000</v>
      </c>
      <c r="M19" s="6"/>
      <c r="N19" s="6"/>
      <c r="O19" s="6"/>
      <c r="P19" s="6"/>
      <c r="Q19" s="6">
        <v>0.24859999999999999</v>
      </c>
      <c r="R19" s="6">
        <v>7.6799999999999993E-2</v>
      </c>
      <c r="S19" s="3" t="s">
        <v>351</v>
      </c>
      <c r="T19" s="6"/>
      <c r="U19" s="6"/>
      <c r="V19" s="3" t="s">
        <v>352</v>
      </c>
      <c r="W19" s="3" t="s">
        <v>257</v>
      </c>
      <c r="X19" s="3" t="s">
        <v>353</v>
      </c>
      <c r="Y19" s="6"/>
      <c r="Z19" s="6"/>
      <c r="AA19" s="6" t="s">
        <v>383</v>
      </c>
      <c r="AB19" s="6" t="s">
        <v>350</v>
      </c>
      <c r="AC19" s="6" t="s">
        <v>350</v>
      </c>
      <c r="AD19" s="3"/>
      <c r="AE19" s="6" t="s">
        <v>350</v>
      </c>
      <c r="AF19" s="6" t="s">
        <v>350</v>
      </c>
      <c r="AG19" s="6" t="s">
        <v>350</v>
      </c>
      <c r="AH19" s="6" t="s">
        <v>350</v>
      </c>
      <c r="AI19" s="6">
        <v>0.03</v>
      </c>
      <c r="AJ19" s="6">
        <v>7.6999999999999999E-2</v>
      </c>
      <c r="AK19" s="6">
        <f t="shared" si="2"/>
        <v>3.5624999999999996E-4</v>
      </c>
      <c r="AL19" s="6">
        <v>3.7499999999999999E-2</v>
      </c>
      <c r="AM19" s="3" t="s">
        <v>389</v>
      </c>
      <c r="AN19" s="3" t="s">
        <v>390</v>
      </c>
      <c r="AO19" s="3" t="s">
        <v>386</v>
      </c>
      <c r="AP19" s="3">
        <v>2000</v>
      </c>
      <c r="AQ19" s="3" t="s">
        <v>382</v>
      </c>
      <c r="AR19" s="3"/>
      <c r="AS19" s="3"/>
      <c r="AT19" s="3" t="s">
        <v>357</v>
      </c>
      <c r="AU19" s="3" t="s">
        <v>357</v>
      </c>
      <c r="AV19" s="3" t="s">
        <v>358</v>
      </c>
      <c r="AW19" s="6">
        <v>7.6999999999999999E-2</v>
      </c>
      <c r="AX19" s="6" t="s">
        <v>350</v>
      </c>
      <c r="AY19" s="6">
        <v>7.6999999999999999E-2</v>
      </c>
      <c r="AZ19" s="3" t="s">
        <v>362</v>
      </c>
      <c r="BA19" s="6"/>
      <c r="BB19" s="6"/>
      <c r="BC19" s="6">
        <f>448000/1098275000</f>
        <v>4.0791240809451187E-4</v>
      </c>
      <c r="BD19" s="5" t="s">
        <v>350</v>
      </c>
      <c r="BE19" s="5">
        <v>1084000000</v>
      </c>
      <c r="BF19" s="5">
        <v>1186000000</v>
      </c>
      <c r="BG19" s="5">
        <v>102000000</v>
      </c>
      <c r="BH19" s="6">
        <v>0.91</v>
      </c>
      <c r="BI19" s="5"/>
      <c r="BJ19" s="35">
        <v>30700000</v>
      </c>
      <c r="BK19" s="35"/>
      <c r="BO19" s="3"/>
      <c r="BP19" s="5"/>
      <c r="BQ19" s="5"/>
      <c r="BR19" s="5"/>
      <c r="BS19" s="5"/>
      <c r="BT19" s="5"/>
      <c r="BU19" s="5"/>
      <c r="BV19" s="5"/>
      <c r="BW19" s="5"/>
      <c r="BX19" s="35">
        <v>-7200000</v>
      </c>
      <c r="BY19" s="35">
        <v>20300000</v>
      </c>
      <c r="BZ19" s="5"/>
      <c r="CA19" s="5"/>
      <c r="CB19" s="35">
        <v>200000</v>
      </c>
      <c r="CC19" s="5"/>
      <c r="CD19" s="5"/>
      <c r="CE19" s="5"/>
      <c r="CF19" s="5"/>
      <c r="CG19" s="35">
        <v>44000000</v>
      </c>
      <c r="CH19" s="5"/>
      <c r="CI19" s="5"/>
      <c r="CJ19" s="5"/>
      <c r="CK19" s="5"/>
      <c r="CL19" s="5"/>
      <c r="CM19" s="5"/>
      <c r="CN19" s="5"/>
      <c r="CO19" s="3"/>
    </row>
    <row r="20" spans="1:102" ht="13.5" customHeight="1" x14ac:dyDescent="0.35">
      <c r="A20" s="3" t="s">
        <v>129</v>
      </c>
      <c r="B20" s="3">
        <f t="shared" si="1"/>
        <v>2017</v>
      </c>
      <c r="C20" s="3">
        <v>2017</v>
      </c>
      <c r="D20" s="3" t="s">
        <v>349</v>
      </c>
      <c r="E20" s="6">
        <v>0.30580000000000002</v>
      </c>
      <c r="F20" s="6">
        <v>0.2213</v>
      </c>
      <c r="G20" s="6">
        <v>8.4500000000000006E-2</v>
      </c>
      <c r="H20" s="16"/>
      <c r="I20" s="6" t="s">
        <v>357</v>
      </c>
      <c r="J20" s="6" t="s">
        <v>357</v>
      </c>
      <c r="K20" s="6"/>
      <c r="L20" s="5">
        <v>6365000</v>
      </c>
      <c r="M20" s="6"/>
      <c r="N20" s="6"/>
      <c r="O20" s="6"/>
      <c r="P20" s="6"/>
      <c r="Q20" s="6">
        <v>0.2213</v>
      </c>
      <c r="R20" s="6">
        <v>8.4500000000000006E-2</v>
      </c>
      <c r="S20" s="3" t="s">
        <v>351</v>
      </c>
      <c r="T20" s="6"/>
      <c r="U20" s="6"/>
      <c r="V20" s="3" t="s">
        <v>352</v>
      </c>
      <c r="W20" s="3" t="s">
        <v>257</v>
      </c>
      <c r="X20" s="3" t="s">
        <v>353</v>
      </c>
      <c r="Y20" s="6"/>
      <c r="Z20" s="6"/>
      <c r="AA20" s="6" t="s">
        <v>383</v>
      </c>
      <c r="AB20" s="6" t="s">
        <v>350</v>
      </c>
      <c r="AC20" s="6" t="s">
        <v>350</v>
      </c>
      <c r="AD20" s="3"/>
      <c r="AE20" s="6" t="s">
        <v>350</v>
      </c>
      <c r="AF20" s="6" t="s">
        <v>350</v>
      </c>
      <c r="AG20" s="6" t="s">
        <v>350</v>
      </c>
      <c r="AH20" s="6" t="s">
        <v>350</v>
      </c>
      <c r="AI20" s="6">
        <v>2.75E-2</v>
      </c>
      <c r="AJ20" s="6">
        <v>7.4999999999999997E-2</v>
      </c>
      <c r="AK20" s="6">
        <f t="shared" si="2"/>
        <v>3.325E-4</v>
      </c>
      <c r="AL20" s="6">
        <v>3.5000000000000003E-2</v>
      </c>
      <c r="AM20" s="3" t="s">
        <v>384</v>
      </c>
      <c r="AN20" s="3" t="s">
        <v>385</v>
      </c>
      <c r="AO20" s="3" t="s">
        <v>386</v>
      </c>
      <c r="AP20" s="3">
        <v>2000</v>
      </c>
      <c r="AQ20" s="3" t="s">
        <v>382</v>
      </c>
      <c r="AR20" s="3"/>
      <c r="AS20" s="3"/>
      <c r="AT20" s="3" t="s">
        <v>357</v>
      </c>
      <c r="AU20" s="3" t="s">
        <v>357</v>
      </c>
      <c r="AV20" s="3" t="s">
        <v>358</v>
      </c>
      <c r="AW20" s="6">
        <v>7.4999999999999997E-2</v>
      </c>
      <c r="AX20" s="6" t="s">
        <v>350</v>
      </c>
      <c r="AY20" s="6">
        <v>7.4999999999999997E-2</v>
      </c>
      <c r="AZ20" s="3" t="s">
        <v>362</v>
      </c>
      <c r="BA20" s="6"/>
      <c r="BB20" s="6"/>
      <c r="BC20" s="6">
        <f>551000/1210917000</f>
        <v>4.5502705800645299E-4</v>
      </c>
      <c r="BD20" s="5" t="s">
        <v>350</v>
      </c>
      <c r="BE20" s="5">
        <v>1144000000</v>
      </c>
      <c r="BF20" s="5">
        <v>1245000000</v>
      </c>
      <c r="BG20" s="5">
        <v>100000000</v>
      </c>
      <c r="BH20" s="6">
        <v>0.92</v>
      </c>
      <c r="BI20" s="5"/>
      <c r="BJ20" s="35">
        <v>-7700000</v>
      </c>
      <c r="BK20" s="35"/>
      <c r="BO20" s="3"/>
      <c r="BP20" s="5"/>
      <c r="BQ20" s="5"/>
      <c r="BR20" s="5"/>
      <c r="BS20" s="5"/>
      <c r="BT20" s="5"/>
      <c r="BU20" s="5"/>
      <c r="BV20" s="5"/>
      <c r="BW20" s="5"/>
      <c r="BX20" s="35">
        <v>500000</v>
      </c>
      <c r="BY20" s="35">
        <v>22800000</v>
      </c>
      <c r="BZ20" s="5"/>
      <c r="CA20" s="5"/>
      <c r="CB20" s="35">
        <v>0</v>
      </c>
      <c r="CC20" s="5"/>
      <c r="CD20" s="5"/>
      <c r="CE20" s="5"/>
      <c r="CF20" s="5"/>
      <c r="CG20" s="35">
        <v>15600000</v>
      </c>
      <c r="CH20" s="5"/>
      <c r="CI20" s="5"/>
      <c r="CJ20" s="5"/>
      <c r="CK20" s="5"/>
      <c r="CL20" s="5"/>
      <c r="CM20" s="5"/>
      <c r="CN20" s="5"/>
      <c r="CO20" s="3"/>
    </row>
    <row r="21" spans="1:102" ht="13.5" customHeight="1" x14ac:dyDescent="0.35">
      <c r="A21" s="3" t="s">
        <v>129</v>
      </c>
      <c r="B21" s="3">
        <f t="shared" si="1"/>
        <v>2018</v>
      </c>
      <c r="C21" s="3">
        <v>2018</v>
      </c>
      <c r="D21" s="3" t="s">
        <v>349</v>
      </c>
      <c r="E21" s="6">
        <v>0.28860000000000002</v>
      </c>
      <c r="F21" s="6">
        <v>0.2041</v>
      </c>
      <c r="G21" s="6">
        <v>8.4500000000000006E-2</v>
      </c>
      <c r="H21" s="16"/>
      <c r="I21" s="6" t="s">
        <v>357</v>
      </c>
      <c r="J21" s="6" t="s">
        <v>357</v>
      </c>
      <c r="K21" s="6"/>
      <c r="L21" s="5">
        <v>8308000</v>
      </c>
      <c r="M21" s="6"/>
      <c r="N21" s="6"/>
      <c r="O21" s="6"/>
      <c r="P21" s="6"/>
      <c r="Q21" s="6">
        <v>0.121</v>
      </c>
      <c r="R21" s="6">
        <v>8.4500000000000006E-2</v>
      </c>
      <c r="S21" s="3" t="s">
        <v>351</v>
      </c>
      <c r="T21" s="6"/>
      <c r="U21" s="6"/>
      <c r="V21" s="3" t="s">
        <v>352</v>
      </c>
      <c r="W21" s="3" t="s">
        <v>257</v>
      </c>
      <c r="X21" s="3" t="s">
        <v>353</v>
      </c>
      <c r="Y21" s="6"/>
      <c r="Z21" s="6"/>
      <c r="AA21" s="6" t="s">
        <v>383</v>
      </c>
      <c r="AB21" s="6" t="s">
        <v>350</v>
      </c>
      <c r="AC21" s="6" t="s">
        <v>350</v>
      </c>
      <c r="AD21" s="3"/>
      <c r="AE21" s="6" t="s">
        <v>350</v>
      </c>
      <c r="AF21" s="6" t="s">
        <v>350</v>
      </c>
      <c r="AG21" s="6" t="s">
        <v>350</v>
      </c>
      <c r="AH21" s="6" t="s">
        <v>350</v>
      </c>
      <c r="AI21" s="6">
        <v>2.75E-2</v>
      </c>
      <c r="AJ21" s="6">
        <v>7.4999999999999997E-2</v>
      </c>
      <c r="AK21" s="6">
        <f t="shared" si="2"/>
        <v>3.325E-4</v>
      </c>
      <c r="AL21" s="6">
        <v>3.5000000000000003E-2</v>
      </c>
      <c r="AM21" s="3" t="s">
        <v>391</v>
      </c>
      <c r="AN21" s="3" t="s">
        <v>392</v>
      </c>
      <c r="AO21" s="3" t="s">
        <v>386</v>
      </c>
      <c r="AP21" s="3">
        <v>2000</v>
      </c>
      <c r="AQ21" s="3" t="s">
        <v>382</v>
      </c>
      <c r="AR21" s="3"/>
      <c r="AS21" s="3"/>
      <c r="AT21" s="3" t="s">
        <v>357</v>
      </c>
      <c r="AU21" s="3" t="s">
        <v>357</v>
      </c>
      <c r="AV21" s="3" t="s">
        <v>358</v>
      </c>
      <c r="AW21" s="6">
        <v>7.4999999999999997E-2</v>
      </c>
      <c r="AX21" s="6" t="s">
        <v>350</v>
      </c>
      <c r="AY21" s="6">
        <v>7.4999999999999997E-2</v>
      </c>
      <c r="AZ21" s="3" t="s">
        <v>362</v>
      </c>
      <c r="BA21" s="6"/>
      <c r="BB21" s="6"/>
      <c r="BC21" s="6">
        <f>592000/1289598000</f>
        <v>4.5905778389854825E-4</v>
      </c>
      <c r="BD21" s="5" t="s">
        <v>350</v>
      </c>
      <c r="BE21" s="5">
        <v>1215000000</v>
      </c>
      <c r="BF21" s="5">
        <v>1302000000</v>
      </c>
      <c r="BG21" s="5">
        <v>87000000</v>
      </c>
      <c r="BH21" s="6">
        <v>0.93</v>
      </c>
      <c r="BI21" s="5"/>
      <c r="BJ21" s="35">
        <v>-13900000</v>
      </c>
      <c r="BK21" s="35"/>
      <c r="BO21" s="3"/>
      <c r="BP21" s="5"/>
      <c r="BQ21" s="5"/>
      <c r="BR21" s="5"/>
      <c r="BS21" s="5"/>
      <c r="BT21" s="5"/>
      <c r="BU21" s="5"/>
      <c r="BV21" s="5"/>
      <c r="BW21" s="5"/>
      <c r="BX21" s="35">
        <v>-900000</v>
      </c>
      <c r="BY21" s="35">
        <v>-1500000</v>
      </c>
      <c r="BZ21" s="5"/>
      <c r="CA21" s="5"/>
      <c r="CB21" s="35">
        <v>0</v>
      </c>
      <c r="CC21" s="5"/>
      <c r="CD21" s="5"/>
      <c r="CE21" s="5"/>
      <c r="CF21" s="5"/>
      <c r="CG21" s="35">
        <v>-16300000</v>
      </c>
      <c r="CH21" s="5"/>
      <c r="CI21" s="5"/>
      <c r="CJ21" s="5"/>
      <c r="CK21" s="5"/>
      <c r="CL21" s="5"/>
      <c r="CM21" s="5"/>
      <c r="CN21" s="5"/>
      <c r="CO21" s="3"/>
    </row>
    <row r="22" spans="1:102" ht="13.5" customHeight="1" x14ac:dyDescent="0.35">
      <c r="A22" s="3" t="s">
        <v>129</v>
      </c>
      <c r="B22" s="3">
        <v>2019</v>
      </c>
      <c r="C22" s="3">
        <v>2019</v>
      </c>
      <c r="D22" s="3" t="s">
        <v>349</v>
      </c>
      <c r="E22" s="6">
        <v>0.27179999999999999</v>
      </c>
      <c r="F22" s="6">
        <v>0.1857</v>
      </c>
      <c r="G22" s="6">
        <v>8.6099999999999996E-2</v>
      </c>
      <c r="H22" s="16"/>
      <c r="I22" s="6" t="s">
        <v>357</v>
      </c>
      <c r="J22" s="6" t="s">
        <v>357</v>
      </c>
      <c r="K22" s="6"/>
      <c r="L22" s="5">
        <v>8581000</v>
      </c>
      <c r="M22" s="6"/>
      <c r="N22" s="6"/>
      <c r="O22" s="6"/>
      <c r="P22" s="6"/>
      <c r="Q22" s="6">
        <v>0.1857</v>
      </c>
      <c r="R22" s="6">
        <v>8.6099999999999996E-2</v>
      </c>
      <c r="S22" s="3" t="s">
        <v>351</v>
      </c>
      <c r="T22" s="6"/>
      <c r="U22" s="6"/>
      <c r="V22" s="3" t="s">
        <v>352</v>
      </c>
      <c r="W22" s="3" t="s">
        <v>257</v>
      </c>
      <c r="X22" s="3" t="s">
        <v>353</v>
      </c>
      <c r="Y22" s="6"/>
      <c r="Z22" s="6"/>
      <c r="AA22" s="6" t="s">
        <v>383</v>
      </c>
      <c r="AB22" s="3"/>
      <c r="AC22" s="3"/>
      <c r="AD22" s="3"/>
      <c r="AE22" s="3"/>
      <c r="AF22" s="3"/>
      <c r="AG22" s="3"/>
      <c r="AH22" s="3"/>
      <c r="AI22" s="6">
        <v>2.75E-2</v>
      </c>
      <c r="AJ22" s="6">
        <v>7.4999999999999997E-2</v>
      </c>
      <c r="AK22" s="6">
        <f t="shared" si="2"/>
        <v>3.325E-4</v>
      </c>
      <c r="AL22" s="6">
        <v>3.5000000000000003E-2</v>
      </c>
      <c r="AM22" s="3" t="s">
        <v>393</v>
      </c>
      <c r="AN22" s="3" t="s">
        <v>391</v>
      </c>
      <c r="AO22" s="3" t="s">
        <v>386</v>
      </c>
      <c r="AP22" s="3">
        <v>2000</v>
      </c>
      <c r="AQ22" s="3" t="s">
        <v>382</v>
      </c>
      <c r="AR22" s="3"/>
      <c r="AS22" s="3"/>
      <c r="AT22" s="3" t="s">
        <v>357</v>
      </c>
      <c r="AU22" s="3" t="s">
        <v>357</v>
      </c>
      <c r="AV22" s="3" t="s">
        <v>358</v>
      </c>
      <c r="AW22" s="6">
        <v>7.4999999999999997E-2</v>
      </c>
      <c r="AX22" s="6" t="s">
        <v>350</v>
      </c>
      <c r="AY22" s="6">
        <v>7.4999999999999997E-2</v>
      </c>
      <c r="AZ22" s="3" t="s">
        <v>362</v>
      </c>
      <c r="BA22" s="6"/>
      <c r="BB22" s="6"/>
      <c r="BC22" s="6">
        <f>619000/1362507000</f>
        <v>4.5430959253787322E-4</v>
      </c>
      <c r="BD22" s="5" t="s">
        <v>350</v>
      </c>
      <c r="BE22" s="5">
        <v>1301000000</v>
      </c>
      <c r="BF22" s="5">
        <v>1370000000</v>
      </c>
      <c r="BG22" s="5">
        <v>70000000</v>
      </c>
      <c r="BH22" s="6">
        <v>0.95</v>
      </c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3"/>
    </row>
    <row r="23" spans="1:102" ht="13.5" customHeight="1" x14ac:dyDescent="0.35">
      <c r="A23" s="3"/>
      <c r="B23" s="3"/>
      <c r="C23" s="3"/>
      <c r="D23" s="3"/>
      <c r="E23" s="3"/>
      <c r="F23" s="3"/>
      <c r="G23" s="3"/>
      <c r="H23" s="3"/>
      <c r="I23" s="3"/>
      <c r="J23" s="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</row>
    <row r="24" spans="1:102" ht="13.5" customHeight="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17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17"/>
      <c r="CQ24" s="17"/>
      <c r="CR24" s="17"/>
      <c r="CS24" s="17"/>
      <c r="CT24" s="17"/>
      <c r="CU24" s="17"/>
      <c r="CV24" s="17"/>
      <c r="CW24" s="17"/>
      <c r="CX24" s="17"/>
    </row>
    <row r="25" spans="1:102" ht="13.5" customHeight="1" x14ac:dyDescent="0.35">
      <c r="A25" s="3" t="s">
        <v>394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</row>
    <row r="26" spans="1:102" ht="13.5" customHeight="1" x14ac:dyDescent="0.35">
      <c r="A26" s="3" t="s">
        <v>129</v>
      </c>
      <c r="B26" s="3">
        <v>2001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 t="s">
        <v>395</v>
      </c>
      <c r="AJ26" s="3" t="s">
        <v>395</v>
      </c>
      <c r="AK26" s="3" t="s">
        <v>395</v>
      </c>
      <c r="AL26" s="3" t="s">
        <v>395</v>
      </c>
      <c r="AM26" s="3"/>
      <c r="AN26" s="3"/>
      <c r="AO26" s="3"/>
      <c r="AP26" s="3"/>
      <c r="AQ26" s="3"/>
      <c r="AR26" s="3"/>
      <c r="AS26" s="3"/>
      <c r="AU26" s="3"/>
      <c r="AV26" s="3"/>
      <c r="AW26" s="3" t="s">
        <v>395</v>
      </c>
      <c r="AX26" s="3"/>
      <c r="AY26" s="3" t="s">
        <v>395</v>
      </c>
      <c r="AZ26" s="3"/>
      <c r="BA26" s="3" t="s">
        <v>396</v>
      </c>
      <c r="BB26" s="3" t="s">
        <v>396</v>
      </c>
      <c r="BC26" s="3"/>
      <c r="BE26" s="3" t="s">
        <v>397</v>
      </c>
      <c r="BF26" s="3" t="s">
        <v>397</v>
      </c>
      <c r="BG26" s="3" t="s">
        <v>397</v>
      </c>
      <c r="BH26" s="3" t="s">
        <v>397</v>
      </c>
      <c r="BI26" s="3" t="s">
        <v>396</v>
      </c>
      <c r="BJ26" s="34" t="s">
        <v>828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4" t="s">
        <v>828</v>
      </c>
      <c r="BY26" s="34" t="s">
        <v>828</v>
      </c>
      <c r="BZ26" s="3"/>
      <c r="CA26" s="3"/>
      <c r="CB26" s="34" t="s">
        <v>828</v>
      </c>
      <c r="CC26" s="3"/>
      <c r="CD26" s="3"/>
      <c r="CE26" s="3"/>
      <c r="CF26" s="3"/>
      <c r="CG26" s="34" t="s">
        <v>828</v>
      </c>
      <c r="CH26" s="3"/>
      <c r="CI26" s="3"/>
      <c r="CJ26" s="3"/>
      <c r="CK26" s="3"/>
      <c r="CL26" s="3"/>
      <c r="CM26" s="3"/>
      <c r="CN26" s="3"/>
      <c r="CO26" s="3"/>
    </row>
    <row r="27" spans="1:102" ht="13.5" customHeight="1" x14ac:dyDescent="0.35">
      <c r="A27" s="3" t="s">
        <v>129</v>
      </c>
      <c r="B27" s="3">
        <f t="shared" ref="B27:B43" si="3">B26+1</f>
        <v>2002</v>
      </c>
      <c r="C27" s="3"/>
      <c r="D27" s="3"/>
      <c r="E27" s="3" t="s">
        <v>398</v>
      </c>
      <c r="F27" s="3" t="s">
        <v>398</v>
      </c>
      <c r="G27" s="3" t="s">
        <v>398</v>
      </c>
      <c r="H27" s="3"/>
      <c r="I27" s="3" t="s">
        <v>398</v>
      </c>
      <c r="J27" s="3" t="s">
        <v>398</v>
      </c>
      <c r="K27" s="3"/>
      <c r="L27" s="3" t="s">
        <v>399</v>
      </c>
      <c r="M27" s="3"/>
      <c r="N27" s="3"/>
      <c r="O27" s="3"/>
      <c r="P27" s="3"/>
      <c r="Q27" s="3" t="s">
        <v>398</v>
      </c>
      <c r="R27" s="3" t="s">
        <v>398</v>
      </c>
      <c r="S27" s="3" t="s">
        <v>400</v>
      </c>
      <c r="T27" s="3"/>
      <c r="U27" s="3"/>
      <c r="V27" s="3" t="s">
        <v>400</v>
      </c>
      <c r="W27" s="3" t="s">
        <v>401</v>
      </c>
      <c r="X27" s="3" t="s">
        <v>401</v>
      </c>
      <c r="Y27" s="3" t="s">
        <v>401</v>
      </c>
      <c r="Z27" s="3"/>
      <c r="AB27" s="3"/>
      <c r="AC27" s="3"/>
      <c r="AD27" s="3"/>
      <c r="AE27" s="3"/>
      <c r="AF27" s="3"/>
      <c r="AG27" s="3"/>
      <c r="AH27" s="3"/>
      <c r="AI27" s="3" t="s">
        <v>401</v>
      </c>
      <c r="AJ27" s="3" t="s">
        <v>401</v>
      </c>
      <c r="AK27" s="3" t="s">
        <v>401</v>
      </c>
      <c r="AL27" s="3" t="s">
        <v>401</v>
      </c>
      <c r="AM27" s="3"/>
      <c r="AN27" s="3"/>
      <c r="AO27" s="3" t="s">
        <v>402</v>
      </c>
      <c r="AP27" s="3" t="s">
        <v>402</v>
      </c>
      <c r="AQ27" s="3"/>
      <c r="AR27" s="3"/>
      <c r="AS27" s="3"/>
      <c r="AT27" s="3" t="s">
        <v>403</v>
      </c>
      <c r="AU27" s="3" t="s">
        <v>403</v>
      </c>
      <c r="AV27" s="3" t="s">
        <v>403</v>
      </c>
      <c r="AW27" s="3" t="s">
        <v>401</v>
      </c>
      <c r="AX27" s="3"/>
      <c r="AY27" s="3" t="s">
        <v>401</v>
      </c>
      <c r="AZ27" s="3" t="s">
        <v>403</v>
      </c>
      <c r="BA27" s="3" t="s">
        <v>396</v>
      </c>
      <c r="BB27" s="3" t="s">
        <v>396</v>
      </c>
      <c r="BC27" s="3" t="s">
        <v>399</v>
      </c>
      <c r="BE27" s="3" t="s">
        <v>396</v>
      </c>
      <c r="BF27" s="3" t="s">
        <v>396</v>
      </c>
      <c r="BG27" s="3" t="s">
        <v>396</v>
      </c>
      <c r="BH27" s="3" t="s">
        <v>396</v>
      </c>
      <c r="BI27" s="3" t="s">
        <v>396</v>
      </c>
      <c r="BJ27" s="34" t="s">
        <v>829</v>
      </c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4" t="s">
        <v>829</v>
      </c>
      <c r="BY27" s="34" t="s">
        <v>829</v>
      </c>
      <c r="BZ27" s="3"/>
      <c r="CA27" s="3"/>
      <c r="CB27" s="34" t="s">
        <v>829</v>
      </c>
      <c r="CC27" s="3"/>
      <c r="CD27" s="3"/>
      <c r="CE27" s="3"/>
      <c r="CF27" s="3"/>
      <c r="CG27" s="34" t="s">
        <v>829</v>
      </c>
      <c r="CH27" s="3"/>
      <c r="CI27" s="3"/>
      <c r="CJ27" s="3"/>
      <c r="CK27" s="3"/>
      <c r="CL27" s="3"/>
      <c r="CM27" s="3"/>
      <c r="CN27" s="3"/>
      <c r="CO27" s="3"/>
    </row>
    <row r="28" spans="1:102" ht="13.5" customHeight="1" x14ac:dyDescent="0.35">
      <c r="A28" s="3" t="s">
        <v>129</v>
      </c>
      <c r="B28" s="3">
        <f t="shared" si="3"/>
        <v>2003</v>
      </c>
      <c r="C28" s="3" t="s">
        <v>404</v>
      </c>
      <c r="D28" s="3"/>
      <c r="E28" s="3" t="s">
        <v>405</v>
      </c>
      <c r="F28" s="3" t="s">
        <v>405</v>
      </c>
      <c r="G28" s="3" t="s">
        <v>405</v>
      </c>
      <c r="H28" s="3"/>
      <c r="I28" s="3" t="s">
        <v>405</v>
      </c>
      <c r="J28" s="3" t="s">
        <v>405</v>
      </c>
      <c r="K28" s="3"/>
      <c r="L28" s="3" t="s">
        <v>406</v>
      </c>
      <c r="M28" s="3"/>
      <c r="N28" s="3"/>
      <c r="O28" s="3"/>
      <c r="P28" s="3"/>
      <c r="Q28" s="3" t="s">
        <v>405</v>
      </c>
      <c r="R28" s="3" t="s">
        <v>405</v>
      </c>
      <c r="S28" s="3" t="s">
        <v>407</v>
      </c>
      <c r="T28" s="3"/>
      <c r="U28" s="3"/>
      <c r="V28" s="3" t="s">
        <v>407</v>
      </c>
      <c r="W28" s="3" t="s">
        <v>408</v>
      </c>
      <c r="X28" s="3" t="s">
        <v>408</v>
      </c>
      <c r="Y28" s="3" t="s">
        <v>408</v>
      </c>
      <c r="Z28" s="3"/>
      <c r="AB28" s="3"/>
      <c r="AC28" s="3"/>
      <c r="AD28" s="3"/>
      <c r="AE28" s="3"/>
      <c r="AF28" s="3"/>
      <c r="AG28" s="3"/>
      <c r="AH28" s="3"/>
      <c r="AI28" s="3" t="s">
        <v>408</v>
      </c>
      <c r="AJ28" s="3" t="s">
        <v>408</v>
      </c>
      <c r="AK28" s="3" t="s">
        <v>408</v>
      </c>
      <c r="AL28" s="3" t="s">
        <v>408</v>
      </c>
      <c r="AM28" s="3"/>
      <c r="AN28" s="3"/>
      <c r="AO28" s="3" t="s">
        <v>409</v>
      </c>
      <c r="AP28" s="3" t="s">
        <v>409</v>
      </c>
      <c r="AQ28" s="3"/>
      <c r="AR28" s="3"/>
      <c r="AS28" s="3"/>
      <c r="AT28" s="3" t="s">
        <v>410</v>
      </c>
      <c r="AU28" s="3" t="s">
        <v>410</v>
      </c>
      <c r="AV28" s="3" t="s">
        <v>410</v>
      </c>
      <c r="AW28" s="3" t="s">
        <v>408</v>
      </c>
      <c r="AX28" s="3"/>
      <c r="AY28" s="3" t="s">
        <v>408</v>
      </c>
      <c r="AZ28" s="3" t="s">
        <v>410</v>
      </c>
      <c r="BA28" s="3" t="s">
        <v>411</v>
      </c>
      <c r="BB28" s="3" t="s">
        <v>411</v>
      </c>
      <c r="BC28" s="3" t="s">
        <v>406</v>
      </c>
      <c r="BE28" s="3" t="s">
        <v>411</v>
      </c>
      <c r="BF28" s="3" t="s">
        <v>411</v>
      </c>
      <c r="BG28" s="3" t="s">
        <v>411</v>
      </c>
      <c r="BH28" s="3" t="s">
        <v>411</v>
      </c>
      <c r="BI28" s="3" t="s">
        <v>411</v>
      </c>
      <c r="BJ28" s="34" t="s">
        <v>830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4" t="s">
        <v>830</v>
      </c>
      <c r="BY28" s="34" t="s">
        <v>830</v>
      </c>
      <c r="BZ28" s="3"/>
      <c r="CA28" s="3"/>
      <c r="CB28" s="34" t="s">
        <v>830</v>
      </c>
      <c r="CC28" s="3"/>
      <c r="CD28" s="3"/>
      <c r="CE28" s="3"/>
      <c r="CF28" s="3"/>
      <c r="CG28" s="34" t="s">
        <v>830</v>
      </c>
      <c r="CH28" s="3"/>
      <c r="CI28" s="3"/>
      <c r="CJ28" s="3"/>
      <c r="CK28" s="3"/>
      <c r="CL28" s="3"/>
      <c r="CM28" s="3"/>
      <c r="CN28" s="3"/>
      <c r="CO28" s="3"/>
    </row>
    <row r="29" spans="1:102" ht="13.5" customHeight="1" x14ac:dyDescent="0.35">
      <c r="A29" s="3" t="s">
        <v>129</v>
      </c>
      <c r="B29" s="3">
        <f t="shared" si="3"/>
        <v>2004</v>
      </c>
      <c r="C29" s="3" t="s">
        <v>412</v>
      </c>
      <c r="D29" s="3"/>
      <c r="E29" s="3" t="s">
        <v>413</v>
      </c>
      <c r="F29" s="3" t="s">
        <v>413</v>
      </c>
      <c r="G29" s="3" t="s">
        <v>413</v>
      </c>
      <c r="H29" s="3"/>
      <c r="I29" s="3" t="s">
        <v>413</v>
      </c>
      <c r="J29" s="3" t="s">
        <v>413</v>
      </c>
      <c r="K29" s="3"/>
      <c r="L29" s="3" t="s">
        <v>414</v>
      </c>
      <c r="M29" s="3"/>
      <c r="N29" s="3"/>
      <c r="O29" s="3"/>
      <c r="P29" s="3"/>
      <c r="Q29" s="3" t="s">
        <v>413</v>
      </c>
      <c r="R29" s="3" t="s">
        <v>413</v>
      </c>
      <c r="S29" s="3" t="s">
        <v>415</v>
      </c>
      <c r="T29" s="3"/>
      <c r="U29" s="3"/>
      <c r="V29" s="3" t="s">
        <v>415</v>
      </c>
      <c r="W29" s="3" t="s">
        <v>416</v>
      </c>
      <c r="X29" s="3" t="s">
        <v>416</v>
      </c>
      <c r="Y29" s="3" t="s">
        <v>416</v>
      </c>
      <c r="Z29" s="3"/>
      <c r="AB29" s="3"/>
      <c r="AC29" s="3"/>
      <c r="AD29" s="3"/>
      <c r="AE29" s="3"/>
      <c r="AF29" s="3"/>
      <c r="AG29" s="3"/>
      <c r="AH29" s="3"/>
      <c r="AI29" s="3" t="s">
        <v>416</v>
      </c>
      <c r="AJ29" s="3" t="s">
        <v>416</v>
      </c>
      <c r="AK29" s="3" t="s">
        <v>416</v>
      </c>
      <c r="AL29" s="3" t="s">
        <v>416</v>
      </c>
      <c r="AM29" s="3"/>
      <c r="AN29" s="3"/>
      <c r="AO29" s="3" t="s">
        <v>417</v>
      </c>
      <c r="AP29" s="3" t="s">
        <v>417</v>
      </c>
      <c r="AQ29" s="3"/>
      <c r="AR29" s="3"/>
      <c r="AS29" s="3"/>
      <c r="AT29" s="3" t="s">
        <v>418</v>
      </c>
      <c r="AU29" s="3" t="s">
        <v>418</v>
      </c>
      <c r="AV29" s="3" t="s">
        <v>418</v>
      </c>
      <c r="AW29" s="3" t="s">
        <v>416</v>
      </c>
      <c r="AX29" s="3"/>
      <c r="AY29" s="3" t="s">
        <v>416</v>
      </c>
      <c r="AZ29" s="3" t="s">
        <v>418</v>
      </c>
      <c r="BA29" s="3" t="s">
        <v>419</v>
      </c>
      <c r="BB29" s="3" t="s">
        <v>419</v>
      </c>
      <c r="BC29" s="3" t="s">
        <v>414</v>
      </c>
      <c r="BE29" s="3" t="s">
        <v>419</v>
      </c>
      <c r="BF29" s="3" t="s">
        <v>419</v>
      </c>
      <c r="BG29" s="3" t="s">
        <v>419</v>
      </c>
      <c r="BH29" s="3" t="s">
        <v>419</v>
      </c>
      <c r="BI29" s="3" t="s">
        <v>419</v>
      </c>
      <c r="BJ29" s="34" t="s">
        <v>831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4" t="s">
        <v>831</v>
      </c>
      <c r="BY29" s="34" t="s">
        <v>831</v>
      </c>
      <c r="BZ29" s="3"/>
      <c r="CA29" s="3"/>
      <c r="CB29" s="34" t="s">
        <v>831</v>
      </c>
      <c r="CC29" s="3"/>
      <c r="CD29" s="3"/>
      <c r="CE29" s="3"/>
      <c r="CF29" s="3"/>
      <c r="CG29" s="34" t="s">
        <v>831</v>
      </c>
      <c r="CH29" s="3"/>
      <c r="CI29" s="3"/>
      <c r="CJ29" s="3"/>
      <c r="CK29" s="3"/>
      <c r="CL29" s="3"/>
      <c r="CM29" s="3"/>
      <c r="CN29" s="3"/>
      <c r="CO29" s="3"/>
    </row>
    <row r="30" spans="1:102" ht="13.5" customHeight="1" x14ac:dyDescent="0.35">
      <c r="A30" s="3" t="s">
        <v>129</v>
      </c>
      <c r="B30" s="3">
        <f t="shared" si="3"/>
        <v>2005</v>
      </c>
      <c r="C30" s="3" t="s">
        <v>420</v>
      </c>
      <c r="D30" s="3"/>
      <c r="E30" s="3" t="s">
        <v>421</v>
      </c>
      <c r="F30" s="3" t="s">
        <v>421</v>
      </c>
      <c r="G30" s="3" t="s">
        <v>421</v>
      </c>
      <c r="H30" s="3"/>
      <c r="I30" s="3" t="s">
        <v>421</v>
      </c>
      <c r="J30" s="3" t="s">
        <v>421</v>
      </c>
      <c r="K30" s="3"/>
      <c r="L30" s="3" t="s">
        <v>422</v>
      </c>
      <c r="M30" s="3"/>
      <c r="N30" s="3"/>
      <c r="O30" s="3"/>
      <c r="P30" s="3"/>
      <c r="Q30" s="3" t="s">
        <v>421</v>
      </c>
      <c r="R30" s="3" t="s">
        <v>421</v>
      </c>
      <c r="S30" s="3" t="s">
        <v>423</v>
      </c>
      <c r="T30" s="3"/>
      <c r="U30" s="3"/>
      <c r="V30" s="3" t="s">
        <v>423</v>
      </c>
      <c r="W30" s="3" t="s">
        <v>424</v>
      </c>
      <c r="X30" s="3" t="s">
        <v>424</v>
      </c>
      <c r="Y30" s="3" t="s">
        <v>424</v>
      </c>
      <c r="Z30" s="3"/>
      <c r="AB30" s="3"/>
      <c r="AC30" s="3"/>
      <c r="AD30" s="3"/>
      <c r="AE30" s="3"/>
      <c r="AF30" s="3"/>
      <c r="AG30" s="3"/>
      <c r="AH30" s="3"/>
      <c r="AI30" s="3" t="s">
        <v>424</v>
      </c>
      <c r="AJ30" s="3" t="s">
        <v>424</v>
      </c>
      <c r="AK30" s="3" t="s">
        <v>424</v>
      </c>
      <c r="AL30" s="3" t="s">
        <v>424</v>
      </c>
      <c r="AM30" s="3"/>
      <c r="AN30" s="3"/>
      <c r="AO30" s="3" t="s">
        <v>425</v>
      </c>
      <c r="AP30" s="3" t="s">
        <v>425</v>
      </c>
      <c r="AQ30" s="3"/>
      <c r="AR30" s="3"/>
      <c r="AS30" s="3"/>
      <c r="AT30" s="3" t="s">
        <v>426</v>
      </c>
      <c r="AU30" s="3" t="s">
        <v>426</v>
      </c>
      <c r="AV30" s="3" t="s">
        <v>426</v>
      </c>
      <c r="AW30" s="3" t="s">
        <v>424</v>
      </c>
      <c r="AX30" s="3"/>
      <c r="AY30" s="3" t="s">
        <v>424</v>
      </c>
      <c r="AZ30" s="3" t="s">
        <v>426</v>
      </c>
      <c r="BA30" s="3" t="s">
        <v>427</v>
      </c>
      <c r="BB30" s="3" t="s">
        <v>427</v>
      </c>
      <c r="BC30" s="3" t="s">
        <v>422</v>
      </c>
      <c r="BE30" s="3" t="s">
        <v>427</v>
      </c>
      <c r="BF30" s="3" t="s">
        <v>427</v>
      </c>
      <c r="BG30" s="3" t="s">
        <v>427</v>
      </c>
      <c r="BH30" s="3" t="s">
        <v>427</v>
      </c>
      <c r="BI30" s="3" t="s">
        <v>427</v>
      </c>
      <c r="BJ30" s="34" t="s">
        <v>832</v>
      </c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4" t="s">
        <v>832</v>
      </c>
      <c r="BY30" s="34" t="s">
        <v>832</v>
      </c>
      <c r="BZ30" s="3"/>
      <c r="CA30" s="3"/>
      <c r="CB30" s="34" t="s">
        <v>832</v>
      </c>
      <c r="CC30" s="3"/>
      <c r="CD30" s="3"/>
      <c r="CE30" s="3"/>
      <c r="CF30" s="3"/>
      <c r="CG30" s="34" t="s">
        <v>832</v>
      </c>
      <c r="CH30" s="3"/>
      <c r="CI30" s="3"/>
      <c r="CJ30" s="3"/>
      <c r="CK30" s="3"/>
      <c r="CL30" s="3"/>
      <c r="CM30" s="3"/>
      <c r="CN30" s="3"/>
      <c r="CO30" s="3"/>
    </row>
    <row r="31" spans="1:102" ht="13.5" customHeight="1" x14ac:dyDescent="0.35">
      <c r="A31" s="3" t="s">
        <v>129</v>
      </c>
      <c r="B31" s="3">
        <f t="shared" si="3"/>
        <v>2006</v>
      </c>
      <c r="C31" s="3" t="s">
        <v>428</v>
      </c>
      <c r="D31" s="3"/>
      <c r="E31" s="3" t="s">
        <v>429</v>
      </c>
      <c r="F31" s="3" t="s">
        <v>429</v>
      </c>
      <c r="G31" s="3" t="s">
        <v>429</v>
      </c>
      <c r="H31" s="3"/>
      <c r="I31" s="3" t="s">
        <v>429</v>
      </c>
      <c r="J31" s="3" t="s">
        <v>429</v>
      </c>
      <c r="K31" s="3"/>
      <c r="L31" s="3" t="s">
        <v>430</v>
      </c>
      <c r="M31" s="3"/>
      <c r="N31" s="3"/>
      <c r="O31" s="3"/>
      <c r="P31" s="3"/>
      <c r="Q31" s="3" t="s">
        <v>429</v>
      </c>
      <c r="R31" s="3" t="s">
        <v>429</v>
      </c>
      <c r="S31" s="3" t="s">
        <v>431</v>
      </c>
      <c r="T31" s="3"/>
      <c r="U31" s="3"/>
      <c r="V31" s="3" t="s">
        <v>431</v>
      </c>
      <c r="W31" s="3" t="s">
        <v>432</v>
      </c>
      <c r="X31" s="3" t="s">
        <v>432</v>
      </c>
      <c r="Y31" s="3" t="s">
        <v>432</v>
      </c>
      <c r="Z31" s="3"/>
      <c r="AB31" s="3"/>
      <c r="AC31" s="3"/>
      <c r="AD31" s="3"/>
      <c r="AE31" s="3"/>
      <c r="AF31" s="3"/>
      <c r="AG31" s="3"/>
      <c r="AH31" s="3"/>
      <c r="AI31" s="3" t="s">
        <v>432</v>
      </c>
      <c r="AJ31" s="3" t="s">
        <v>432</v>
      </c>
      <c r="AK31" s="3" t="s">
        <v>432</v>
      </c>
      <c r="AL31" s="3" t="s">
        <v>432</v>
      </c>
      <c r="AM31" s="3"/>
      <c r="AN31" s="3"/>
      <c r="AO31" s="3" t="s">
        <v>433</v>
      </c>
      <c r="AP31" s="3" t="s">
        <v>433</v>
      </c>
      <c r="AQ31" s="3"/>
      <c r="AR31" s="3"/>
      <c r="AS31" s="3"/>
      <c r="AT31" s="3" t="s">
        <v>434</v>
      </c>
      <c r="AU31" s="3" t="s">
        <v>434</v>
      </c>
      <c r="AV31" s="3" t="s">
        <v>434</v>
      </c>
      <c r="AW31" s="3" t="s">
        <v>432</v>
      </c>
      <c r="AX31" s="3"/>
      <c r="AY31" s="3" t="s">
        <v>432</v>
      </c>
      <c r="AZ31" s="3" t="s">
        <v>434</v>
      </c>
      <c r="BA31" s="3" t="s">
        <v>435</v>
      </c>
      <c r="BB31" s="3" t="s">
        <v>435</v>
      </c>
      <c r="BC31" s="3" t="s">
        <v>430</v>
      </c>
      <c r="BE31" s="3" t="s">
        <v>435</v>
      </c>
      <c r="BF31" s="3" t="s">
        <v>435</v>
      </c>
      <c r="BG31" s="3" t="s">
        <v>435</v>
      </c>
      <c r="BH31" s="3" t="s">
        <v>435</v>
      </c>
      <c r="BI31" s="3" t="s">
        <v>435</v>
      </c>
      <c r="BJ31" s="34" t="s">
        <v>833</v>
      </c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4" t="s">
        <v>833</v>
      </c>
      <c r="BY31" s="34" t="s">
        <v>833</v>
      </c>
      <c r="BZ31" s="3"/>
      <c r="CA31" s="3"/>
      <c r="CB31" s="34" t="s">
        <v>833</v>
      </c>
      <c r="CC31" s="3"/>
      <c r="CD31" s="3"/>
      <c r="CE31" s="3"/>
      <c r="CF31" s="3"/>
      <c r="CG31" s="34" t="s">
        <v>833</v>
      </c>
      <c r="CH31" s="3"/>
      <c r="CI31" s="3"/>
      <c r="CJ31" s="3"/>
      <c r="CK31" s="3"/>
      <c r="CL31" s="3"/>
      <c r="CM31" s="3"/>
      <c r="CN31" s="3"/>
      <c r="CO31" s="3"/>
    </row>
    <row r="32" spans="1:102" ht="13.5" customHeight="1" x14ac:dyDescent="0.35">
      <c r="A32" s="3" t="s">
        <v>129</v>
      </c>
      <c r="B32" s="3">
        <f t="shared" si="3"/>
        <v>2007</v>
      </c>
      <c r="C32" s="3" t="s">
        <v>436</v>
      </c>
      <c r="D32" s="3"/>
      <c r="E32" s="3" t="s">
        <v>437</v>
      </c>
      <c r="F32" s="3" t="s">
        <v>437</v>
      </c>
      <c r="G32" s="3" t="s">
        <v>437</v>
      </c>
      <c r="H32" s="3"/>
      <c r="I32" s="3" t="s">
        <v>437</v>
      </c>
      <c r="J32" s="3" t="s">
        <v>437</v>
      </c>
      <c r="K32" s="3"/>
      <c r="L32" s="3" t="s">
        <v>438</v>
      </c>
      <c r="M32" s="3"/>
      <c r="N32" s="3"/>
      <c r="O32" s="3"/>
      <c r="P32" s="3"/>
      <c r="Q32" s="3" t="s">
        <v>437</v>
      </c>
      <c r="R32" s="3" t="s">
        <v>439</v>
      </c>
      <c r="S32" s="3" t="s">
        <v>440</v>
      </c>
      <c r="T32" s="3"/>
      <c r="U32" s="3"/>
      <c r="V32" s="3" t="s">
        <v>440</v>
      </c>
      <c r="W32" s="3" t="s">
        <v>441</v>
      </c>
      <c r="X32" s="3" t="s">
        <v>441</v>
      </c>
      <c r="Y32" s="3" t="s">
        <v>441</v>
      </c>
      <c r="Z32" s="3"/>
      <c r="AB32" s="3"/>
      <c r="AC32" s="3"/>
      <c r="AD32" s="3"/>
      <c r="AE32" s="3"/>
      <c r="AF32" s="3"/>
      <c r="AG32" s="3"/>
      <c r="AH32" s="3"/>
      <c r="AI32" s="3" t="s">
        <v>441</v>
      </c>
      <c r="AJ32" s="3" t="s">
        <v>441</v>
      </c>
      <c r="AK32" s="3" t="s">
        <v>441</v>
      </c>
      <c r="AL32" s="3" t="s">
        <v>441</v>
      </c>
      <c r="AM32" s="3"/>
      <c r="AN32" s="3"/>
      <c r="AO32" s="3" t="s">
        <v>442</v>
      </c>
      <c r="AP32" s="3" t="s">
        <v>442</v>
      </c>
      <c r="AQ32" s="3" t="s">
        <v>442</v>
      </c>
      <c r="AR32" s="3" t="s">
        <v>443</v>
      </c>
      <c r="AS32" s="3" t="s">
        <v>443</v>
      </c>
      <c r="AT32" s="3" t="s">
        <v>444</v>
      </c>
      <c r="AU32" s="3" t="s">
        <v>444</v>
      </c>
      <c r="AV32" s="3" t="s">
        <v>444</v>
      </c>
      <c r="AW32" s="3" t="s">
        <v>441</v>
      </c>
      <c r="AX32" s="3"/>
      <c r="AY32" s="3" t="s">
        <v>441</v>
      </c>
      <c r="AZ32" s="3" t="s">
        <v>444</v>
      </c>
      <c r="BA32" s="3" t="s">
        <v>445</v>
      </c>
      <c r="BB32" s="3" t="s">
        <v>445</v>
      </c>
      <c r="BC32" s="3" t="s">
        <v>438</v>
      </c>
      <c r="BE32" s="3" t="s">
        <v>445</v>
      </c>
      <c r="BF32" s="3" t="s">
        <v>445</v>
      </c>
      <c r="BG32" s="3" t="s">
        <v>445</v>
      </c>
      <c r="BH32" s="3" t="s">
        <v>445</v>
      </c>
      <c r="BI32" s="3" t="s">
        <v>445</v>
      </c>
      <c r="BJ32" s="34" t="s">
        <v>834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4" t="s">
        <v>834</v>
      </c>
      <c r="BY32" s="34" t="s">
        <v>834</v>
      </c>
      <c r="BZ32" s="3"/>
      <c r="CA32" s="3"/>
      <c r="CB32" s="34" t="s">
        <v>834</v>
      </c>
      <c r="CC32" s="3"/>
      <c r="CD32" s="3"/>
      <c r="CE32" s="3"/>
      <c r="CF32" s="3"/>
      <c r="CG32" s="34" t="s">
        <v>834</v>
      </c>
      <c r="CH32" s="3"/>
      <c r="CI32" s="3"/>
      <c r="CJ32" s="3"/>
      <c r="CK32" s="3"/>
      <c r="CL32" s="3"/>
      <c r="CM32" s="3"/>
      <c r="CN32" s="3"/>
      <c r="CO32" s="3"/>
    </row>
    <row r="33" spans="1:93" ht="13.5" customHeight="1" x14ac:dyDescent="0.35">
      <c r="A33" s="3" t="s">
        <v>129</v>
      </c>
      <c r="B33" s="3">
        <f t="shared" si="3"/>
        <v>2008</v>
      </c>
      <c r="C33" s="3" t="s">
        <v>446</v>
      </c>
      <c r="D33" s="3"/>
      <c r="E33" s="3" t="s">
        <v>447</v>
      </c>
      <c r="F33" s="3" t="s">
        <v>447</v>
      </c>
      <c r="G33" s="3" t="s">
        <v>447</v>
      </c>
      <c r="H33" s="3"/>
      <c r="I33" s="3" t="s">
        <v>447</v>
      </c>
      <c r="J33" s="3" t="s">
        <v>447</v>
      </c>
      <c r="K33" s="3"/>
      <c r="L33" s="3" t="s">
        <v>448</v>
      </c>
      <c r="M33" s="3"/>
      <c r="N33" s="3"/>
      <c r="O33" s="3"/>
      <c r="P33" s="3"/>
      <c r="Q33" s="3" t="s">
        <v>447</v>
      </c>
      <c r="R33" s="3" t="s">
        <v>446</v>
      </c>
      <c r="S33" s="3" t="s">
        <v>449</v>
      </c>
      <c r="T33" s="3"/>
      <c r="U33" s="3"/>
      <c r="V33" s="3" t="s">
        <v>449</v>
      </c>
      <c r="W33" s="3" t="s">
        <v>450</v>
      </c>
      <c r="X33" s="3" t="s">
        <v>450</v>
      </c>
      <c r="Y33" s="3" t="s">
        <v>450</v>
      </c>
      <c r="Z33" s="3"/>
      <c r="AB33" s="3"/>
      <c r="AC33" s="3"/>
      <c r="AD33" s="3"/>
      <c r="AE33" s="3"/>
      <c r="AF33" s="3"/>
      <c r="AG33" s="3"/>
      <c r="AH33" s="3"/>
      <c r="AI33" s="3" t="s">
        <v>450</v>
      </c>
      <c r="AJ33" s="3" t="s">
        <v>450</v>
      </c>
      <c r="AK33" s="3" t="s">
        <v>450</v>
      </c>
      <c r="AL33" s="3" t="s">
        <v>450</v>
      </c>
      <c r="AM33" s="3"/>
      <c r="AN33" s="3"/>
      <c r="AO33" s="3" t="s">
        <v>451</v>
      </c>
      <c r="AP33" s="3" t="s">
        <v>451</v>
      </c>
      <c r="AQ33" s="3" t="s">
        <v>451</v>
      </c>
      <c r="AR33" s="3" t="s">
        <v>452</v>
      </c>
      <c r="AS33" s="3" t="s">
        <v>452</v>
      </c>
      <c r="AT33" s="3" t="s">
        <v>453</v>
      </c>
      <c r="AU33" s="3" t="s">
        <v>453</v>
      </c>
      <c r="AV33" s="3" t="s">
        <v>453</v>
      </c>
      <c r="AW33" s="3" t="s">
        <v>450</v>
      </c>
      <c r="AX33" s="3"/>
      <c r="AY33" s="3" t="s">
        <v>450</v>
      </c>
      <c r="AZ33" s="3" t="s">
        <v>453</v>
      </c>
      <c r="BA33" s="3" t="s">
        <v>454</v>
      </c>
      <c r="BB33" s="3" t="s">
        <v>454</v>
      </c>
      <c r="BC33" s="3" t="s">
        <v>448</v>
      </c>
      <c r="BE33" s="3" t="s">
        <v>454</v>
      </c>
      <c r="BF33" s="3" t="s">
        <v>454</v>
      </c>
      <c r="BG33" s="3" t="s">
        <v>454</v>
      </c>
      <c r="BH33" s="3" t="s">
        <v>454</v>
      </c>
      <c r="BI33" s="3" t="s">
        <v>454</v>
      </c>
      <c r="BJ33" s="34" t="s">
        <v>835</v>
      </c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4" t="s">
        <v>835</v>
      </c>
      <c r="BY33" s="34" t="s">
        <v>835</v>
      </c>
      <c r="BZ33" s="3"/>
      <c r="CA33" s="3"/>
      <c r="CB33" s="34" t="s">
        <v>835</v>
      </c>
      <c r="CC33" s="3"/>
      <c r="CD33" s="3"/>
      <c r="CE33" s="3"/>
      <c r="CF33" s="3"/>
      <c r="CG33" s="34" t="s">
        <v>835</v>
      </c>
      <c r="CH33" s="3"/>
      <c r="CI33" s="3"/>
      <c r="CJ33" s="3"/>
      <c r="CK33" s="3"/>
      <c r="CL33" s="3"/>
      <c r="CM33" s="3"/>
      <c r="CN33" s="3"/>
      <c r="CO33" s="3"/>
    </row>
    <row r="34" spans="1:93" ht="13.5" customHeight="1" x14ac:dyDescent="0.35">
      <c r="A34" s="3" t="s">
        <v>129</v>
      </c>
      <c r="B34" s="3">
        <f t="shared" si="3"/>
        <v>2009</v>
      </c>
      <c r="C34" s="3" t="s">
        <v>455</v>
      </c>
      <c r="D34" s="3"/>
      <c r="E34" s="3" t="s">
        <v>456</v>
      </c>
      <c r="F34" s="3" t="s">
        <v>456</v>
      </c>
      <c r="G34" s="3" t="s">
        <v>456</v>
      </c>
      <c r="H34" s="3"/>
      <c r="I34" s="3" t="s">
        <v>456</v>
      </c>
      <c r="J34" s="3" t="s">
        <v>456</v>
      </c>
      <c r="K34" s="3"/>
      <c r="L34" s="3" t="s">
        <v>457</v>
      </c>
      <c r="M34" s="3"/>
      <c r="N34" s="3"/>
      <c r="O34" s="3"/>
      <c r="P34" s="3"/>
      <c r="Q34" s="3" t="s">
        <v>456</v>
      </c>
      <c r="R34" s="3" t="s">
        <v>455</v>
      </c>
      <c r="S34" s="3" t="s">
        <v>458</v>
      </c>
      <c r="T34" s="3"/>
      <c r="U34" s="3"/>
      <c r="V34" s="3" t="s">
        <v>458</v>
      </c>
      <c r="W34" s="3" t="s">
        <v>459</v>
      </c>
      <c r="X34" s="3" t="s">
        <v>459</v>
      </c>
      <c r="Y34" s="3" t="s">
        <v>459</v>
      </c>
      <c r="Z34" s="3"/>
      <c r="AB34" s="3"/>
      <c r="AC34" s="3"/>
      <c r="AD34" s="3"/>
      <c r="AE34" s="3"/>
      <c r="AF34" s="3"/>
      <c r="AG34" s="3"/>
      <c r="AH34" s="3"/>
      <c r="AI34" s="3" t="s">
        <v>459</v>
      </c>
      <c r="AJ34" s="3" t="s">
        <v>459</v>
      </c>
      <c r="AK34" s="3" t="s">
        <v>459</v>
      </c>
      <c r="AL34" s="3" t="s">
        <v>459</v>
      </c>
      <c r="AM34" s="3"/>
      <c r="AN34" s="3"/>
      <c r="AO34" s="3" t="s">
        <v>460</v>
      </c>
      <c r="AP34" s="3" t="s">
        <v>460</v>
      </c>
      <c r="AQ34" s="3" t="s">
        <v>460</v>
      </c>
      <c r="AR34" s="3" t="s">
        <v>461</v>
      </c>
      <c r="AS34" s="3" t="s">
        <v>461</v>
      </c>
      <c r="AT34" s="3" t="s">
        <v>462</v>
      </c>
      <c r="AU34" s="3" t="s">
        <v>462</v>
      </c>
      <c r="AV34" s="3" t="s">
        <v>462</v>
      </c>
      <c r="AW34" s="3" t="s">
        <v>459</v>
      </c>
      <c r="AX34" s="3"/>
      <c r="AY34" s="3" t="s">
        <v>459</v>
      </c>
      <c r="AZ34" s="3" t="s">
        <v>462</v>
      </c>
      <c r="BA34" s="3" t="s">
        <v>463</v>
      </c>
      <c r="BB34" s="3" t="s">
        <v>463</v>
      </c>
      <c r="BC34" s="3" t="s">
        <v>457</v>
      </c>
      <c r="BE34" s="3" t="s">
        <v>463</v>
      </c>
      <c r="BF34" s="3" t="s">
        <v>463</v>
      </c>
      <c r="BG34" s="3" t="s">
        <v>463</v>
      </c>
      <c r="BH34" s="3" t="s">
        <v>463</v>
      </c>
      <c r="BI34" s="3" t="s">
        <v>463</v>
      </c>
      <c r="BJ34" s="34" t="s">
        <v>836</v>
      </c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4" t="s">
        <v>836</v>
      </c>
      <c r="BY34" s="34" t="s">
        <v>836</v>
      </c>
      <c r="BZ34" s="3"/>
      <c r="CA34" s="3"/>
      <c r="CB34" s="34" t="s">
        <v>836</v>
      </c>
      <c r="CC34" s="3"/>
      <c r="CD34" s="3"/>
      <c r="CE34" s="3"/>
      <c r="CF34" s="3"/>
      <c r="CG34" s="34" t="s">
        <v>836</v>
      </c>
      <c r="CH34" s="3"/>
      <c r="CI34" s="3"/>
      <c r="CJ34" s="3"/>
      <c r="CK34" s="3"/>
      <c r="CL34" s="3"/>
      <c r="CM34" s="3"/>
      <c r="CN34" s="3"/>
      <c r="CO34" s="3"/>
    </row>
    <row r="35" spans="1:93" ht="13.5" customHeight="1" x14ac:dyDescent="0.35">
      <c r="A35" s="3" t="s">
        <v>129</v>
      </c>
      <c r="B35" s="3">
        <f t="shared" si="3"/>
        <v>2010</v>
      </c>
      <c r="C35" s="3" t="s">
        <v>464</v>
      </c>
      <c r="D35" s="3"/>
      <c r="E35" s="3" t="s">
        <v>465</v>
      </c>
      <c r="F35" s="3" t="s">
        <v>465</v>
      </c>
      <c r="G35" s="3" t="s">
        <v>465</v>
      </c>
      <c r="H35" s="3"/>
      <c r="I35" s="3" t="s">
        <v>465</v>
      </c>
      <c r="J35" s="3" t="s">
        <v>465</v>
      </c>
      <c r="K35" s="3"/>
      <c r="L35" s="3" t="s">
        <v>466</v>
      </c>
      <c r="M35" s="3"/>
      <c r="N35" s="3"/>
      <c r="O35" s="3"/>
      <c r="P35" s="3"/>
      <c r="Q35" s="3" t="s">
        <v>465</v>
      </c>
      <c r="R35" s="3" t="s">
        <v>465</v>
      </c>
      <c r="S35" s="3" t="s">
        <v>467</v>
      </c>
      <c r="T35" s="3"/>
      <c r="U35" s="3"/>
      <c r="V35" s="3" t="s">
        <v>467</v>
      </c>
      <c r="W35" s="3" t="s">
        <v>468</v>
      </c>
      <c r="X35" s="3" t="s">
        <v>468</v>
      </c>
      <c r="Y35" s="3" t="s">
        <v>468</v>
      </c>
      <c r="Z35" s="3"/>
      <c r="AB35" s="3"/>
      <c r="AC35" s="3"/>
      <c r="AD35" s="3"/>
      <c r="AE35" s="3"/>
      <c r="AF35" s="3"/>
      <c r="AG35" s="3"/>
      <c r="AH35" s="3"/>
      <c r="AI35" s="3" t="s">
        <v>468</v>
      </c>
      <c r="AJ35" s="3" t="s">
        <v>468</v>
      </c>
      <c r="AK35" s="3" t="s">
        <v>468</v>
      </c>
      <c r="AL35" s="3" t="s">
        <v>468</v>
      </c>
      <c r="AM35" s="3"/>
      <c r="AN35" s="3"/>
      <c r="AO35" s="3" t="s">
        <v>469</v>
      </c>
      <c r="AP35" s="3" t="s">
        <v>469</v>
      </c>
      <c r="AQ35" s="3" t="s">
        <v>469</v>
      </c>
      <c r="AR35" s="3" t="s">
        <v>470</v>
      </c>
      <c r="AS35" s="3" t="s">
        <v>470</v>
      </c>
      <c r="AT35" s="3" t="s">
        <v>471</v>
      </c>
      <c r="AU35" s="3" t="s">
        <v>471</v>
      </c>
      <c r="AV35" s="3" t="s">
        <v>471</v>
      </c>
      <c r="AW35" s="3" t="s">
        <v>468</v>
      </c>
      <c r="AX35" s="3"/>
      <c r="AY35" s="3" t="s">
        <v>468</v>
      </c>
      <c r="AZ35" s="3" t="s">
        <v>471</v>
      </c>
      <c r="BA35" s="3" t="s">
        <v>472</v>
      </c>
      <c r="BB35" s="3" t="s">
        <v>472</v>
      </c>
      <c r="BC35" s="3" t="s">
        <v>466</v>
      </c>
      <c r="BE35" s="3" t="s">
        <v>472</v>
      </c>
      <c r="BF35" s="3" t="s">
        <v>472</v>
      </c>
      <c r="BG35" s="3" t="s">
        <v>472</v>
      </c>
      <c r="BH35" s="3" t="s">
        <v>472</v>
      </c>
      <c r="BI35" s="3" t="s">
        <v>472</v>
      </c>
      <c r="BJ35" s="34" t="s">
        <v>837</v>
      </c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4" t="s">
        <v>837</v>
      </c>
      <c r="BY35" s="34" t="s">
        <v>837</v>
      </c>
      <c r="BZ35" s="3"/>
      <c r="CA35" s="3"/>
      <c r="CB35" s="34" t="s">
        <v>837</v>
      </c>
      <c r="CC35" s="3"/>
      <c r="CD35" s="3"/>
      <c r="CE35" s="3"/>
      <c r="CF35" s="3"/>
      <c r="CG35" s="34" t="s">
        <v>837</v>
      </c>
      <c r="CH35" s="3"/>
      <c r="CI35" s="3"/>
      <c r="CJ35" s="3"/>
      <c r="CK35" s="3"/>
      <c r="CL35" s="3"/>
      <c r="CM35" s="3"/>
      <c r="CN35" s="3"/>
      <c r="CO35" s="3"/>
    </row>
    <row r="36" spans="1:93" ht="13.5" customHeight="1" x14ac:dyDescent="0.35">
      <c r="A36" s="3" t="s">
        <v>129</v>
      </c>
      <c r="B36" s="3">
        <f t="shared" si="3"/>
        <v>2011</v>
      </c>
      <c r="C36" s="3" t="s">
        <v>473</v>
      </c>
      <c r="D36" s="3"/>
      <c r="E36" s="3" t="s">
        <v>474</v>
      </c>
      <c r="F36" s="3" t="s">
        <v>474</v>
      </c>
      <c r="G36" s="3" t="s">
        <v>474</v>
      </c>
      <c r="H36" s="3"/>
      <c r="I36" s="3" t="s">
        <v>474</v>
      </c>
      <c r="J36" s="3" t="s">
        <v>474</v>
      </c>
      <c r="K36" s="3"/>
      <c r="L36" s="3" t="s">
        <v>475</v>
      </c>
      <c r="M36" s="3"/>
      <c r="N36" s="3"/>
      <c r="O36" s="3"/>
      <c r="P36" s="3"/>
      <c r="Q36" s="3" t="s">
        <v>474</v>
      </c>
      <c r="R36" s="3" t="s">
        <v>474</v>
      </c>
      <c r="S36" s="3" t="s">
        <v>476</v>
      </c>
      <c r="T36" s="3"/>
      <c r="U36" s="3"/>
      <c r="V36" s="3" t="s">
        <v>476</v>
      </c>
      <c r="W36" s="3" t="s">
        <v>477</v>
      </c>
      <c r="X36" s="3" t="s">
        <v>477</v>
      </c>
      <c r="Y36" s="3" t="s">
        <v>477</v>
      </c>
      <c r="Z36" s="3"/>
      <c r="AB36" s="3"/>
      <c r="AC36" s="3"/>
      <c r="AD36" s="3"/>
      <c r="AE36" s="3"/>
      <c r="AF36" s="3"/>
      <c r="AG36" s="3"/>
      <c r="AH36" s="3"/>
      <c r="AI36" s="3" t="s">
        <v>477</v>
      </c>
      <c r="AJ36" s="3" t="s">
        <v>477</v>
      </c>
      <c r="AK36" s="3" t="s">
        <v>477</v>
      </c>
      <c r="AL36" s="3" t="s">
        <v>477</v>
      </c>
      <c r="AM36" s="3"/>
      <c r="AN36" s="3"/>
      <c r="AO36" s="3" t="s">
        <v>478</v>
      </c>
      <c r="AP36" s="3" t="s">
        <v>478</v>
      </c>
      <c r="AQ36" s="3" t="s">
        <v>478</v>
      </c>
      <c r="AR36" s="3" t="s">
        <v>479</v>
      </c>
      <c r="AS36" s="3" t="s">
        <v>479</v>
      </c>
      <c r="AT36" s="3" t="s">
        <v>480</v>
      </c>
      <c r="AU36" s="3" t="s">
        <v>480</v>
      </c>
      <c r="AV36" s="3" t="s">
        <v>480</v>
      </c>
      <c r="AW36" s="3" t="s">
        <v>477</v>
      </c>
      <c r="AX36" s="3"/>
      <c r="AY36" s="3" t="s">
        <v>477</v>
      </c>
      <c r="AZ36" s="3" t="s">
        <v>480</v>
      </c>
      <c r="BA36" s="3" t="s">
        <v>481</v>
      </c>
      <c r="BB36" s="3" t="s">
        <v>481</v>
      </c>
      <c r="BC36" s="3" t="s">
        <v>475</v>
      </c>
      <c r="BE36" s="3" t="s">
        <v>481</v>
      </c>
      <c r="BF36" s="3" t="s">
        <v>481</v>
      </c>
      <c r="BG36" s="3" t="s">
        <v>481</v>
      </c>
      <c r="BH36" s="3" t="s">
        <v>481</v>
      </c>
      <c r="BI36" s="3" t="s">
        <v>481</v>
      </c>
      <c r="BJ36" s="34" t="s">
        <v>838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4" t="s">
        <v>838</v>
      </c>
      <c r="BY36" s="34" t="s">
        <v>838</v>
      </c>
      <c r="BZ36" s="3"/>
      <c r="CA36" s="3"/>
      <c r="CB36" s="34" t="s">
        <v>838</v>
      </c>
      <c r="CC36" s="3"/>
      <c r="CD36" s="3"/>
      <c r="CE36" s="3"/>
      <c r="CF36" s="3"/>
      <c r="CG36" s="34" t="s">
        <v>838</v>
      </c>
      <c r="CH36" s="3"/>
      <c r="CI36" s="3"/>
      <c r="CJ36" s="3"/>
      <c r="CK36" s="3"/>
      <c r="CL36" s="3"/>
      <c r="CM36" s="3"/>
      <c r="CN36" s="3"/>
      <c r="CO36" s="3"/>
    </row>
    <row r="37" spans="1:93" ht="13.5" customHeight="1" x14ac:dyDescent="0.35">
      <c r="A37" s="3" t="s">
        <v>129</v>
      </c>
      <c r="B37" s="3">
        <f t="shared" si="3"/>
        <v>2012</v>
      </c>
      <c r="C37" s="3" t="s">
        <v>482</v>
      </c>
      <c r="D37" s="3"/>
      <c r="E37" s="3" t="s">
        <v>483</v>
      </c>
      <c r="F37" s="3" t="s">
        <v>483</v>
      </c>
      <c r="G37" s="3" t="s">
        <v>483</v>
      </c>
      <c r="H37" s="3"/>
      <c r="I37" s="3" t="s">
        <v>483</v>
      </c>
      <c r="J37" s="3" t="s">
        <v>483</v>
      </c>
      <c r="K37" s="3"/>
      <c r="L37" s="3" t="s">
        <v>484</v>
      </c>
      <c r="M37" s="3"/>
      <c r="N37" s="3"/>
      <c r="O37" s="3"/>
      <c r="P37" s="3"/>
      <c r="Q37" s="3" t="s">
        <v>483</v>
      </c>
      <c r="R37" s="3" t="s">
        <v>485</v>
      </c>
      <c r="S37" s="3" t="s">
        <v>486</v>
      </c>
      <c r="T37" s="3"/>
      <c r="U37" s="3"/>
      <c r="V37" s="3" t="s">
        <v>486</v>
      </c>
      <c r="W37" s="3" t="s">
        <v>487</v>
      </c>
      <c r="X37" s="3" t="s">
        <v>487</v>
      </c>
      <c r="Y37" s="3" t="s">
        <v>487</v>
      </c>
      <c r="Z37" s="3"/>
      <c r="AB37" s="3"/>
      <c r="AC37" s="3"/>
      <c r="AD37" s="3"/>
      <c r="AE37" s="3"/>
      <c r="AF37" s="3"/>
      <c r="AG37" s="3"/>
      <c r="AH37" s="3"/>
      <c r="AI37" s="3" t="s">
        <v>487</v>
      </c>
      <c r="AJ37" s="3" t="s">
        <v>487</v>
      </c>
      <c r="AK37" s="3" t="s">
        <v>487</v>
      </c>
      <c r="AL37" s="3" t="s">
        <v>487</v>
      </c>
      <c r="AM37" s="3"/>
      <c r="AN37" s="3"/>
      <c r="AO37" s="3" t="s">
        <v>488</v>
      </c>
      <c r="AP37" s="3" t="s">
        <v>488</v>
      </c>
      <c r="AQ37" s="3" t="s">
        <v>488</v>
      </c>
      <c r="AR37" s="3" t="s">
        <v>489</v>
      </c>
      <c r="AS37" s="3" t="s">
        <v>489</v>
      </c>
      <c r="AT37" s="3" t="s">
        <v>490</v>
      </c>
      <c r="AU37" s="3" t="s">
        <v>490</v>
      </c>
      <c r="AV37" s="3" t="s">
        <v>490</v>
      </c>
      <c r="AW37" s="3" t="s">
        <v>487</v>
      </c>
      <c r="AX37" s="3"/>
      <c r="AY37" s="3" t="s">
        <v>487</v>
      </c>
      <c r="AZ37" s="3" t="s">
        <v>490</v>
      </c>
      <c r="BA37" s="3" t="s">
        <v>491</v>
      </c>
      <c r="BB37" s="3" t="s">
        <v>491</v>
      </c>
      <c r="BC37" s="3" t="s">
        <v>484</v>
      </c>
      <c r="BE37" s="3" t="s">
        <v>491</v>
      </c>
      <c r="BF37" s="3" t="s">
        <v>491</v>
      </c>
      <c r="BG37" s="3" t="s">
        <v>491</v>
      </c>
      <c r="BH37" s="3" t="s">
        <v>491</v>
      </c>
      <c r="BI37" s="3" t="s">
        <v>491</v>
      </c>
      <c r="BJ37" s="34" t="s">
        <v>839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4" t="s">
        <v>839</v>
      </c>
      <c r="BY37" s="34" t="s">
        <v>839</v>
      </c>
      <c r="BZ37" s="3"/>
      <c r="CA37" s="3"/>
      <c r="CB37" s="34" t="s">
        <v>839</v>
      </c>
      <c r="CC37" s="3"/>
      <c r="CD37" s="3"/>
      <c r="CE37" s="3"/>
      <c r="CF37" s="3"/>
      <c r="CG37" s="34" t="s">
        <v>839</v>
      </c>
      <c r="CH37" s="3"/>
      <c r="CI37" s="3"/>
      <c r="CJ37" s="3"/>
      <c r="CK37" s="3"/>
      <c r="CL37" s="3"/>
      <c r="CM37" s="3"/>
      <c r="CN37" s="3"/>
      <c r="CO37" s="3"/>
    </row>
    <row r="38" spans="1:93" ht="13.5" customHeight="1" x14ac:dyDescent="0.35">
      <c r="A38" s="3" t="s">
        <v>129</v>
      </c>
      <c r="B38" s="3">
        <f t="shared" si="3"/>
        <v>2013</v>
      </c>
      <c r="C38" s="3" t="s">
        <v>492</v>
      </c>
      <c r="D38" s="3"/>
      <c r="E38" s="3" t="s">
        <v>493</v>
      </c>
      <c r="F38" s="3" t="s">
        <v>493</v>
      </c>
      <c r="G38" s="3" t="s">
        <v>493</v>
      </c>
      <c r="H38" s="3"/>
      <c r="I38" s="3" t="s">
        <v>493</v>
      </c>
      <c r="J38" s="3" t="s">
        <v>493</v>
      </c>
      <c r="K38" s="3"/>
      <c r="L38" s="3" t="s">
        <v>494</v>
      </c>
      <c r="M38" s="3"/>
      <c r="N38" s="3"/>
      <c r="O38" s="3"/>
      <c r="P38" s="3"/>
      <c r="Q38" s="3" t="s">
        <v>493</v>
      </c>
      <c r="R38" s="3" t="s">
        <v>495</v>
      </c>
      <c r="S38" s="3" t="s">
        <v>496</v>
      </c>
      <c r="T38" s="3"/>
      <c r="U38" s="3"/>
      <c r="V38" s="3" t="s">
        <v>496</v>
      </c>
      <c r="W38" s="3" t="s">
        <v>497</v>
      </c>
      <c r="X38" s="3" t="s">
        <v>497</v>
      </c>
      <c r="Y38" s="3" t="s">
        <v>497</v>
      </c>
      <c r="Z38" s="3"/>
      <c r="AB38" s="3"/>
      <c r="AC38" s="3"/>
      <c r="AD38" s="3"/>
      <c r="AE38" s="3"/>
      <c r="AF38" s="3"/>
      <c r="AG38" s="3"/>
      <c r="AH38" s="3"/>
      <c r="AI38" s="3" t="s">
        <v>497</v>
      </c>
      <c r="AJ38" s="3" t="s">
        <v>497</v>
      </c>
      <c r="AK38" s="3" t="s">
        <v>497</v>
      </c>
      <c r="AL38" s="3" t="s">
        <v>497</v>
      </c>
      <c r="AM38" s="3"/>
      <c r="AN38" s="3"/>
      <c r="AO38" s="3" t="s">
        <v>498</v>
      </c>
      <c r="AP38" s="3" t="s">
        <v>498</v>
      </c>
      <c r="AQ38" s="3" t="s">
        <v>498</v>
      </c>
      <c r="AR38" s="3" t="s">
        <v>498</v>
      </c>
      <c r="AS38" s="3" t="s">
        <v>498</v>
      </c>
      <c r="AT38" s="3" t="s">
        <v>499</v>
      </c>
      <c r="AU38" s="3" t="s">
        <v>499</v>
      </c>
      <c r="AV38" s="3" t="s">
        <v>499</v>
      </c>
      <c r="AW38" s="3" t="s">
        <v>497</v>
      </c>
      <c r="AX38" s="3"/>
      <c r="AY38" s="3" t="s">
        <v>497</v>
      </c>
      <c r="AZ38" s="3" t="s">
        <v>499</v>
      </c>
      <c r="BA38" s="3" t="s">
        <v>500</v>
      </c>
      <c r="BB38" s="3" t="s">
        <v>500</v>
      </c>
      <c r="BC38" s="3" t="s">
        <v>494</v>
      </c>
      <c r="BE38" s="3" t="s">
        <v>500</v>
      </c>
      <c r="BF38" s="3" t="s">
        <v>500</v>
      </c>
      <c r="BG38" s="3" t="s">
        <v>500</v>
      </c>
      <c r="BH38" s="3" t="s">
        <v>500</v>
      </c>
      <c r="BI38" s="3" t="s">
        <v>500</v>
      </c>
      <c r="BJ38" s="34" t="s">
        <v>840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4" t="s">
        <v>840</v>
      </c>
      <c r="BY38" s="34" t="s">
        <v>840</v>
      </c>
      <c r="BZ38" s="3"/>
      <c r="CA38" s="3"/>
      <c r="CB38" s="34" t="s">
        <v>840</v>
      </c>
      <c r="CC38" s="3"/>
      <c r="CD38" s="3"/>
      <c r="CE38" s="3"/>
      <c r="CF38" s="3"/>
      <c r="CG38" s="34" t="s">
        <v>840</v>
      </c>
      <c r="CH38" s="3"/>
      <c r="CI38" s="3"/>
      <c r="CJ38" s="3"/>
      <c r="CK38" s="3"/>
      <c r="CL38" s="3"/>
      <c r="CM38" s="3"/>
      <c r="CN38" s="3"/>
      <c r="CO38" s="3"/>
    </row>
    <row r="39" spans="1:93" ht="13.5" customHeight="1" x14ac:dyDescent="0.35">
      <c r="A39" s="3" t="s">
        <v>129</v>
      </c>
      <c r="B39" s="3">
        <f t="shared" si="3"/>
        <v>2014</v>
      </c>
      <c r="C39" s="3" t="s">
        <v>501</v>
      </c>
      <c r="D39" s="3"/>
      <c r="E39" s="3" t="s">
        <v>502</v>
      </c>
      <c r="F39" s="3" t="s">
        <v>502</v>
      </c>
      <c r="G39" s="3" t="s">
        <v>502</v>
      </c>
      <c r="H39" s="3"/>
      <c r="I39" s="3" t="s">
        <v>502</v>
      </c>
      <c r="J39" s="3" t="s">
        <v>502</v>
      </c>
      <c r="K39" s="3"/>
      <c r="L39" s="3" t="s">
        <v>503</v>
      </c>
      <c r="M39" s="3"/>
      <c r="N39" s="3"/>
      <c r="O39" s="3"/>
      <c r="P39" s="3"/>
      <c r="Q39" s="3" t="s">
        <v>502</v>
      </c>
      <c r="R39" s="3" t="s">
        <v>502</v>
      </c>
      <c r="S39" s="3" t="s">
        <v>504</v>
      </c>
      <c r="T39" s="3"/>
      <c r="U39" s="3"/>
      <c r="V39" s="3" t="s">
        <v>504</v>
      </c>
      <c r="W39" s="3" t="s">
        <v>505</v>
      </c>
      <c r="X39" s="3" t="s">
        <v>505</v>
      </c>
      <c r="Y39" s="3"/>
      <c r="Z39" s="3"/>
      <c r="AA39" s="3" t="s">
        <v>505</v>
      </c>
      <c r="AB39" s="3"/>
      <c r="AC39" s="3"/>
      <c r="AD39" s="3"/>
      <c r="AE39" s="3"/>
      <c r="AF39" s="3"/>
      <c r="AG39" s="3"/>
      <c r="AH39" s="3"/>
      <c r="AI39" s="3" t="s">
        <v>506</v>
      </c>
      <c r="AJ39" s="3" t="s">
        <v>506</v>
      </c>
      <c r="AK39" s="3" t="s">
        <v>506</v>
      </c>
      <c r="AL39" s="3" t="s">
        <v>506</v>
      </c>
      <c r="AM39" s="3"/>
      <c r="AN39" s="3"/>
      <c r="AO39" s="3" t="s">
        <v>135</v>
      </c>
      <c r="AP39" s="3" t="s">
        <v>135</v>
      </c>
      <c r="AQ39" s="3" t="s">
        <v>135</v>
      </c>
      <c r="AR39" s="3"/>
      <c r="AS39" s="3"/>
      <c r="AT39" s="3" t="s">
        <v>507</v>
      </c>
      <c r="AU39" s="3" t="s">
        <v>507</v>
      </c>
      <c r="AV39" s="3" t="s">
        <v>507</v>
      </c>
      <c r="AW39" s="3" t="s">
        <v>506</v>
      </c>
      <c r="AX39" s="3"/>
      <c r="AY39" s="3" t="s">
        <v>506</v>
      </c>
      <c r="AZ39" s="3" t="s">
        <v>507</v>
      </c>
      <c r="BA39" s="3" t="s">
        <v>506</v>
      </c>
      <c r="BB39" s="3" t="s">
        <v>506</v>
      </c>
      <c r="BC39" s="3" t="s">
        <v>503</v>
      </c>
      <c r="BE39" s="3" t="s">
        <v>506</v>
      </c>
      <c r="BF39" s="3" t="s">
        <v>506</v>
      </c>
      <c r="BG39" s="3" t="s">
        <v>506</v>
      </c>
      <c r="BH39" s="3" t="s">
        <v>506</v>
      </c>
      <c r="BI39" s="3" t="s">
        <v>506</v>
      </c>
      <c r="BJ39" s="34" t="s">
        <v>841</v>
      </c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4" t="s">
        <v>841</v>
      </c>
      <c r="BY39" s="34" t="s">
        <v>841</v>
      </c>
      <c r="BZ39" s="3"/>
      <c r="CA39" s="3"/>
      <c r="CB39" s="34" t="s">
        <v>841</v>
      </c>
      <c r="CC39" s="3"/>
      <c r="CD39" s="3"/>
      <c r="CE39" s="3"/>
      <c r="CF39" s="3"/>
      <c r="CG39" s="34" t="s">
        <v>841</v>
      </c>
      <c r="CH39" s="3"/>
      <c r="CI39" s="3"/>
      <c r="CJ39" s="3"/>
      <c r="CK39" s="3"/>
      <c r="CL39" s="3"/>
      <c r="CM39" s="3"/>
      <c r="CN39" s="3"/>
      <c r="CO39" s="3"/>
    </row>
    <row r="40" spans="1:93" ht="13.5" customHeight="1" x14ac:dyDescent="0.35">
      <c r="A40" s="3" t="s">
        <v>129</v>
      </c>
      <c r="B40" s="3">
        <f t="shared" si="3"/>
        <v>2015</v>
      </c>
      <c r="C40" s="3" t="s">
        <v>508</v>
      </c>
      <c r="D40" s="3"/>
      <c r="E40" s="3" t="s">
        <v>509</v>
      </c>
      <c r="F40" s="3" t="s">
        <v>509</v>
      </c>
      <c r="G40" s="3" t="s">
        <v>509</v>
      </c>
      <c r="H40" s="3"/>
      <c r="I40" s="3" t="s">
        <v>509</v>
      </c>
      <c r="J40" s="3" t="s">
        <v>509</v>
      </c>
      <c r="K40" s="3"/>
      <c r="L40" s="3" t="s">
        <v>510</v>
      </c>
      <c r="M40" s="3"/>
      <c r="N40" s="3"/>
      <c r="O40" s="3"/>
      <c r="P40" s="3"/>
      <c r="Q40" s="3" t="s">
        <v>509</v>
      </c>
      <c r="R40" s="3" t="s">
        <v>511</v>
      </c>
      <c r="S40" s="3" t="s">
        <v>512</v>
      </c>
      <c r="T40" s="3"/>
      <c r="U40" s="3"/>
      <c r="V40" s="3" t="s">
        <v>512</v>
      </c>
      <c r="W40" s="3" t="s">
        <v>513</v>
      </c>
      <c r="X40" s="3" t="s">
        <v>513</v>
      </c>
      <c r="Y40" s="3"/>
      <c r="Z40" s="3"/>
      <c r="AA40" s="3" t="s">
        <v>513</v>
      </c>
      <c r="AB40" s="3"/>
      <c r="AC40" s="3"/>
      <c r="AD40" s="3"/>
      <c r="AE40" s="3"/>
      <c r="AF40" s="3"/>
      <c r="AG40" s="3"/>
      <c r="AH40" s="3"/>
      <c r="AI40" s="3" t="s">
        <v>514</v>
      </c>
      <c r="AJ40" s="3" t="s">
        <v>514</v>
      </c>
      <c r="AK40" s="3" t="s">
        <v>514</v>
      </c>
      <c r="AL40" s="3" t="s">
        <v>514</v>
      </c>
      <c r="AM40" s="3"/>
      <c r="AN40" s="3"/>
      <c r="AO40" s="3" t="s">
        <v>141</v>
      </c>
      <c r="AP40" s="3" t="s">
        <v>141</v>
      </c>
      <c r="AQ40" s="3" t="s">
        <v>141</v>
      </c>
      <c r="AR40" s="3"/>
      <c r="AS40" s="3"/>
      <c r="AT40" s="3" t="s">
        <v>515</v>
      </c>
      <c r="AU40" s="3" t="s">
        <v>515</v>
      </c>
      <c r="AV40" s="3" t="s">
        <v>515</v>
      </c>
      <c r="AW40" s="3" t="s">
        <v>514</v>
      </c>
      <c r="AX40" s="3"/>
      <c r="AY40" s="3" t="s">
        <v>514</v>
      </c>
      <c r="AZ40" s="3" t="s">
        <v>515</v>
      </c>
      <c r="BA40" s="3"/>
      <c r="BB40" s="3"/>
      <c r="BC40" s="3" t="s">
        <v>510</v>
      </c>
      <c r="BE40" s="3" t="s">
        <v>516</v>
      </c>
      <c r="BF40" s="3" t="s">
        <v>516</v>
      </c>
      <c r="BG40" s="3" t="s">
        <v>516</v>
      </c>
      <c r="BH40" s="3" t="s">
        <v>516</v>
      </c>
      <c r="BI40" s="3"/>
      <c r="BJ40" s="34" t="s">
        <v>842</v>
      </c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4" t="s">
        <v>842</v>
      </c>
      <c r="BY40" s="34" t="s">
        <v>842</v>
      </c>
      <c r="BZ40" s="3"/>
      <c r="CA40" s="3"/>
      <c r="CB40" s="34" t="s">
        <v>842</v>
      </c>
      <c r="CC40" s="3"/>
      <c r="CD40" s="3"/>
      <c r="CE40" s="3"/>
      <c r="CF40" s="3"/>
      <c r="CG40" s="34" t="s">
        <v>842</v>
      </c>
      <c r="CH40" s="3"/>
      <c r="CI40" s="3"/>
      <c r="CJ40" s="3"/>
      <c r="CK40" s="3"/>
      <c r="CL40" s="3"/>
      <c r="CM40" s="3"/>
      <c r="CN40" s="3"/>
      <c r="CO40" s="3"/>
    </row>
    <row r="41" spans="1:93" ht="13.5" customHeight="1" x14ac:dyDescent="0.35">
      <c r="A41" s="3" t="s">
        <v>129</v>
      </c>
      <c r="B41" s="3">
        <f t="shared" si="3"/>
        <v>2016</v>
      </c>
      <c r="C41" s="3" t="s">
        <v>517</v>
      </c>
      <c r="D41" s="3"/>
      <c r="E41" s="3" t="s">
        <v>518</v>
      </c>
      <c r="F41" s="3" t="s">
        <v>518</v>
      </c>
      <c r="G41" s="3" t="s">
        <v>518</v>
      </c>
      <c r="H41" s="3"/>
      <c r="I41" s="3" t="s">
        <v>518</v>
      </c>
      <c r="J41" s="3" t="s">
        <v>518</v>
      </c>
      <c r="K41" s="3"/>
      <c r="L41" s="3" t="s">
        <v>519</v>
      </c>
      <c r="M41" s="3"/>
      <c r="N41" s="3"/>
      <c r="O41" s="3"/>
      <c r="P41" s="3"/>
      <c r="Q41" s="3" t="s">
        <v>518</v>
      </c>
      <c r="R41" s="3" t="s">
        <v>520</v>
      </c>
      <c r="S41" s="3" t="s">
        <v>521</v>
      </c>
      <c r="T41" s="3"/>
      <c r="U41" s="3"/>
      <c r="V41" s="3" t="s">
        <v>521</v>
      </c>
      <c r="W41" s="3" t="s">
        <v>522</v>
      </c>
      <c r="X41" s="3" t="s">
        <v>522</v>
      </c>
      <c r="Y41" s="3"/>
      <c r="Z41" s="3"/>
      <c r="AA41" s="3" t="s">
        <v>522</v>
      </c>
      <c r="AB41" s="3"/>
      <c r="AC41" s="3"/>
      <c r="AD41" s="3"/>
      <c r="AE41" s="3"/>
      <c r="AF41" s="3"/>
      <c r="AG41" s="3"/>
      <c r="AH41" s="3"/>
      <c r="AI41" s="3" t="s">
        <v>523</v>
      </c>
      <c r="AJ41" s="3" t="s">
        <v>523</v>
      </c>
      <c r="AK41" s="3" t="s">
        <v>523</v>
      </c>
      <c r="AL41" s="3" t="s">
        <v>523</v>
      </c>
      <c r="AM41" s="3"/>
      <c r="AN41" s="3"/>
      <c r="AO41" s="3" t="s">
        <v>149</v>
      </c>
      <c r="AP41" s="3" t="s">
        <v>149</v>
      </c>
      <c r="AQ41" s="3" t="s">
        <v>149</v>
      </c>
      <c r="AR41" s="3"/>
      <c r="AS41" s="3"/>
      <c r="AT41" s="3" t="s">
        <v>524</v>
      </c>
      <c r="AU41" s="3" t="s">
        <v>524</v>
      </c>
      <c r="AV41" s="3" t="s">
        <v>524</v>
      </c>
      <c r="AW41" s="3" t="s">
        <v>523</v>
      </c>
      <c r="AX41" s="3"/>
      <c r="AY41" s="3" t="s">
        <v>523</v>
      </c>
      <c r="AZ41" s="3" t="s">
        <v>524</v>
      </c>
      <c r="BA41" s="3"/>
      <c r="BB41" s="3"/>
      <c r="BC41" s="3" t="s">
        <v>519</v>
      </c>
      <c r="BE41" s="3" t="s">
        <v>525</v>
      </c>
      <c r="BF41" s="3" t="s">
        <v>525</v>
      </c>
      <c r="BG41" s="3" t="s">
        <v>525</v>
      </c>
      <c r="BH41" s="3" t="s">
        <v>525</v>
      </c>
      <c r="BI41" s="3"/>
      <c r="BJ41" s="34" t="s">
        <v>843</v>
      </c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4" t="s">
        <v>843</v>
      </c>
      <c r="BY41" s="34" t="s">
        <v>843</v>
      </c>
      <c r="BZ41" s="3"/>
      <c r="CA41" s="3"/>
      <c r="CB41" s="34" t="s">
        <v>843</v>
      </c>
      <c r="CC41" s="3"/>
      <c r="CD41" s="3"/>
      <c r="CE41" s="3"/>
      <c r="CF41" s="3"/>
      <c r="CG41" s="34" t="s">
        <v>843</v>
      </c>
      <c r="CH41" s="3"/>
      <c r="CI41" s="3"/>
      <c r="CJ41" s="3"/>
      <c r="CK41" s="3"/>
      <c r="CL41" s="3"/>
      <c r="CM41" s="3"/>
      <c r="CN41" s="3"/>
      <c r="CO41" s="3"/>
    </row>
    <row r="42" spans="1:93" ht="13.5" customHeight="1" x14ac:dyDescent="0.35">
      <c r="A42" s="3" t="s">
        <v>129</v>
      </c>
      <c r="B42" s="3">
        <f t="shared" si="3"/>
        <v>2017</v>
      </c>
      <c r="C42" s="3" t="s">
        <v>526</v>
      </c>
      <c r="D42" s="3"/>
      <c r="E42" s="3" t="s">
        <v>527</v>
      </c>
      <c r="F42" s="3" t="s">
        <v>527</v>
      </c>
      <c r="G42" s="3" t="s">
        <v>527</v>
      </c>
      <c r="H42" s="3"/>
      <c r="I42" s="3" t="s">
        <v>527</v>
      </c>
      <c r="J42" s="3" t="s">
        <v>527</v>
      </c>
      <c r="K42" s="3"/>
      <c r="L42" s="3" t="s">
        <v>528</v>
      </c>
      <c r="M42" s="3"/>
      <c r="N42" s="3"/>
      <c r="O42" s="3"/>
      <c r="P42" s="3"/>
      <c r="Q42" s="3" t="s">
        <v>527</v>
      </c>
      <c r="R42" s="3" t="s">
        <v>529</v>
      </c>
      <c r="S42" s="3" t="s">
        <v>530</v>
      </c>
      <c r="T42" s="3"/>
      <c r="U42" s="3"/>
      <c r="V42" s="3" t="s">
        <v>530</v>
      </c>
      <c r="W42" s="3" t="s">
        <v>531</v>
      </c>
      <c r="X42" s="3" t="s">
        <v>531</v>
      </c>
      <c r="Y42" s="3"/>
      <c r="Z42" s="3"/>
      <c r="AA42" s="3" t="s">
        <v>531</v>
      </c>
      <c r="AB42" s="3"/>
      <c r="AC42" s="3"/>
      <c r="AD42" s="3"/>
      <c r="AE42" s="3"/>
      <c r="AF42" s="3"/>
      <c r="AG42" s="3"/>
      <c r="AH42" s="3"/>
      <c r="AI42" s="3" t="s">
        <v>532</v>
      </c>
      <c r="AJ42" s="3" t="s">
        <v>532</v>
      </c>
      <c r="AK42" s="3" t="s">
        <v>532</v>
      </c>
      <c r="AL42" s="3" t="s">
        <v>532</v>
      </c>
      <c r="AM42" s="3"/>
      <c r="AN42" s="3"/>
      <c r="AO42" s="3" t="s">
        <v>157</v>
      </c>
      <c r="AP42" s="3" t="s">
        <v>157</v>
      </c>
      <c r="AQ42" s="3" t="s">
        <v>157</v>
      </c>
      <c r="AR42" s="3"/>
      <c r="AS42" s="3"/>
      <c r="AT42" s="3" t="s">
        <v>533</v>
      </c>
      <c r="AU42" s="3" t="s">
        <v>533</v>
      </c>
      <c r="AV42" s="3" t="s">
        <v>533</v>
      </c>
      <c r="AW42" s="3" t="s">
        <v>532</v>
      </c>
      <c r="AX42" s="3"/>
      <c r="AY42" s="3" t="s">
        <v>532</v>
      </c>
      <c r="AZ42" s="3" t="s">
        <v>533</v>
      </c>
      <c r="BA42" s="3"/>
      <c r="BB42" s="3"/>
      <c r="BC42" s="3" t="s">
        <v>528</v>
      </c>
      <c r="BE42" s="3" t="s">
        <v>534</v>
      </c>
      <c r="BF42" s="3" t="s">
        <v>534</v>
      </c>
      <c r="BG42" s="3" t="s">
        <v>534</v>
      </c>
      <c r="BH42" s="3" t="s">
        <v>534</v>
      </c>
      <c r="BI42" s="3"/>
      <c r="BJ42" s="34" t="s">
        <v>844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4" t="s">
        <v>844</v>
      </c>
      <c r="BY42" s="34" t="s">
        <v>844</v>
      </c>
      <c r="BZ42" s="3"/>
      <c r="CA42" s="3"/>
      <c r="CB42" s="34" t="s">
        <v>844</v>
      </c>
      <c r="CC42" s="3"/>
      <c r="CD42" s="3"/>
      <c r="CE42" s="3"/>
      <c r="CF42" s="3"/>
      <c r="CG42" s="34" t="s">
        <v>844</v>
      </c>
      <c r="CH42" s="3"/>
      <c r="CI42" s="3"/>
      <c r="CJ42" s="3"/>
      <c r="CK42" s="3"/>
      <c r="CL42" s="3"/>
      <c r="CM42" s="3"/>
      <c r="CN42" s="3"/>
      <c r="CO42" s="3"/>
    </row>
    <row r="43" spans="1:93" ht="13.5" customHeight="1" x14ac:dyDescent="0.35">
      <c r="A43" s="3" t="s">
        <v>129</v>
      </c>
      <c r="B43" s="3">
        <f t="shared" si="3"/>
        <v>2018</v>
      </c>
      <c r="C43" s="3" t="s">
        <v>535</v>
      </c>
      <c r="D43" s="3"/>
      <c r="E43" s="3" t="s">
        <v>536</v>
      </c>
      <c r="F43" s="3" t="s">
        <v>536</v>
      </c>
      <c r="G43" s="3" t="s">
        <v>536</v>
      </c>
      <c r="H43" s="3"/>
      <c r="I43" s="3" t="s">
        <v>536</v>
      </c>
      <c r="J43" s="3" t="s">
        <v>536</v>
      </c>
      <c r="K43" s="3"/>
      <c r="L43" s="3" t="s">
        <v>537</v>
      </c>
      <c r="M43" s="3"/>
      <c r="N43" s="3"/>
      <c r="O43" s="3"/>
      <c r="P43" s="3"/>
      <c r="Q43" s="3" t="s">
        <v>536</v>
      </c>
      <c r="R43" s="3" t="s">
        <v>538</v>
      </c>
      <c r="S43" s="3" t="s">
        <v>539</v>
      </c>
      <c r="T43" s="3"/>
      <c r="U43" s="3"/>
      <c r="V43" s="3" t="s">
        <v>539</v>
      </c>
      <c r="W43" s="3" t="s">
        <v>540</v>
      </c>
      <c r="X43" s="3" t="s">
        <v>540</v>
      </c>
      <c r="Y43" s="3"/>
      <c r="Z43" s="3"/>
      <c r="AA43" s="3" t="s">
        <v>540</v>
      </c>
      <c r="AB43" s="3"/>
      <c r="AC43" s="3"/>
      <c r="AD43" s="3"/>
      <c r="AE43" s="3"/>
      <c r="AF43" s="3"/>
      <c r="AG43" s="3"/>
      <c r="AH43" s="3"/>
      <c r="AI43" s="3" t="s">
        <v>541</v>
      </c>
      <c r="AJ43" s="3" t="s">
        <v>541</v>
      </c>
      <c r="AK43" s="3" t="s">
        <v>541</v>
      </c>
      <c r="AL43" s="3" t="s">
        <v>541</v>
      </c>
      <c r="AM43" s="3"/>
      <c r="AN43" s="3"/>
      <c r="AO43" s="3" t="s">
        <v>165</v>
      </c>
      <c r="AP43" s="3" t="s">
        <v>165</v>
      </c>
      <c r="AQ43" s="3" t="s">
        <v>165</v>
      </c>
      <c r="AR43" s="3"/>
      <c r="AS43" s="3"/>
      <c r="AT43" s="3" t="s">
        <v>542</v>
      </c>
      <c r="AU43" s="3" t="s">
        <v>542</v>
      </c>
      <c r="AV43" s="3" t="s">
        <v>542</v>
      </c>
      <c r="AW43" s="3" t="s">
        <v>541</v>
      </c>
      <c r="AX43" s="3"/>
      <c r="AY43" s="3" t="s">
        <v>541</v>
      </c>
      <c r="AZ43" s="3" t="s">
        <v>542</v>
      </c>
      <c r="BA43" s="3"/>
      <c r="BB43" s="3"/>
      <c r="BC43" s="3" t="s">
        <v>537</v>
      </c>
      <c r="BE43" s="3" t="s">
        <v>543</v>
      </c>
      <c r="BF43" s="3" t="s">
        <v>543</v>
      </c>
      <c r="BG43" s="3" t="s">
        <v>543</v>
      </c>
      <c r="BH43" s="3" t="s">
        <v>543</v>
      </c>
      <c r="BI43" s="3"/>
      <c r="BJ43" s="34" t="s">
        <v>845</v>
      </c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4" t="s">
        <v>845</v>
      </c>
      <c r="BY43" s="34" t="s">
        <v>845</v>
      </c>
      <c r="BZ43" s="3"/>
      <c r="CA43" s="3"/>
      <c r="CB43" s="34" t="s">
        <v>845</v>
      </c>
      <c r="CC43" s="3"/>
      <c r="CD43" s="3"/>
      <c r="CE43" s="3"/>
      <c r="CF43" s="3"/>
      <c r="CG43" s="34" t="s">
        <v>845</v>
      </c>
      <c r="CH43" s="3"/>
      <c r="CI43" s="3"/>
      <c r="CJ43" s="3"/>
      <c r="CK43" s="3"/>
      <c r="CL43" s="3"/>
      <c r="CM43" s="3"/>
      <c r="CN43" s="3"/>
      <c r="CO43" s="3"/>
    </row>
    <row r="44" spans="1:93" ht="13.5" customHeight="1" x14ac:dyDescent="0.35">
      <c r="A44" s="3" t="s">
        <v>129</v>
      </c>
      <c r="B44" s="3">
        <v>2019</v>
      </c>
      <c r="C44" s="3" t="s">
        <v>544</v>
      </c>
      <c r="D44" s="3"/>
      <c r="E44" s="3" t="s">
        <v>545</v>
      </c>
      <c r="F44" s="3" t="s">
        <v>545</v>
      </c>
      <c r="G44" s="3" t="s">
        <v>545</v>
      </c>
      <c r="H44" s="3"/>
      <c r="I44" s="3" t="s">
        <v>545</v>
      </c>
      <c r="J44" s="3" t="s">
        <v>545</v>
      </c>
      <c r="K44" s="3"/>
      <c r="L44" s="3" t="s">
        <v>546</v>
      </c>
      <c r="M44" s="3"/>
      <c r="N44" s="3"/>
      <c r="O44" s="3"/>
      <c r="P44" s="3"/>
      <c r="Q44" s="3" t="s">
        <v>545</v>
      </c>
      <c r="R44" s="3" t="s">
        <v>547</v>
      </c>
      <c r="S44" s="3" t="s">
        <v>548</v>
      </c>
      <c r="T44" s="3"/>
      <c r="U44" s="3"/>
      <c r="V44" s="3" t="s">
        <v>548</v>
      </c>
      <c r="W44" s="3" t="s">
        <v>549</v>
      </c>
      <c r="X44" s="3" t="s">
        <v>549</v>
      </c>
      <c r="Y44" s="3"/>
      <c r="Z44" s="3"/>
      <c r="AA44" s="3" t="s">
        <v>549</v>
      </c>
      <c r="AB44" s="3"/>
      <c r="AC44" s="3"/>
      <c r="AD44" s="3"/>
      <c r="AE44" s="3"/>
      <c r="AF44" s="3"/>
      <c r="AG44" s="3"/>
      <c r="AH44" s="3"/>
      <c r="AI44" s="3" t="s">
        <v>550</v>
      </c>
      <c r="AJ44" s="3" t="s">
        <v>550</v>
      </c>
      <c r="AK44" s="3" t="s">
        <v>550</v>
      </c>
      <c r="AL44" s="3" t="s">
        <v>550</v>
      </c>
      <c r="AM44" s="3"/>
      <c r="AN44" s="3"/>
      <c r="AO44" s="3" t="s">
        <v>551</v>
      </c>
      <c r="AP44" s="3" t="s">
        <v>551</v>
      </c>
      <c r="AQ44" s="3" t="s">
        <v>551</v>
      </c>
      <c r="AR44" s="3"/>
      <c r="AS44" s="3"/>
      <c r="AT44" s="3" t="s">
        <v>552</v>
      </c>
      <c r="AU44" s="3" t="s">
        <v>552</v>
      </c>
      <c r="AV44" s="3" t="s">
        <v>552</v>
      </c>
      <c r="AW44" s="3" t="s">
        <v>550</v>
      </c>
      <c r="AX44" s="3"/>
      <c r="AY44" s="3" t="s">
        <v>550</v>
      </c>
      <c r="AZ44" s="3" t="s">
        <v>552</v>
      </c>
      <c r="BA44" s="3"/>
      <c r="BB44" s="3"/>
      <c r="BC44" s="3" t="s">
        <v>546</v>
      </c>
      <c r="BE44" s="3" t="s">
        <v>553</v>
      </c>
      <c r="BF44" s="3" t="s">
        <v>553</v>
      </c>
      <c r="BG44" s="3" t="s">
        <v>553</v>
      </c>
      <c r="BH44" s="3" t="s">
        <v>553</v>
      </c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</row>
    <row r="45" spans="1:93" ht="13.5" customHeigh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</row>
    <row r="46" spans="1:93" ht="13.5" customHeight="1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</row>
    <row r="47" spans="1:93" ht="13.5" customHeigh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</row>
    <row r="48" spans="1:93" ht="13.5" customHeigh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</row>
    <row r="49" spans="1:93" ht="13.5" customHeigh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</row>
    <row r="50" spans="1:93" ht="13.5" customHeigh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</row>
    <row r="51" spans="1:93" ht="13.5" customHeigh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</row>
    <row r="52" spans="1:93" ht="13.5" customHeigh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</row>
    <row r="53" spans="1:93" ht="13.5" customHeigh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</row>
    <row r="54" spans="1:93" ht="13.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spans="1:93" ht="13.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spans="1:93" ht="13.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</row>
    <row r="57" spans="1:93" ht="13.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</row>
    <row r="58" spans="1:93" ht="13.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</row>
    <row r="59" spans="1:93" ht="13.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</row>
    <row r="60" spans="1:93" ht="13.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</row>
    <row r="61" spans="1:93" ht="13.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</row>
    <row r="62" spans="1:93" ht="13.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ht="13.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ht="13.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1:93" ht="13.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1:93" ht="13.5" customHeight="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1:93" ht="13.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1:93" ht="13.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1:93" ht="13.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1:93" ht="13.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1:93" ht="13.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1:93" ht="13.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1:93" ht="13.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1:93" ht="13.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1:93" ht="13.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1:93" ht="13.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1:93" ht="13.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1:93" ht="13.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1:93" ht="13.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1:93" ht="13.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1:93" ht="13.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1:93" ht="13.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1:93" ht="13.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1:93" ht="13.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1:93" ht="13.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1:93" ht="13.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1:93" ht="13.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1:93" ht="13.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1:93" ht="13.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1:93" ht="13.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1:93" ht="13.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1:93" ht="13.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1:93" ht="13.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ht="13.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1:93" ht="13.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1:93" ht="13.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1:93" ht="13.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1:93" ht="13.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ht="13.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ht="13.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ht="13.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ht="13.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ht="13.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ht="13.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ht="13.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ht="13.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ht="13.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ht="13.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ht="13.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ht="13.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ht="13.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ht="13.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ht="13.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ht="13.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ht="13.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ht="13.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ht="13.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ht="13.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ht="13.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ht="13.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ht="13.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ht="13.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ht="13.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ht="13.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ht="13.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ht="13.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ht="13.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ht="13.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ht="13.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ht="13.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ht="13.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ht="13.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ht="13.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ht="13.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ht="13.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ht="13.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ht="13.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ht="13.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ht="13.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ht="13.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ht="13.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ht="13.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ht="13.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ht="13.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ht="13.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ht="13.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ht="13.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ht="13.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ht="13.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ht="13.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ht="13.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ht="13.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ht="13.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ht="13.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ht="13.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ht="13.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ht="13.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ht="13.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ht="13.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ht="13.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ht="13.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ht="13.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ht="13.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ht="13.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ht="13.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ht="13.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ht="13.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ht="13.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ht="13.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ht="13.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ht="13.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ht="13.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ht="13.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ht="13.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ht="13.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ht="13.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ht="13.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ht="13.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ht="13.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ht="13.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ht="13.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ht="13.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ht="13.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ht="13.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ht="13.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ht="13.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ht="13.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ht="13.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ht="13.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ht="13.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ht="13.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ht="13.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ht="13.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ht="13.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ht="13.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ht="13.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ht="13.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ht="13.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ht="13.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ht="13.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ht="13.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ht="13.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ht="13.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ht="13.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ht="13.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ht="13.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ht="13.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ht="13.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ht="13.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ht="13.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ht="13.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ht="13.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ht="13.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ht="13.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ht="13.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ht="13.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ht="13.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ht="13.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ht="13.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ht="13.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ht="13.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ht="13.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ht="13.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ht="13.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ht="13.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ht="13.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ht="13.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ht="13.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ht="13.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ht="13.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ht="13.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ht="13.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ht="13.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ht="13.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ht="13.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ht="13.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ht="13.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ht="13.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ht="13.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ht="13.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ht="13.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ht="13.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ht="13.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ht="13.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ht="13.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ht="13.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ht="13.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ht="13.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ht="13.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ht="13.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ht="13.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ht="13.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ht="13.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ht="13.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ht="13.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ht="13.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ht="13.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ht="13.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ht="13.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ht="13.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ht="13.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ht="13.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ht="13.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ht="13.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ht="13.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ht="13.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ht="13.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ht="13.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ht="13.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ht="13.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ht="13.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ht="13.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ht="13.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ht="13.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ht="13.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ht="13.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ht="13.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ht="13.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ht="13.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ht="13.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ht="13.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ht="13.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ht="13.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ht="13.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ht="13.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ht="13.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ht="13.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ht="13.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ht="13.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ht="13.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ht="13.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ht="13.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ht="13.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ht="13.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ht="13.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ht="13.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ht="13.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ht="13.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ht="13.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ht="13.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ht="13.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ht="13.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ht="13.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ht="13.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ht="13.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ht="13.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ht="13.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ht="13.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ht="13.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ht="13.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ht="13.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ht="13.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ht="13.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ht="13.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ht="13.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ht="13.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ht="13.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ht="13.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ht="13.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ht="13.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ht="13.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ht="13.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ht="13.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ht="13.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ht="13.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ht="13.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ht="13.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ht="13.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ht="13.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ht="13.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ht="13.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ht="13.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ht="13.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ht="13.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ht="13.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ht="13.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ht="13.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ht="13.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ht="13.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ht="13.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ht="13.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ht="13.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ht="13.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ht="13.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ht="13.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ht="13.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ht="13.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ht="13.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ht="13.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ht="13.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ht="13.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ht="13.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ht="13.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ht="13.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ht="13.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ht="13.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ht="13.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ht="13.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ht="13.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ht="13.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ht="13.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ht="13.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ht="13.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ht="13.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ht="13.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ht="13.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ht="13.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ht="13.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ht="13.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ht="13.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ht="13.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ht="13.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ht="13.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ht="13.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ht="13.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ht="13.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ht="13.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ht="13.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ht="13.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ht="13.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ht="13.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ht="13.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ht="13.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ht="13.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ht="13.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ht="13.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ht="13.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ht="13.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ht="13.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ht="13.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ht="13.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ht="13.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ht="13.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ht="13.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ht="13.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ht="13.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ht="13.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ht="13.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ht="13.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ht="13.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ht="13.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ht="13.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ht="13.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ht="13.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ht="13.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ht="13.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ht="13.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ht="13.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ht="13.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ht="13.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ht="13.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ht="13.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ht="13.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ht="13.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ht="13.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ht="13.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ht="13.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ht="13.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ht="13.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ht="13.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ht="13.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ht="13.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ht="13.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ht="13.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ht="13.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ht="13.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ht="13.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ht="13.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ht="13.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ht="13.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ht="13.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ht="13.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ht="13.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ht="13.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ht="13.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ht="13.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ht="13.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ht="13.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ht="13.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ht="13.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ht="13.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ht="13.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ht="13.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ht="13.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ht="13.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ht="13.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ht="13.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ht="13.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ht="13.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ht="13.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ht="13.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ht="13.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ht="13.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ht="13.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ht="13.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ht="13.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ht="13.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ht="13.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ht="13.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ht="13.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ht="13.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ht="13.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ht="13.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ht="13.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ht="13.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ht="13.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ht="13.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ht="13.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ht="13.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ht="13.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ht="13.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ht="13.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ht="13.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ht="13.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ht="13.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ht="13.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ht="13.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ht="13.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ht="13.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ht="13.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ht="13.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ht="13.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ht="13.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ht="13.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ht="13.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ht="13.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ht="13.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ht="13.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ht="13.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ht="13.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ht="13.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ht="13.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ht="13.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ht="13.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ht="13.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ht="13.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ht="13.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ht="13.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ht="13.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ht="13.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ht="13.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ht="13.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ht="13.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ht="13.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ht="13.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ht="13.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ht="13.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ht="13.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ht="13.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ht="13.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ht="13.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ht="13.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ht="13.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ht="13.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ht="13.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ht="13.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ht="13.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ht="13.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ht="13.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ht="13.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ht="13.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ht="13.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ht="13.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ht="13.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ht="13.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ht="13.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ht="13.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ht="13.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ht="13.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ht="13.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ht="13.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ht="13.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ht="13.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ht="13.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ht="13.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ht="13.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ht="13.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ht="13.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ht="13.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ht="13.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ht="13.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ht="13.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ht="13.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ht="13.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ht="13.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ht="13.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ht="13.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ht="13.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ht="13.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ht="13.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ht="13.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ht="13.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ht="13.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ht="13.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ht="13.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ht="13.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ht="13.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ht="13.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ht="13.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ht="13.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ht="13.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ht="13.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ht="13.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ht="13.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ht="13.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ht="13.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ht="13.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ht="13.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ht="13.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ht="13.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ht="13.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ht="13.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ht="13.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ht="13.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ht="13.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ht="13.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ht="13.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ht="13.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ht="13.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ht="13.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ht="13.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ht="13.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ht="13.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ht="13.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ht="13.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ht="13.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ht="13.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ht="13.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ht="13.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ht="13.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ht="13.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ht="13.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ht="13.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ht="13.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ht="13.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ht="13.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ht="13.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ht="13.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ht="13.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ht="13.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ht="13.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ht="13.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ht="13.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ht="13.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ht="13.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ht="13.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ht="13.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ht="13.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ht="13.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ht="13.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ht="13.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ht="13.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ht="13.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ht="13.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ht="13.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ht="13.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ht="13.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ht="13.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ht="13.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ht="13.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ht="13.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ht="13.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ht="13.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ht="13.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ht="13.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ht="13.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ht="13.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ht="13.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ht="13.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ht="13.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ht="13.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ht="13.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ht="13.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ht="13.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ht="13.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ht="13.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ht="13.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ht="13.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ht="13.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ht="13.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ht="13.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ht="13.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ht="13.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ht="13.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ht="13.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ht="13.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ht="13.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ht="13.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ht="13.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ht="13.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ht="13.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ht="13.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ht="13.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ht="13.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ht="13.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ht="13.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ht="13.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ht="13.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ht="13.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ht="13.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ht="13.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ht="13.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ht="13.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ht="13.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ht="13.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ht="13.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ht="13.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ht="13.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ht="13.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ht="13.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ht="13.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ht="13.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ht="13.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ht="13.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ht="13.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ht="13.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ht="13.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ht="13.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ht="13.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ht="13.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ht="13.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ht="13.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ht="13.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ht="13.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ht="13.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ht="13.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ht="13.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ht="13.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ht="13.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ht="13.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ht="13.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ht="13.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ht="13.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ht="13.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ht="13.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ht="13.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ht="13.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ht="13.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ht="13.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ht="13.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ht="13.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ht="13.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ht="13.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ht="13.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ht="13.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ht="13.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ht="13.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ht="13.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ht="13.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ht="13.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ht="13.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ht="13.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ht="13.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ht="13.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ht="13.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ht="13.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ht="13.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ht="13.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ht="13.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ht="13.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ht="13.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ht="13.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ht="13.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ht="13.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ht="13.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ht="13.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ht="13.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ht="13.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ht="13.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ht="13.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ht="13.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ht="13.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ht="13.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ht="13.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ht="13.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ht="13.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ht="13.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ht="13.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ht="13.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ht="13.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ht="13.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ht="13.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ht="13.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ht="13.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ht="13.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ht="13.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ht="13.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ht="13.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ht="13.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ht="13.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ht="13.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ht="13.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ht="13.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ht="13.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ht="13.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ht="13.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ht="13.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ht="13.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ht="13.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ht="13.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ht="13.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ht="13.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ht="13.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ht="13.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ht="13.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ht="13.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ht="13.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ht="13.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ht="13.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ht="13.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ht="13.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ht="13.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ht="13.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ht="13.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ht="13.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ht="13.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ht="13.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ht="13.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ht="13.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ht="13.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ht="13.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ht="13.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ht="13.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ht="13.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ht="13.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ht="13.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ht="13.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ht="13.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ht="13.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ht="13.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ht="13.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ht="13.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ht="13.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ht="13.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ht="13.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ht="13.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ht="13.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ht="13.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ht="13.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ht="13.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ht="13.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ht="13.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ht="13.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ht="13.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ht="13.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ht="13.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ht="13.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ht="13.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ht="13.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ht="13.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ht="13.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ht="13.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ht="13.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ht="13.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ht="13.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ht="13.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ht="13.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ht="13.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ht="13.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ht="13.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ht="13.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ht="13.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ht="13.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ht="13.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ht="13.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ht="13.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ht="13.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ht="13.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ht="13.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ht="13.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ht="13.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ht="13.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ht="13.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ht="13.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ht="13.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ht="13.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ht="13.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ht="13.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ht="13.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ht="13.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ht="13.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ht="13.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ht="13.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ht="13.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ht="13.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ht="13.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ht="13.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ht="13.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ht="13.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ht="13.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ht="13.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ht="13.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ht="13.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ht="13.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ht="13.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ht="13.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ht="13.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ht="13.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ht="13.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ht="13.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ht="13.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ht="13.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ht="13.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ht="13.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ht="13.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ht="13.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ht="13.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ht="13.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ht="13.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ht="13.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ht="13.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ht="13.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ht="13.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ht="13.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ht="13.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ht="13.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ht="13.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ht="13.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ht="13.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ht="13.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ht="13.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ht="13.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ht="13.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ht="13.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ht="13.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ht="13.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ht="13.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ht="13.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ht="13.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ht="13.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ht="13.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ht="13.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ht="13.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ht="13.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ht="13.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ht="13.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ht="13.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ht="13.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ht="13.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ht="13.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ht="13.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ht="13.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ht="13.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ht="13.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ht="13.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ht="13.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ht="13.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ht="13.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ht="13.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ht="13.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ht="13.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ht="13.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ht="13.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ht="13.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ht="13.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ht="13.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ht="13.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ht="13.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ht="13.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ht="13.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ht="13.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ht="13.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ht="13.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ht="13.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ht="13.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ht="13.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ht="13.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ht="13.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ht="13.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ht="13.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ht="13.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ht="13.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ht="13.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ht="13.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ht="13.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ht="13.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ht="13.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ht="13.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ht="13.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ht="13.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ht="13.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ht="13.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ht="13.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ht="13.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ht="13.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ht="13.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ht="13.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ht="13.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ht="13.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ht="13.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ht="13.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ht="13.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ht="13.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ht="13.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ht="13.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ht="13.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ht="13.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ht="13.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ht="13.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ht="13.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ht="13.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ht="13.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ht="13.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ht="13.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ht="13.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ht="13.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ht="13.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ht="13.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ht="13.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ht="13.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ht="13.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ht="13.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ht="13.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ht="13.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ht="13.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ht="13.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ht="13.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ht="13.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ht="13.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ht="13.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ht="13.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ht="13.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ht="13.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ht="13.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ht="13.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ht="13.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ht="13.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ht="13.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ht="13.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ht="13.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ht="13.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ht="13.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ht="13.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ht="13.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ht="13.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ht="13.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ht="13.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ht="13.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ht="13.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ht="13.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00"/>
  <sheetViews>
    <sheetView zoomScale="80" zoomScaleNormal="80" workbookViewId="0">
      <selection activeCell="A4" sqref="A4"/>
    </sheetView>
  </sheetViews>
  <sheetFormatPr defaultColWidth="12.6640625" defaultRowHeight="14" x14ac:dyDescent="0.3"/>
  <cols>
    <col min="1" max="1" width="35.83203125" customWidth="1"/>
    <col min="2" max="2" width="7.83203125" customWidth="1"/>
    <col min="3" max="3" width="17.75" bestFit="1" customWidth="1"/>
    <col min="4" max="5" width="52.83203125" customWidth="1"/>
    <col min="6" max="6" width="14.58203125" bestFit="1" customWidth="1"/>
    <col min="7" max="7" width="53.75" bestFit="1" customWidth="1"/>
    <col min="8" max="8" width="52.83203125" customWidth="1"/>
    <col min="9" max="11" width="53.75" bestFit="1" customWidth="1"/>
    <col min="12" max="12" width="17.1640625" customWidth="1"/>
    <col min="13" max="17" width="53.75" bestFit="1" customWidth="1"/>
    <col min="18" max="18" width="22.58203125" bestFit="1" customWidth="1"/>
    <col min="19" max="19" width="21.5" customWidth="1"/>
    <col min="20" max="20" width="52.83203125" customWidth="1"/>
    <col min="21" max="21" width="17.5" customWidth="1"/>
    <col min="22" max="22" width="16.9140625" bestFit="1" customWidth="1"/>
    <col min="23" max="24" width="53.75" bestFit="1" customWidth="1"/>
    <col min="25" max="29" width="52.83203125" customWidth="1"/>
    <col min="30" max="30" width="21.6640625" customWidth="1"/>
    <col min="31" max="31" width="8" customWidth="1"/>
  </cols>
  <sheetData>
    <row r="1" spans="1:31" ht="43.5" x14ac:dyDescent="0.3">
      <c r="A1" s="1" t="s">
        <v>0</v>
      </c>
      <c r="B1" s="1" t="s">
        <v>1</v>
      </c>
      <c r="C1" s="1" t="s">
        <v>554</v>
      </c>
      <c r="D1" s="1" t="s">
        <v>555</v>
      </c>
      <c r="E1" s="1" t="s">
        <v>556</v>
      </c>
      <c r="F1" s="1" t="s">
        <v>557</v>
      </c>
      <c r="G1" s="1" t="s">
        <v>558</v>
      </c>
      <c r="H1" s="1" t="s">
        <v>559</v>
      </c>
      <c r="I1" s="1" t="s">
        <v>560</v>
      </c>
      <c r="J1" s="1" t="s">
        <v>561</v>
      </c>
      <c r="K1" s="1" t="s">
        <v>562</v>
      </c>
      <c r="L1" s="1" t="s">
        <v>563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20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228</v>
      </c>
      <c r="W1" s="1" t="s">
        <v>229</v>
      </c>
      <c r="X1" s="1" t="s">
        <v>568</v>
      </c>
      <c r="Y1" s="18" t="s">
        <v>569</v>
      </c>
      <c r="Z1" s="1" t="s">
        <v>570</v>
      </c>
      <c r="AA1" s="1" t="s">
        <v>60</v>
      </c>
      <c r="AB1" s="1" t="s">
        <v>571</v>
      </c>
      <c r="AC1" s="1" t="s">
        <v>572</v>
      </c>
      <c r="AD1" s="19"/>
      <c r="AE1" s="20"/>
    </row>
    <row r="2" spans="1:31" ht="14.5" x14ac:dyDescent="0.3">
      <c r="A2" s="2" t="s">
        <v>64</v>
      </c>
      <c r="B2" s="2" t="s">
        <v>65</v>
      </c>
      <c r="C2" s="14" t="s">
        <v>573</v>
      </c>
      <c r="D2" s="2" t="s">
        <v>574</v>
      </c>
      <c r="E2" s="2" t="s">
        <v>575</v>
      </c>
      <c r="F2" s="2" t="s">
        <v>576</v>
      </c>
      <c r="G2" s="2" t="s">
        <v>577</v>
      </c>
      <c r="H2" s="2" t="s">
        <v>578</v>
      </c>
      <c r="I2" s="2" t="s">
        <v>90</v>
      </c>
      <c r="J2" s="2" t="s">
        <v>91</v>
      </c>
      <c r="K2" s="2" t="s">
        <v>92</v>
      </c>
      <c r="L2" s="2" t="s">
        <v>88</v>
      </c>
      <c r="M2" s="2" t="s">
        <v>291</v>
      </c>
      <c r="N2" s="2" t="s">
        <v>292</v>
      </c>
      <c r="O2" s="2" t="s">
        <v>293</v>
      </c>
      <c r="P2" s="2" t="s">
        <v>294</v>
      </c>
      <c r="Q2" s="2" t="s">
        <v>295</v>
      </c>
      <c r="R2" s="2" t="s">
        <v>579</v>
      </c>
      <c r="S2" s="2" t="s">
        <v>580</v>
      </c>
      <c r="T2" s="2" t="s">
        <v>581</v>
      </c>
      <c r="U2" s="2" t="s">
        <v>582</v>
      </c>
      <c r="V2" s="14" t="s">
        <v>287</v>
      </c>
      <c r="W2" s="14" t="s">
        <v>288</v>
      </c>
      <c r="X2" s="2" t="s">
        <v>583</v>
      </c>
      <c r="Y2" s="2" t="s">
        <v>584</v>
      </c>
      <c r="Z2" s="2" t="s">
        <v>585</v>
      </c>
      <c r="AA2" s="2" t="s">
        <v>586</v>
      </c>
      <c r="AB2" s="2" t="s">
        <v>587</v>
      </c>
      <c r="AC2" s="2" t="s">
        <v>588</v>
      </c>
      <c r="AD2" s="19"/>
      <c r="AE2" s="19"/>
    </row>
    <row r="3" spans="1:31" ht="14.5" x14ac:dyDescent="0.35">
      <c r="A3" s="3" t="s">
        <v>129</v>
      </c>
      <c r="B3" s="3">
        <v>2001</v>
      </c>
      <c r="C3" s="3"/>
      <c r="D3" s="21" t="s">
        <v>589</v>
      </c>
      <c r="E3" s="21" t="s">
        <v>590</v>
      </c>
      <c r="F3" s="6" t="s">
        <v>590</v>
      </c>
      <c r="H3" s="6" t="s">
        <v>590</v>
      </c>
      <c r="I3" s="22" t="s">
        <v>591</v>
      </c>
      <c r="J3" s="3" t="s">
        <v>591</v>
      </c>
      <c r="K3" s="3" t="s">
        <v>591</v>
      </c>
      <c r="L3" s="3" t="s">
        <v>591</v>
      </c>
      <c r="M3" s="5"/>
      <c r="N3" s="5"/>
      <c r="O3" s="5"/>
      <c r="P3" s="6"/>
      <c r="Q3" s="5"/>
      <c r="R3" s="23" t="s">
        <v>591</v>
      </c>
      <c r="S3" s="8" t="str">
        <f t="shared" ref="S3:S6" si="0">IF(Q3=""," ",D3/Q3)</f>
        <v xml:space="preserve"> </v>
      </c>
      <c r="T3" s="5">
        <v>658990105</v>
      </c>
      <c r="U3" s="8" t="str">
        <f t="shared" ref="U3:U6" si="1">IF(N3=""," ",T3/N3)</f>
        <v xml:space="preserve"> </v>
      </c>
      <c r="V3" s="6"/>
      <c r="W3" s="6"/>
      <c r="X3" s="5">
        <f>-23.2*1000000</f>
        <v>-23200000</v>
      </c>
      <c r="Y3" s="3"/>
      <c r="Z3" s="5"/>
      <c r="AA3" s="5"/>
      <c r="AB3" s="5"/>
      <c r="AC3" s="5"/>
      <c r="AD3" s="14"/>
      <c r="AE3" s="3"/>
    </row>
    <row r="4" spans="1:31" ht="14.5" x14ac:dyDescent="0.35">
      <c r="A4" s="3" t="s">
        <v>129</v>
      </c>
      <c r="B4" s="3">
        <v>2002</v>
      </c>
      <c r="C4" s="3" t="s">
        <v>350</v>
      </c>
      <c r="D4" s="21" t="s">
        <v>589</v>
      </c>
      <c r="E4" s="21" t="s">
        <v>590</v>
      </c>
      <c r="F4" s="6" t="s">
        <v>590</v>
      </c>
      <c r="G4" s="3" t="s">
        <v>592</v>
      </c>
      <c r="H4" s="6" t="s">
        <v>590</v>
      </c>
      <c r="I4" s="3" t="s">
        <v>591</v>
      </c>
      <c r="J4" s="3" t="s">
        <v>591</v>
      </c>
      <c r="K4" s="3" t="s">
        <v>591</v>
      </c>
      <c r="L4" s="3" t="s">
        <v>591</v>
      </c>
      <c r="M4" s="5"/>
      <c r="N4" s="5"/>
      <c r="O4" s="5"/>
      <c r="P4" s="6"/>
      <c r="Q4" s="5"/>
      <c r="R4" s="23" t="s">
        <v>591</v>
      </c>
      <c r="S4" s="8" t="str">
        <f t="shared" si="0"/>
        <v xml:space="preserve"> </v>
      </c>
      <c r="T4" s="5">
        <v>595908315</v>
      </c>
      <c r="U4" s="8" t="str">
        <f t="shared" si="1"/>
        <v xml:space="preserve"> </v>
      </c>
      <c r="V4" s="6"/>
      <c r="W4" s="6"/>
      <c r="X4" s="5">
        <f>-61.1*1000000</f>
        <v>-61100000</v>
      </c>
      <c r="Y4" s="5">
        <v>22315700</v>
      </c>
      <c r="Z4" s="5">
        <v>199115</v>
      </c>
      <c r="AA4" s="5">
        <v>398141</v>
      </c>
      <c r="AB4" s="5">
        <v>16067</v>
      </c>
      <c r="AC4" s="5">
        <v>22929023</v>
      </c>
      <c r="AD4" s="3"/>
      <c r="AE4" s="3"/>
    </row>
    <row r="5" spans="1:31" ht="14.5" x14ac:dyDescent="0.35">
      <c r="A5" s="3" t="s">
        <v>129</v>
      </c>
      <c r="B5" s="3">
        <v>2003</v>
      </c>
      <c r="C5" s="3" t="s">
        <v>350</v>
      </c>
      <c r="D5" s="21" t="s">
        <v>589</v>
      </c>
      <c r="E5" s="21" t="s">
        <v>590</v>
      </c>
      <c r="F5" s="6" t="s">
        <v>590</v>
      </c>
      <c r="G5" s="3" t="s">
        <v>592</v>
      </c>
      <c r="H5" s="6" t="s">
        <v>590</v>
      </c>
      <c r="I5" s="3" t="s">
        <v>591</v>
      </c>
      <c r="J5" s="3" t="s">
        <v>591</v>
      </c>
      <c r="K5" s="3" t="s">
        <v>591</v>
      </c>
      <c r="L5" s="3" t="s">
        <v>591</v>
      </c>
      <c r="M5" s="5"/>
      <c r="N5" s="5"/>
      <c r="O5" s="5"/>
      <c r="P5" s="6"/>
      <c r="Q5" s="5"/>
      <c r="R5" s="23" t="s">
        <v>591</v>
      </c>
      <c r="S5" s="8" t="str">
        <f t="shared" si="0"/>
        <v xml:space="preserve"> </v>
      </c>
      <c r="T5" s="5">
        <v>595857604</v>
      </c>
      <c r="U5" s="8" t="str">
        <f t="shared" si="1"/>
        <v xml:space="preserve"> </v>
      </c>
      <c r="V5" s="6"/>
      <c r="W5" s="6"/>
      <c r="X5" s="5">
        <f>-46*1000000</f>
        <v>-46000000</v>
      </c>
      <c r="Y5" s="5">
        <v>24046946</v>
      </c>
      <c r="Z5" s="5">
        <v>220762</v>
      </c>
      <c r="AA5" s="5">
        <v>377870</v>
      </c>
      <c r="AB5" s="5">
        <v>22936</v>
      </c>
      <c r="AC5" s="5">
        <v>24668514</v>
      </c>
      <c r="AD5" s="3"/>
      <c r="AE5" s="3"/>
    </row>
    <row r="6" spans="1:31" ht="14.5" x14ac:dyDescent="0.35">
      <c r="A6" s="3" t="s">
        <v>129</v>
      </c>
      <c r="B6" s="3">
        <v>2004</v>
      </c>
      <c r="C6" s="3" t="s">
        <v>350</v>
      </c>
      <c r="D6" s="5">
        <f>2.6*1000000</f>
        <v>2600000</v>
      </c>
      <c r="E6" s="5">
        <f t="shared" ref="E6:E7" si="2">D6*0%</f>
        <v>0</v>
      </c>
      <c r="F6" s="9">
        <f t="shared" ref="F6:F15" si="3">D6-E6</f>
        <v>2600000</v>
      </c>
      <c r="G6" s="3" t="s">
        <v>592</v>
      </c>
      <c r="H6" s="8">
        <f t="shared" ref="H6:H15" si="4">E6/D6</f>
        <v>0</v>
      </c>
      <c r="I6" s="3" t="s">
        <v>591</v>
      </c>
      <c r="J6" s="3" t="s">
        <v>591</v>
      </c>
      <c r="K6" s="3" t="s">
        <v>591</v>
      </c>
      <c r="L6" s="3" t="s">
        <v>591</v>
      </c>
      <c r="M6" s="5"/>
      <c r="N6" s="5"/>
      <c r="O6" s="5"/>
      <c r="P6" s="6"/>
      <c r="Q6" s="5"/>
      <c r="R6" s="23" t="s">
        <v>591</v>
      </c>
      <c r="S6" s="8" t="str">
        <f t="shared" si="0"/>
        <v xml:space="preserve"> </v>
      </c>
      <c r="T6" s="5">
        <f>664116*1000</f>
        <v>664116000</v>
      </c>
      <c r="U6" s="8" t="str">
        <f t="shared" si="1"/>
        <v xml:space="preserve"> </v>
      </c>
      <c r="V6" s="6"/>
      <c r="W6" s="6"/>
      <c r="X6" s="5">
        <f>-8.5*1000000</f>
        <v>-8500000</v>
      </c>
      <c r="Y6" s="5">
        <f>25724*1000</f>
        <v>25724000</v>
      </c>
      <c r="Z6" s="5">
        <f>303*1000</f>
        <v>303000</v>
      </c>
      <c r="AA6" s="5">
        <f>347*1000</f>
        <v>347000</v>
      </c>
      <c r="AB6" s="5">
        <v>0</v>
      </c>
      <c r="AC6" s="5">
        <f>26374*1000</f>
        <v>26374000</v>
      </c>
      <c r="AD6" s="3"/>
      <c r="AE6" s="3"/>
    </row>
    <row r="7" spans="1:31" ht="14.5" x14ac:dyDescent="0.35">
      <c r="A7" s="3" t="s">
        <v>129</v>
      </c>
      <c r="B7" s="3">
        <v>2005</v>
      </c>
      <c r="C7" s="3" t="s">
        <v>350</v>
      </c>
      <c r="D7" s="5">
        <f>3.4*1000000</f>
        <v>3400000</v>
      </c>
      <c r="E7" s="5">
        <f t="shared" si="2"/>
        <v>0</v>
      </c>
      <c r="F7" s="9">
        <f t="shared" si="3"/>
        <v>3400000</v>
      </c>
      <c r="G7" s="3" t="s">
        <v>592</v>
      </c>
      <c r="H7" s="8">
        <f t="shared" si="4"/>
        <v>0</v>
      </c>
      <c r="I7" s="3" t="s">
        <v>591</v>
      </c>
      <c r="J7" s="3" t="s">
        <v>591</v>
      </c>
      <c r="K7" s="3" t="s">
        <v>591</v>
      </c>
      <c r="L7" s="3" t="s">
        <v>591</v>
      </c>
      <c r="M7" s="5">
        <f>694*1000000</f>
        <v>694000000</v>
      </c>
      <c r="N7" s="5">
        <f>621*1000000</f>
        <v>621000000</v>
      </c>
      <c r="O7" s="5">
        <f>-73*1000000</f>
        <v>-73000000</v>
      </c>
      <c r="P7" s="6">
        <v>1.1200000000000001</v>
      </c>
      <c r="Q7" s="5">
        <f>65*1000000</f>
        <v>65000000</v>
      </c>
      <c r="R7" s="23" t="s">
        <v>591</v>
      </c>
      <c r="S7" s="8">
        <f t="shared" ref="S7:S15" si="5">D7/Q7</f>
        <v>5.2307692307692305E-2</v>
      </c>
      <c r="T7" s="5">
        <f>723854*1000</f>
        <v>723854000</v>
      </c>
      <c r="U7" s="8">
        <f t="shared" ref="U7:U20" si="6">T7/N7</f>
        <v>1.1656264090177133</v>
      </c>
      <c r="V7" s="6"/>
      <c r="W7" s="6"/>
      <c r="X7" s="5">
        <f>11.2*1000000</f>
        <v>11200000</v>
      </c>
      <c r="Y7" s="5">
        <f>27606*1000</f>
        <v>27606000</v>
      </c>
      <c r="Z7" s="5">
        <f>173*1000</f>
        <v>173000</v>
      </c>
      <c r="AA7" s="5">
        <f>358*1000</f>
        <v>358000</v>
      </c>
      <c r="AB7" s="5">
        <f>70*1000</f>
        <v>70000</v>
      </c>
      <c r="AC7" s="5">
        <f>28207*1000</f>
        <v>28207000</v>
      </c>
      <c r="AD7" s="3"/>
      <c r="AE7" s="3"/>
    </row>
    <row r="8" spans="1:31" ht="14.5" x14ac:dyDescent="0.35">
      <c r="A8" s="3" t="s">
        <v>129</v>
      </c>
      <c r="B8" s="3">
        <v>2006</v>
      </c>
      <c r="C8" s="3" t="s">
        <v>350</v>
      </c>
      <c r="D8" s="5">
        <f>6.1*1000000</f>
        <v>6100000</v>
      </c>
      <c r="E8" s="5">
        <f>D8*48%</f>
        <v>2928000</v>
      </c>
      <c r="F8" s="9">
        <f t="shared" si="3"/>
        <v>3172000</v>
      </c>
      <c r="G8" s="3" t="s">
        <v>592</v>
      </c>
      <c r="H8" s="8">
        <f t="shared" si="4"/>
        <v>0.48</v>
      </c>
      <c r="I8" s="3" t="s">
        <v>591</v>
      </c>
      <c r="J8" s="3" t="s">
        <v>591</v>
      </c>
      <c r="K8" s="3" t="s">
        <v>591</v>
      </c>
      <c r="L8" s="3" t="s">
        <v>591</v>
      </c>
      <c r="M8" s="5">
        <f>743*1000000</f>
        <v>743000000</v>
      </c>
      <c r="N8" s="5">
        <f>671*1000000</f>
        <v>671000000</v>
      </c>
      <c r="O8" s="5">
        <f>-72*1000000</f>
        <v>-72000000</v>
      </c>
      <c r="P8" s="6">
        <v>1.1100000000000001</v>
      </c>
      <c r="Q8" s="5">
        <f>69*1000000</f>
        <v>69000000</v>
      </c>
      <c r="R8" s="23" t="s">
        <v>591</v>
      </c>
      <c r="S8" s="8">
        <f t="shared" si="5"/>
        <v>8.8405797101449274E-2</v>
      </c>
      <c r="T8" s="5">
        <f>818165*1000</f>
        <v>818165000</v>
      </c>
      <c r="U8" s="8">
        <f t="shared" si="6"/>
        <v>1.2193219076005961</v>
      </c>
      <c r="V8" s="6"/>
      <c r="W8" s="6"/>
      <c r="X8" s="5">
        <f>18.2*1000000</f>
        <v>18200000</v>
      </c>
      <c r="Y8" s="5">
        <f>30666*1000</f>
        <v>30666000</v>
      </c>
      <c r="Z8" s="5">
        <f>125*1000</f>
        <v>125000</v>
      </c>
      <c r="AA8" s="5">
        <f>408*1000</f>
        <v>408000</v>
      </c>
      <c r="AB8" s="5">
        <f>29*1000</f>
        <v>29000</v>
      </c>
      <c r="AC8" s="5">
        <f>31228*1000</f>
        <v>31228000</v>
      </c>
      <c r="AD8" s="3"/>
      <c r="AE8" s="3"/>
    </row>
    <row r="9" spans="1:31" ht="14.5" x14ac:dyDescent="0.35">
      <c r="A9" s="3" t="s">
        <v>129</v>
      </c>
      <c r="B9" s="3">
        <v>2007</v>
      </c>
      <c r="C9" s="3" t="s">
        <v>350</v>
      </c>
      <c r="D9" s="5">
        <f>5.3*1000000</f>
        <v>5300000</v>
      </c>
      <c r="E9" s="5">
        <f>D9*62%</f>
        <v>3286000</v>
      </c>
      <c r="F9" s="9">
        <f t="shared" si="3"/>
        <v>2014000</v>
      </c>
      <c r="G9" s="3" t="s">
        <v>592</v>
      </c>
      <c r="H9" s="8">
        <f t="shared" si="4"/>
        <v>0.62</v>
      </c>
      <c r="I9" s="3" t="s">
        <v>591</v>
      </c>
      <c r="J9" s="3" t="s">
        <v>591</v>
      </c>
      <c r="K9" s="3" t="s">
        <v>591</v>
      </c>
      <c r="L9" s="3" t="s">
        <v>591</v>
      </c>
      <c r="M9" s="5">
        <f>800*1000000</f>
        <v>800000000</v>
      </c>
      <c r="N9" s="5">
        <f>702*1000000</f>
        <v>702000000</v>
      </c>
      <c r="O9" s="5">
        <f>-98*1000000</f>
        <v>-98000000</v>
      </c>
      <c r="P9" s="6">
        <v>1.1399999999999999</v>
      </c>
      <c r="Q9" s="5">
        <f>72*1000000</f>
        <v>72000000</v>
      </c>
      <c r="R9" s="23" t="s">
        <v>591</v>
      </c>
      <c r="S9" s="8">
        <f t="shared" si="5"/>
        <v>7.3611111111111113E-2</v>
      </c>
      <c r="T9" s="5">
        <f>964597*1000</f>
        <v>964597000</v>
      </c>
      <c r="U9" s="8">
        <f t="shared" si="6"/>
        <v>1.3740698005698007</v>
      </c>
      <c r="V9" s="6"/>
      <c r="W9" s="6"/>
      <c r="X9" s="5">
        <f>-12.1*1000000</f>
        <v>-12100000</v>
      </c>
      <c r="Y9" s="5">
        <f>31393*1000</f>
        <v>31393000</v>
      </c>
      <c r="Z9" s="5">
        <f>291*1000</f>
        <v>291000</v>
      </c>
      <c r="AA9" s="5">
        <f>381*1000</f>
        <v>381000</v>
      </c>
      <c r="AB9" s="5">
        <v>0</v>
      </c>
      <c r="AC9" s="5">
        <f>32065*1000</f>
        <v>32065000</v>
      </c>
      <c r="AD9" s="3"/>
      <c r="AE9" s="3"/>
    </row>
    <row r="10" spans="1:31" ht="14.5" x14ac:dyDescent="0.35">
      <c r="A10" s="3" t="s">
        <v>129</v>
      </c>
      <c r="B10" s="3">
        <v>2008</v>
      </c>
      <c r="C10" s="3" t="s">
        <v>350</v>
      </c>
      <c r="D10" s="5">
        <f>6.8*1000000</f>
        <v>6800000</v>
      </c>
      <c r="E10" s="5">
        <f>D10*89%</f>
        <v>6052000</v>
      </c>
      <c r="F10" s="9">
        <f t="shared" si="3"/>
        <v>748000</v>
      </c>
      <c r="G10" s="3" t="s">
        <v>592</v>
      </c>
      <c r="H10" s="8">
        <f t="shared" si="4"/>
        <v>0.89</v>
      </c>
      <c r="I10" s="3" t="s">
        <v>591</v>
      </c>
      <c r="J10" s="3" t="s">
        <v>591</v>
      </c>
      <c r="K10" s="3" t="s">
        <v>591</v>
      </c>
      <c r="L10" s="3" t="s">
        <v>591</v>
      </c>
      <c r="M10" s="5">
        <f>870*1000000</f>
        <v>870000000</v>
      </c>
      <c r="N10" s="5">
        <f>745*1000000</f>
        <v>745000000</v>
      </c>
      <c r="O10" s="5">
        <f>-124*1000000</f>
        <v>-124000000</v>
      </c>
      <c r="P10" s="6">
        <v>1.17</v>
      </c>
      <c r="Q10" s="5">
        <f>79*1000000</f>
        <v>79000000</v>
      </c>
      <c r="R10" s="23" t="s">
        <v>591</v>
      </c>
      <c r="S10" s="8">
        <f t="shared" si="5"/>
        <v>8.6075949367088608E-2</v>
      </c>
      <c r="T10" s="5">
        <f>931844*1000</f>
        <v>931844000</v>
      </c>
      <c r="U10" s="8">
        <f t="shared" si="6"/>
        <v>1.2507973154362415</v>
      </c>
      <c r="V10" s="6"/>
      <c r="W10" s="6"/>
      <c r="X10" s="5">
        <f>23.6*1000000</f>
        <v>23600000</v>
      </c>
      <c r="Y10" s="5">
        <f>32963*1000</f>
        <v>32963000</v>
      </c>
      <c r="Z10" s="5">
        <f>269*1000</f>
        <v>269000</v>
      </c>
      <c r="AA10" s="5">
        <f>391*1000</f>
        <v>391000</v>
      </c>
      <c r="AB10" s="5">
        <f>8*1000</f>
        <v>8000</v>
      </c>
      <c r="AC10" s="5">
        <f>33631*1000</f>
        <v>33631000</v>
      </c>
      <c r="AD10" s="3"/>
      <c r="AE10" s="3"/>
    </row>
    <row r="11" spans="1:31" ht="14.5" x14ac:dyDescent="0.35">
      <c r="A11" s="3" t="s">
        <v>129</v>
      </c>
      <c r="B11" s="3">
        <v>2009</v>
      </c>
      <c r="C11" s="3" t="s">
        <v>350</v>
      </c>
      <c r="D11" s="5">
        <f>5*1000000</f>
        <v>5000000</v>
      </c>
      <c r="E11" s="5">
        <f>D11*127%</f>
        <v>6350000</v>
      </c>
      <c r="F11" s="9">
        <f t="shared" si="3"/>
        <v>-1350000</v>
      </c>
      <c r="G11" s="3" t="s">
        <v>592</v>
      </c>
      <c r="H11" s="8">
        <f t="shared" si="4"/>
        <v>1.27</v>
      </c>
      <c r="I11" s="3" t="s">
        <v>591</v>
      </c>
      <c r="J11" s="3" t="s">
        <v>591</v>
      </c>
      <c r="K11" s="3" t="s">
        <v>591</v>
      </c>
      <c r="L11" s="3" t="s">
        <v>591</v>
      </c>
      <c r="M11" s="5">
        <f>900*1000000</f>
        <v>900000000</v>
      </c>
      <c r="N11" s="5">
        <f>790*1000000</f>
        <v>790000000</v>
      </c>
      <c r="O11" s="5">
        <f>-110*1000000</f>
        <v>-110000000</v>
      </c>
      <c r="P11" s="6">
        <v>1.1399999999999999</v>
      </c>
      <c r="Q11" s="5">
        <f t="shared" ref="Q11:Q12" si="7">83*1000000</f>
        <v>83000000</v>
      </c>
      <c r="R11" s="23" t="s">
        <v>591</v>
      </c>
      <c r="S11" s="8">
        <f t="shared" si="5"/>
        <v>6.0240963855421686E-2</v>
      </c>
      <c r="T11" s="5">
        <f>698624*1000</f>
        <v>698624000</v>
      </c>
      <c r="U11" s="8">
        <f t="shared" si="6"/>
        <v>0.88433417721518992</v>
      </c>
      <c r="V11" s="6"/>
      <c r="W11" s="6"/>
      <c r="X11" s="5">
        <f>-6.2*1000000</f>
        <v>-6200000</v>
      </c>
      <c r="Y11" s="5">
        <f>34522*1000</f>
        <v>34522000</v>
      </c>
      <c r="Z11" s="5">
        <f>211*1000</f>
        <v>211000</v>
      </c>
      <c r="AA11" s="5">
        <f>354*1000</f>
        <v>354000</v>
      </c>
      <c r="AB11" s="5">
        <f>160*1000</f>
        <v>160000</v>
      </c>
      <c r="AC11" s="5">
        <f>35247*1000</f>
        <v>35247000</v>
      </c>
      <c r="AD11" s="3"/>
      <c r="AE11" s="3"/>
    </row>
    <row r="12" spans="1:31" ht="14.5" x14ac:dyDescent="0.35">
      <c r="A12" s="3" t="s">
        <v>129</v>
      </c>
      <c r="B12" s="3">
        <v>2010</v>
      </c>
      <c r="C12" s="3" t="s">
        <v>350</v>
      </c>
      <c r="D12" s="5">
        <f>6.6*1000000</f>
        <v>6600000</v>
      </c>
      <c r="E12" s="5">
        <f>D12*80%</f>
        <v>5280000</v>
      </c>
      <c r="F12" s="9">
        <f t="shared" si="3"/>
        <v>1320000</v>
      </c>
      <c r="G12" s="3" t="s">
        <v>592</v>
      </c>
      <c r="H12" s="8">
        <f t="shared" si="4"/>
        <v>0.8</v>
      </c>
      <c r="I12" s="3" t="s">
        <v>591</v>
      </c>
      <c r="J12" s="3" t="s">
        <v>591</v>
      </c>
      <c r="K12" s="3" t="s">
        <v>591</v>
      </c>
      <c r="L12" s="3" t="s">
        <v>591</v>
      </c>
      <c r="M12" s="5">
        <f>920*1000000</f>
        <v>920000000</v>
      </c>
      <c r="N12" s="5">
        <f>812*1000000</f>
        <v>812000000</v>
      </c>
      <c r="O12" s="5">
        <f>-107*1000000</f>
        <v>-107000000</v>
      </c>
      <c r="P12" s="6">
        <v>1.1299999999999999</v>
      </c>
      <c r="Q12" s="5">
        <f t="shared" si="7"/>
        <v>83000000</v>
      </c>
      <c r="R12" s="23" t="s">
        <v>591</v>
      </c>
      <c r="S12" s="8">
        <f t="shared" si="5"/>
        <v>7.9518072289156624E-2</v>
      </c>
      <c r="T12" s="5">
        <f>764191*1000</f>
        <v>764191000</v>
      </c>
      <c r="U12" s="8">
        <f t="shared" si="6"/>
        <v>0.94112192118226601</v>
      </c>
      <c r="V12" s="6"/>
      <c r="W12" s="6"/>
      <c r="X12" s="5">
        <f>-3*1000000</f>
        <v>-3000000</v>
      </c>
      <c r="Y12" s="5">
        <f>36116*1000</f>
        <v>36116000</v>
      </c>
      <c r="Z12" s="5">
        <f>127*1000</f>
        <v>127000</v>
      </c>
      <c r="AA12" s="5">
        <f>364*1000</f>
        <v>364000</v>
      </c>
      <c r="AB12" s="5">
        <f>14*1000</f>
        <v>14000</v>
      </c>
      <c r="AC12" s="5">
        <f>36621*1000</f>
        <v>36621000</v>
      </c>
      <c r="AD12" s="3"/>
      <c r="AE12" s="3"/>
    </row>
    <row r="13" spans="1:31" ht="14.5" x14ac:dyDescent="0.35">
      <c r="A13" s="3" t="s">
        <v>129</v>
      </c>
      <c r="B13" s="3">
        <v>2011</v>
      </c>
      <c r="C13" s="3" t="s">
        <v>350</v>
      </c>
      <c r="D13" s="5">
        <f>2.3*1000000</f>
        <v>2300000</v>
      </c>
      <c r="E13" s="5">
        <f>D13*228%</f>
        <v>5244000</v>
      </c>
      <c r="F13" s="9">
        <f t="shared" si="3"/>
        <v>-2944000</v>
      </c>
      <c r="G13" s="3" t="s">
        <v>592</v>
      </c>
      <c r="H13" s="8">
        <f t="shared" si="4"/>
        <v>2.2799999999999998</v>
      </c>
      <c r="I13" s="3" t="s">
        <v>591</v>
      </c>
      <c r="J13" s="3" t="s">
        <v>591</v>
      </c>
      <c r="K13" s="3" t="s">
        <v>591</v>
      </c>
      <c r="L13" s="3" t="s">
        <v>591</v>
      </c>
      <c r="M13" s="5">
        <f>949*1000000</f>
        <v>949000000</v>
      </c>
      <c r="N13" s="5">
        <f>859*1000000</f>
        <v>859000000</v>
      </c>
      <c r="O13" s="5">
        <f>-90*1000000</f>
        <v>-90000000</v>
      </c>
      <c r="P13" s="6">
        <v>1.1000000000000001</v>
      </c>
      <c r="Q13" s="5">
        <f>82*1000000</f>
        <v>82000000</v>
      </c>
      <c r="R13" s="23" t="s">
        <v>591</v>
      </c>
      <c r="S13" s="8">
        <f t="shared" si="5"/>
        <v>2.8048780487804879E-2</v>
      </c>
      <c r="T13" s="5">
        <f>894899*1000</f>
        <v>894899000</v>
      </c>
      <c r="U13" s="8">
        <f t="shared" si="6"/>
        <v>1.0417916181606519</v>
      </c>
      <c r="V13" s="6"/>
      <c r="W13" s="6"/>
      <c r="X13" s="5">
        <f>10.2*1000000</f>
        <v>10200000</v>
      </c>
      <c r="Y13" s="5">
        <f>38387*1000</f>
        <v>38387000</v>
      </c>
      <c r="Z13" s="5">
        <f>315*1000</f>
        <v>315000</v>
      </c>
      <c r="AA13" s="5">
        <f>356*1000</f>
        <v>356000</v>
      </c>
      <c r="AB13" s="5">
        <f>(21+1)*1000</f>
        <v>22000</v>
      </c>
      <c r="AC13" s="5">
        <f>39080*1000</f>
        <v>39080000</v>
      </c>
      <c r="AD13" s="3"/>
      <c r="AE13" s="3"/>
    </row>
    <row r="14" spans="1:31" ht="14.5" x14ac:dyDescent="0.35">
      <c r="A14" s="3" t="s">
        <v>129</v>
      </c>
      <c r="B14" s="3">
        <v>2012</v>
      </c>
      <c r="C14" s="3" t="s">
        <v>350</v>
      </c>
      <c r="D14" s="5">
        <f>2.9*1000000</f>
        <v>2900000</v>
      </c>
      <c r="E14" s="5">
        <f>D14*224%</f>
        <v>6496000.0000000009</v>
      </c>
      <c r="F14" s="9">
        <f t="shared" si="3"/>
        <v>-3596000.0000000009</v>
      </c>
      <c r="G14" s="3" t="s">
        <v>592</v>
      </c>
      <c r="H14" s="8">
        <f t="shared" si="4"/>
        <v>2.2400000000000002</v>
      </c>
      <c r="I14" s="3" t="s">
        <v>591</v>
      </c>
      <c r="J14" s="3" t="s">
        <v>591</v>
      </c>
      <c r="K14" s="3" t="s">
        <v>591</v>
      </c>
      <c r="L14" s="3" t="s">
        <v>591</v>
      </c>
      <c r="M14" s="5">
        <f>982*1000000</f>
        <v>982000000</v>
      </c>
      <c r="N14" s="5">
        <f>884*1000000</f>
        <v>884000000</v>
      </c>
      <c r="O14" s="5">
        <f>-97*1000000</f>
        <v>-97000000</v>
      </c>
      <c r="P14" s="6">
        <v>1.1100000000000001</v>
      </c>
      <c r="Q14" s="5">
        <f t="shared" ref="Q14:Q15" si="8">80*1000000</f>
        <v>80000000</v>
      </c>
      <c r="R14" s="23" t="s">
        <v>591</v>
      </c>
      <c r="S14" s="8">
        <f t="shared" si="5"/>
        <v>3.6249999999999998E-2</v>
      </c>
      <c r="T14" s="5">
        <f>879220*1000</f>
        <v>879220000</v>
      </c>
      <c r="U14" s="8">
        <f t="shared" si="6"/>
        <v>0.99459276018099552</v>
      </c>
      <c r="V14" s="6"/>
      <c r="W14" s="6"/>
      <c r="X14" s="5">
        <f>8*1000000</f>
        <v>8000000</v>
      </c>
      <c r="Y14" s="5">
        <f>40368*1000</f>
        <v>40368000</v>
      </c>
      <c r="Z14" s="5">
        <f>262*1000</f>
        <v>262000</v>
      </c>
      <c r="AA14" s="5">
        <f>392*1000</f>
        <v>392000</v>
      </c>
      <c r="AB14" s="5">
        <f>32*1000</f>
        <v>32000</v>
      </c>
      <c r="AC14" s="5">
        <f>41054*1000</f>
        <v>41054000</v>
      </c>
      <c r="AD14" s="3"/>
      <c r="AE14" s="3"/>
    </row>
    <row r="15" spans="1:31" ht="14.5" x14ac:dyDescent="0.35">
      <c r="A15" s="3" t="s">
        <v>129</v>
      </c>
      <c r="B15" s="3">
        <v>2013</v>
      </c>
      <c r="C15" s="3" t="s">
        <v>350</v>
      </c>
      <c r="D15" s="5">
        <f>2.5*1000000</f>
        <v>2500000</v>
      </c>
      <c r="E15" s="5">
        <f>D15*260%</f>
        <v>6500000</v>
      </c>
      <c r="F15" s="9">
        <f t="shared" si="3"/>
        <v>-4000000</v>
      </c>
      <c r="G15" s="3" t="s">
        <v>592</v>
      </c>
      <c r="H15" s="8">
        <f t="shared" si="4"/>
        <v>2.6</v>
      </c>
      <c r="I15" s="3" t="s">
        <v>591</v>
      </c>
      <c r="J15" s="3" t="s">
        <v>591</v>
      </c>
      <c r="K15" s="3" t="s">
        <v>591</v>
      </c>
      <c r="L15" s="3" t="s">
        <v>591</v>
      </c>
      <c r="M15" s="5">
        <f>1009*1000000</f>
        <v>1009000000</v>
      </c>
      <c r="N15" s="5">
        <f>987*1000000</f>
        <v>987000000</v>
      </c>
      <c r="O15" s="5">
        <f>-22*1000000</f>
        <v>-22000000</v>
      </c>
      <c r="P15" s="6">
        <v>1.02</v>
      </c>
      <c r="Q15" s="5">
        <f t="shared" si="8"/>
        <v>80000000</v>
      </c>
      <c r="R15" s="23" t="s">
        <v>591</v>
      </c>
      <c r="S15" s="8">
        <f t="shared" si="5"/>
        <v>3.125E-2</v>
      </c>
      <c r="T15" s="5">
        <f>955573*1000</f>
        <v>955573000</v>
      </c>
      <c r="U15" s="8">
        <f t="shared" si="6"/>
        <v>0.96815906788247219</v>
      </c>
      <c r="V15" s="6"/>
      <c r="W15" s="6"/>
      <c r="X15" s="5">
        <f>-2.3*1000000</f>
        <v>-2300000</v>
      </c>
      <c r="Y15" s="5">
        <f>43521*1000</f>
        <v>43521000</v>
      </c>
      <c r="Z15" s="5">
        <f>304*1000</f>
        <v>304000</v>
      </c>
      <c r="AA15" s="5">
        <f>538*1000</f>
        <v>538000</v>
      </c>
      <c r="AB15" s="5">
        <f>88*1000</f>
        <v>88000</v>
      </c>
      <c r="AC15" s="5">
        <f>44451*1000</f>
        <v>44451000</v>
      </c>
      <c r="AD15" s="3"/>
      <c r="AE15" s="3"/>
    </row>
    <row r="16" spans="1:31" ht="14.5" x14ac:dyDescent="0.35">
      <c r="A16" s="3" t="s">
        <v>129</v>
      </c>
      <c r="B16" s="3">
        <v>2014</v>
      </c>
      <c r="C16" s="3" t="s">
        <v>350</v>
      </c>
      <c r="D16" s="22" t="s">
        <v>591</v>
      </c>
      <c r="E16" s="3" t="s">
        <v>591</v>
      </c>
      <c r="F16" s="3" t="s">
        <v>591</v>
      </c>
      <c r="G16" s="3" t="s">
        <v>592</v>
      </c>
      <c r="H16" s="22" t="s">
        <v>591</v>
      </c>
      <c r="I16" s="5">
        <f>6677*1000</f>
        <v>6677000</v>
      </c>
      <c r="J16" s="5">
        <f>6587*1000</f>
        <v>6587000</v>
      </c>
      <c r="K16" s="9">
        <f t="shared" ref="K16:K21" si="9">I16-J16</f>
        <v>90000</v>
      </c>
      <c r="L16" s="8">
        <f t="shared" ref="L16:L21" si="10">J16/I16</f>
        <v>0.98652089261644449</v>
      </c>
      <c r="M16" s="5">
        <f>1044*1000000</f>
        <v>1044000000</v>
      </c>
      <c r="N16" s="5">
        <f>1042*1000000</f>
        <v>1042000000</v>
      </c>
      <c r="O16" s="5">
        <f>-2*1000000</f>
        <v>-2000000</v>
      </c>
      <c r="P16" s="6">
        <v>1</v>
      </c>
      <c r="Q16" s="5">
        <f t="shared" ref="Q16:Q17" si="11">82*1000000</f>
        <v>82000000</v>
      </c>
      <c r="R16" s="8">
        <f t="shared" ref="R16:R20" si="12">I16/Q16</f>
        <v>8.1426829268292686E-2</v>
      </c>
      <c r="S16" s="22" t="s">
        <v>591</v>
      </c>
      <c r="T16" s="5">
        <f>1098541*1000</f>
        <v>1098541000</v>
      </c>
      <c r="U16" s="8">
        <f t="shared" si="6"/>
        <v>1.0542619961612285</v>
      </c>
      <c r="V16" s="6"/>
      <c r="W16" s="6">
        <v>0.17030000000000001</v>
      </c>
      <c r="X16" s="5">
        <f>-8.5*1000000</f>
        <v>-8500000</v>
      </c>
      <c r="Y16" s="5">
        <f>47143*1000</f>
        <v>47143000</v>
      </c>
      <c r="Z16" s="5">
        <f>367*1000</f>
        <v>367000</v>
      </c>
      <c r="AA16" s="5">
        <f>431*1000</f>
        <v>431000</v>
      </c>
      <c r="AB16" s="5">
        <v>0</v>
      </c>
      <c r="AC16" s="5">
        <f>47941*1000</f>
        <v>47941000</v>
      </c>
      <c r="AD16" s="3"/>
      <c r="AE16" s="3"/>
    </row>
    <row r="17" spans="1:43" ht="14.5" x14ac:dyDescent="0.35">
      <c r="A17" s="3" t="s">
        <v>129</v>
      </c>
      <c r="B17" s="3">
        <v>2015</v>
      </c>
      <c r="C17" s="3" t="s">
        <v>350</v>
      </c>
      <c r="D17" s="3" t="s">
        <v>591</v>
      </c>
      <c r="E17" s="3" t="s">
        <v>591</v>
      </c>
      <c r="F17" s="3" t="s">
        <v>591</v>
      </c>
      <c r="G17" s="3" t="s">
        <v>592</v>
      </c>
      <c r="H17" s="22" t="s">
        <v>591</v>
      </c>
      <c r="I17" s="5">
        <f>6810*1000</f>
        <v>6810000</v>
      </c>
      <c r="J17" s="5">
        <f>6679*1000</f>
        <v>6679000</v>
      </c>
      <c r="K17" s="9">
        <f t="shared" si="9"/>
        <v>131000</v>
      </c>
      <c r="L17" s="8">
        <f t="shared" si="10"/>
        <v>0.98076358296622612</v>
      </c>
      <c r="M17" s="5">
        <f>1067*1000000</f>
        <v>1067000000</v>
      </c>
      <c r="N17" s="5">
        <f>1093*1000000</f>
        <v>1093000000</v>
      </c>
      <c r="O17" s="5">
        <f>26*1000000</f>
        <v>26000000</v>
      </c>
      <c r="P17" s="6">
        <v>0.98</v>
      </c>
      <c r="Q17" s="5">
        <f t="shared" si="11"/>
        <v>82000000</v>
      </c>
      <c r="R17" s="8">
        <f t="shared" si="12"/>
        <v>8.3048780487804882E-2</v>
      </c>
      <c r="S17" s="22" t="s">
        <v>591</v>
      </c>
      <c r="T17" s="5">
        <f>1110799*1000</f>
        <v>1110799000</v>
      </c>
      <c r="U17" s="8">
        <f t="shared" si="6"/>
        <v>1.016284537968893</v>
      </c>
      <c r="V17" s="6"/>
      <c r="W17" s="6">
        <v>4.5600000000000002E-2</v>
      </c>
      <c r="X17" s="5">
        <f>-10.9*1000000</f>
        <v>-10900000</v>
      </c>
      <c r="Y17" s="5">
        <f>49772*1000</f>
        <v>49772000</v>
      </c>
      <c r="Z17" s="5">
        <f>303*1000</f>
        <v>303000</v>
      </c>
      <c r="AA17" s="5">
        <f>425*1000</f>
        <v>425000</v>
      </c>
      <c r="AB17" s="5">
        <v>0</v>
      </c>
      <c r="AC17" s="5">
        <f>50500*1000</f>
        <v>50500000</v>
      </c>
      <c r="AD17" s="3"/>
      <c r="AE17" s="3"/>
    </row>
    <row r="18" spans="1:43" ht="14.5" x14ac:dyDescent="0.35">
      <c r="A18" s="3" t="s">
        <v>129</v>
      </c>
      <c r="B18" s="3">
        <v>2016</v>
      </c>
      <c r="C18" s="3" t="s">
        <v>350</v>
      </c>
      <c r="D18" s="3" t="s">
        <v>591</v>
      </c>
      <c r="E18" s="3" t="s">
        <v>591</v>
      </c>
      <c r="F18" s="3" t="s">
        <v>591</v>
      </c>
      <c r="G18" s="3" t="s">
        <v>592</v>
      </c>
      <c r="H18" s="22" t="s">
        <v>591</v>
      </c>
      <c r="I18" s="5">
        <f>7618*1000</f>
        <v>7618000</v>
      </c>
      <c r="J18" s="5">
        <f>7044*1000</f>
        <v>7044000</v>
      </c>
      <c r="K18" s="9">
        <f t="shared" si="9"/>
        <v>574000</v>
      </c>
      <c r="L18" s="8">
        <f t="shared" si="10"/>
        <v>0.92465213966920456</v>
      </c>
      <c r="M18" s="5">
        <f>1084*1000000</f>
        <v>1084000000</v>
      </c>
      <c r="N18" s="5">
        <f>1186*1000000</f>
        <v>1186000000</v>
      </c>
      <c r="O18" s="5">
        <f>102*1000000</f>
        <v>102000000</v>
      </c>
      <c r="P18" s="6">
        <v>0.91</v>
      </c>
      <c r="Q18" s="5">
        <f>87*1000000</f>
        <v>87000000</v>
      </c>
      <c r="R18" s="8">
        <f t="shared" si="12"/>
        <v>8.7563218390804595E-2</v>
      </c>
      <c r="S18" s="22" t="s">
        <v>591</v>
      </c>
      <c r="T18" s="5">
        <f>1098275*1000</f>
        <v>1098275000</v>
      </c>
      <c r="U18" s="8">
        <f t="shared" si="6"/>
        <v>0.92603288364249581</v>
      </c>
      <c r="V18" s="6"/>
      <c r="W18" s="6">
        <v>2.3400000000000001E-2</v>
      </c>
      <c r="X18" s="5">
        <f>-44*1000000</f>
        <v>-44000000</v>
      </c>
      <c r="Y18" s="5">
        <f>53651*1000</f>
        <v>53651000</v>
      </c>
      <c r="Z18" s="5">
        <f>508*1000</f>
        <v>508000</v>
      </c>
      <c r="AA18" s="5">
        <f>448*1000</f>
        <v>448000</v>
      </c>
      <c r="AB18" s="5">
        <f>76*1000</f>
        <v>76000</v>
      </c>
      <c r="AC18" s="5">
        <f>54683*1000</f>
        <v>54683000</v>
      </c>
      <c r="AD18" s="3"/>
      <c r="AE18" s="3"/>
    </row>
    <row r="19" spans="1:43" ht="14.5" x14ac:dyDescent="0.35">
      <c r="A19" s="3" t="s">
        <v>129</v>
      </c>
      <c r="B19" s="3">
        <v>2017</v>
      </c>
      <c r="C19" s="3" t="s">
        <v>350</v>
      </c>
      <c r="D19" s="3" t="s">
        <v>591</v>
      </c>
      <c r="E19" s="3" t="s">
        <v>591</v>
      </c>
      <c r="F19" s="3" t="s">
        <v>591</v>
      </c>
      <c r="G19" s="3" t="s">
        <v>592</v>
      </c>
      <c r="H19" s="22" t="s">
        <v>591</v>
      </c>
      <c r="I19" s="5">
        <f>8179*1000</f>
        <v>8179000</v>
      </c>
      <c r="J19" s="5">
        <f>7587*1000</f>
        <v>7587000</v>
      </c>
      <c r="K19" s="9">
        <f t="shared" si="9"/>
        <v>592000</v>
      </c>
      <c r="L19" s="8">
        <f t="shared" si="10"/>
        <v>0.92761951338794468</v>
      </c>
      <c r="M19" s="5">
        <f>1144*1000000</f>
        <v>1144000000</v>
      </c>
      <c r="N19" s="5">
        <f>1244*1000000</f>
        <v>1244000000</v>
      </c>
      <c r="O19" s="5">
        <f>100*1000000</f>
        <v>100000000</v>
      </c>
      <c r="P19" s="6">
        <v>0.92</v>
      </c>
      <c r="Q19" s="5">
        <f>93*1000000</f>
        <v>93000000</v>
      </c>
      <c r="R19" s="8">
        <f t="shared" si="12"/>
        <v>8.7946236559139787E-2</v>
      </c>
      <c r="S19" s="22" t="s">
        <v>591</v>
      </c>
      <c r="T19" s="5">
        <f>1210917*1000</f>
        <v>1210917000</v>
      </c>
      <c r="U19" s="8">
        <f t="shared" si="6"/>
        <v>0.97340594855305462</v>
      </c>
      <c r="V19" s="6"/>
      <c r="W19" s="6">
        <v>0.14030000000000001</v>
      </c>
      <c r="X19" s="5">
        <f>-15.6*1000000</f>
        <v>-15600000</v>
      </c>
      <c r="Y19" s="5">
        <f>56666*1000</f>
        <v>56666000</v>
      </c>
      <c r="Z19" s="5">
        <f>155*1000</f>
        <v>155000</v>
      </c>
      <c r="AA19" s="5">
        <f>551*1000</f>
        <v>551000</v>
      </c>
      <c r="AB19" s="5">
        <f>86*1000</f>
        <v>86000</v>
      </c>
      <c r="AC19" s="5">
        <f>57458*1000</f>
        <v>57458000</v>
      </c>
      <c r="AD19" s="3"/>
      <c r="AE19" s="3"/>
    </row>
    <row r="20" spans="1:43" ht="14.5" x14ac:dyDescent="0.35">
      <c r="A20" s="3" t="s">
        <v>129</v>
      </c>
      <c r="B20" s="3">
        <v>2018</v>
      </c>
      <c r="C20" s="3" t="s">
        <v>350</v>
      </c>
      <c r="D20" s="3" t="s">
        <v>591</v>
      </c>
      <c r="E20" s="3" t="s">
        <v>591</v>
      </c>
      <c r="F20" s="3" t="s">
        <v>591</v>
      </c>
      <c r="G20" s="3" t="s">
        <v>592</v>
      </c>
      <c r="H20" s="22" t="s">
        <v>591</v>
      </c>
      <c r="I20" s="5">
        <f>16648*1000</f>
        <v>16648000</v>
      </c>
      <c r="J20" s="5">
        <f>14203*1000</f>
        <v>14203000</v>
      </c>
      <c r="K20" s="9">
        <f t="shared" si="9"/>
        <v>2445000</v>
      </c>
      <c r="L20" s="8">
        <f t="shared" si="10"/>
        <v>0.85313551177318592</v>
      </c>
      <c r="M20" s="5">
        <f>1215*1000000</f>
        <v>1215000000</v>
      </c>
      <c r="N20" s="5">
        <f>1302*1000000</f>
        <v>1302000000</v>
      </c>
      <c r="O20" s="5">
        <f>87*1000000</f>
        <v>87000000</v>
      </c>
      <c r="P20" s="6">
        <v>0.93</v>
      </c>
      <c r="Q20" s="5">
        <f>109*1000000</f>
        <v>109000000</v>
      </c>
      <c r="R20" s="8">
        <f t="shared" si="12"/>
        <v>0.15273394495412845</v>
      </c>
      <c r="S20" s="22" t="s">
        <v>591</v>
      </c>
      <c r="T20" s="5">
        <f>1289598*1000</f>
        <v>1289598000</v>
      </c>
      <c r="U20" s="8">
        <f t="shared" si="6"/>
        <v>0.99047465437788018</v>
      </c>
      <c r="V20" s="6"/>
      <c r="W20" s="6">
        <v>9.5500000000000002E-2</v>
      </c>
      <c r="X20" s="5">
        <f>16.3*1000000</f>
        <v>16300000</v>
      </c>
      <c r="Y20" s="5">
        <f>59508*1000</f>
        <v>59508000</v>
      </c>
      <c r="Z20" s="5">
        <f>126*1000</f>
        <v>126000</v>
      </c>
      <c r="AA20" s="5">
        <f>592*1000</f>
        <v>592000</v>
      </c>
      <c r="AB20" s="5">
        <f>261*1000</f>
        <v>261000</v>
      </c>
      <c r="AC20" s="5">
        <f>60487*1000</f>
        <v>60487000</v>
      </c>
      <c r="AD20" s="3"/>
      <c r="AE20" s="3"/>
    </row>
    <row r="21" spans="1:43" ht="14.5" x14ac:dyDescent="0.35">
      <c r="A21" s="3" t="s">
        <v>129</v>
      </c>
      <c r="B21" s="3">
        <v>2019</v>
      </c>
      <c r="C21" s="3" t="s">
        <v>350</v>
      </c>
      <c r="D21" s="3" t="s">
        <v>591</v>
      </c>
      <c r="E21" s="3" t="s">
        <v>591</v>
      </c>
      <c r="F21" s="3" t="s">
        <v>591</v>
      </c>
      <c r="G21" s="3" t="s">
        <v>592</v>
      </c>
      <c r="H21" s="22" t="s">
        <v>591</v>
      </c>
      <c r="I21" s="5">
        <f>17020*1000</f>
        <v>17020000</v>
      </c>
      <c r="J21" s="5">
        <f>14700*1000</f>
        <v>14700000</v>
      </c>
      <c r="K21" s="9">
        <f t="shared" si="9"/>
        <v>2320000</v>
      </c>
      <c r="L21" s="8">
        <f t="shared" si="10"/>
        <v>0.86368977673325498</v>
      </c>
      <c r="M21" s="5"/>
      <c r="N21" s="5"/>
      <c r="O21" s="5"/>
      <c r="P21" s="6"/>
      <c r="Q21" s="5"/>
      <c r="R21" s="8" t="str">
        <f>IF(Q21=""," ",I21/Q21)</f>
        <v xml:space="preserve"> </v>
      </c>
      <c r="S21" s="22" t="s">
        <v>591</v>
      </c>
      <c r="T21" s="5">
        <f>1362507*1000</f>
        <v>1362507000</v>
      </c>
      <c r="U21" s="8" t="str">
        <f>IF(N21=""," ",T21/N21)</f>
        <v xml:space="preserve"> </v>
      </c>
      <c r="V21" s="6"/>
      <c r="W21" s="6">
        <v>8.7800000000000003E-2</v>
      </c>
      <c r="X21" s="5"/>
      <c r="Y21" s="5">
        <f>64253*1000</f>
        <v>64253000</v>
      </c>
      <c r="Z21" s="5">
        <f>117*1000</f>
        <v>117000</v>
      </c>
      <c r="AA21" s="5">
        <f>619*1000</f>
        <v>619000</v>
      </c>
      <c r="AB21" s="5">
        <v>0</v>
      </c>
      <c r="AC21" s="5">
        <f>64989*1000</f>
        <v>64989000</v>
      </c>
      <c r="AD21" s="3"/>
      <c r="AE21" s="3"/>
    </row>
    <row r="22" spans="1:43" ht="14.5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43" ht="14.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</row>
    <row r="24" spans="1:43" ht="14.5" x14ac:dyDescent="0.35">
      <c r="A24" s="3" t="s">
        <v>394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43" ht="14.5" x14ac:dyDescent="0.35">
      <c r="A25" s="3" t="s">
        <v>129</v>
      </c>
      <c r="B25" s="3">
        <v>2001</v>
      </c>
      <c r="C25" s="3"/>
      <c r="D25" s="3" t="s">
        <v>593</v>
      </c>
      <c r="E25" s="3" t="s">
        <v>593</v>
      </c>
      <c r="F25" s="3"/>
      <c r="H25" s="3" t="s">
        <v>593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 t="s">
        <v>399</v>
      </c>
      <c r="U25" s="3"/>
      <c r="V25" s="3"/>
      <c r="W25" s="3"/>
      <c r="X25" s="3" t="s">
        <v>594</v>
      </c>
      <c r="Y25" s="3"/>
      <c r="Z25" s="3"/>
      <c r="AA25" s="3"/>
      <c r="AB25" s="3"/>
      <c r="AC25" s="3"/>
      <c r="AD25" s="3"/>
      <c r="AE25" s="3"/>
    </row>
    <row r="26" spans="1:43" ht="14.5" x14ac:dyDescent="0.35">
      <c r="A26" s="3" t="s">
        <v>129</v>
      </c>
      <c r="B26" s="3">
        <v>2002</v>
      </c>
      <c r="C26" s="3"/>
      <c r="D26" s="3" t="s">
        <v>593</v>
      </c>
      <c r="E26" s="3" t="s">
        <v>593</v>
      </c>
      <c r="F26" s="3"/>
      <c r="G26" s="3" t="s">
        <v>403</v>
      </c>
      <c r="H26" s="3" t="s">
        <v>593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 t="s">
        <v>399</v>
      </c>
      <c r="U26" s="3"/>
      <c r="V26" s="3"/>
      <c r="W26" s="3"/>
      <c r="X26" s="3" t="s">
        <v>595</v>
      </c>
      <c r="Y26" s="3" t="s">
        <v>399</v>
      </c>
      <c r="Z26" s="3" t="s">
        <v>399</v>
      </c>
      <c r="AA26" s="3" t="s">
        <v>399</v>
      </c>
      <c r="AB26" s="3" t="s">
        <v>399</v>
      </c>
      <c r="AC26" s="3" t="s">
        <v>399</v>
      </c>
      <c r="AD26" s="3"/>
      <c r="AE26" s="3"/>
    </row>
    <row r="27" spans="1:43" ht="14.5" x14ac:dyDescent="0.35">
      <c r="A27" s="3" t="s">
        <v>129</v>
      </c>
      <c r="B27" s="3">
        <v>2003</v>
      </c>
      <c r="C27" s="3"/>
      <c r="D27" s="3" t="s">
        <v>596</v>
      </c>
      <c r="E27" s="3" t="s">
        <v>596</v>
      </c>
      <c r="F27" s="3"/>
      <c r="G27" s="3" t="s">
        <v>410</v>
      </c>
      <c r="H27" s="3" t="s">
        <v>596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 t="s">
        <v>406</v>
      </c>
      <c r="U27" s="3"/>
      <c r="V27" s="3"/>
      <c r="W27" s="3"/>
      <c r="X27" s="3" t="s">
        <v>597</v>
      </c>
      <c r="Y27" s="3" t="s">
        <v>406</v>
      </c>
      <c r="Z27" s="3" t="s">
        <v>406</v>
      </c>
      <c r="AA27" s="3" t="s">
        <v>406</v>
      </c>
      <c r="AB27" s="3" t="s">
        <v>406</v>
      </c>
      <c r="AC27" s="3" t="s">
        <v>406</v>
      </c>
      <c r="AD27" s="3"/>
      <c r="AE27" s="3"/>
    </row>
    <row r="28" spans="1:43" ht="14.5" x14ac:dyDescent="0.35">
      <c r="A28" s="3" t="s">
        <v>129</v>
      </c>
      <c r="B28" s="3">
        <v>2004</v>
      </c>
      <c r="C28" s="3"/>
      <c r="D28" s="3" t="s">
        <v>598</v>
      </c>
      <c r="E28" s="3" t="s">
        <v>598</v>
      </c>
      <c r="F28" s="3"/>
      <c r="G28" s="3" t="s">
        <v>418</v>
      </c>
      <c r="H28" s="3" t="s">
        <v>598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 t="s">
        <v>414</v>
      </c>
      <c r="U28" s="3"/>
      <c r="V28" s="3"/>
      <c r="W28" s="3"/>
      <c r="X28" s="3" t="s">
        <v>599</v>
      </c>
      <c r="Y28" s="3" t="s">
        <v>414</v>
      </c>
      <c r="Z28" s="3" t="s">
        <v>414</v>
      </c>
      <c r="AA28" s="3" t="s">
        <v>414</v>
      </c>
      <c r="AB28" s="3" t="s">
        <v>414</v>
      </c>
      <c r="AC28" s="3" t="s">
        <v>414</v>
      </c>
      <c r="AD28" s="3"/>
      <c r="AE28" s="3"/>
    </row>
    <row r="29" spans="1:43" ht="14.5" x14ac:dyDescent="0.35">
      <c r="A29" s="3" t="s">
        <v>129</v>
      </c>
      <c r="B29" s="3">
        <v>2005</v>
      </c>
      <c r="C29" s="3"/>
      <c r="D29" s="3" t="s">
        <v>600</v>
      </c>
      <c r="E29" s="3" t="s">
        <v>600</v>
      </c>
      <c r="F29" s="3"/>
      <c r="G29" s="3" t="s">
        <v>426</v>
      </c>
      <c r="H29" s="3" t="s">
        <v>600</v>
      </c>
      <c r="I29" s="3"/>
      <c r="J29" s="3"/>
      <c r="K29" s="3"/>
      <c r="L29" s="3"/>
      <c r="M29" s="3" t="s">
        <v>601</v>
      </c>
      <c r="N29" s="3" t="s">
        <v>601</v>
      </c>
      <c r="O29" s="3" t="s">
        <v>601</v>
      </c>
      <c r="P29" s="3" t="s">
        <v>601</v>
      </c>
      <c r="Q29" s="3" t="s">
        <v>601</v>
      </c>
      <c r="R29" s="3"/>
      <c r="S29" s="3"/>
      <c r="T29" s="3" t="s">
        <v>422</v>
      </c>
      <c r="U29" s="3"/>
      <c r="V29" s="3"/>
      <c r="W29" s="3"/>
      <c r="X29" s="3" t="s">
        <v>602</v>
      </c>
      <c r="Y29" s="3" t="s">
        <v>422</v>
      </c>
      <c r="Z29" s="3" t="s">
        <v>422</v>
      </c>
      <c r="AA29" s="3" t="s">
        <v>422</v>
      </c>
      <c r="AB29" s="3" t="s">
        <v>422</v>
      </c>
      <c r="AC29" s="3" t="s">
        <v>422</v>
      </c>
      <c r="AD29" s="3"/>
      <c r="AE29" s="3"/>
    </row>
    <row r="30" spans="1:43" ht="14.5" x14ac:dyDescent="0.35">
      <c r="A30" s="3" t="s">
        <v>129</v>
      </c>
      <c r="B30" s="3">
        <v>2006</v>
      </c>
      <c r="C30" s="3"/>
      <c r="D30" s="3" t="s">
        <v>603</v>
      </c>
      <c r="E30" s="3" t="s">
        <v>603</v>
      </c>
      <c r="F30" s="3"/>
      <c r="G30" s="3" t="s">
        <v>434</v>
      </c>
      <c r="H30" s="3" t="s">
        <v>603</v>
      </c>
      <c r="I30" s="3"/>
      <c r="J30" s="3"/>
      <c r="K30" s="3"/>
      <c r="L30" s="3"/>
      <c r="M30" s="3" t="s">
        <v>601</v>
      </c>
      <c r="N30" s="3" t="s">
        <v>601</v>
      </c>
      <c r="O30" s="3" t="s">
        <v>601</v>
      </c>
      <c r="P30" s="3" t="s">
        <v>601</v>
      </c>
      <c r="Q30" s="3" t="s">
        <v>601</v>
      </c>
      <c r="R30" s="3"/>
      <c r="S30" s="3"/>
      <c r="T30" s="3" t="s">
        <v>430</v>
      </c>
      <c r="U30" s="3"/>
      <c r="V30" s="3"/>
      <c r="W30" s="3"/>
      <c r="X30" s="3" t="s">
        <v>604</v>
      </c>
      <c r="Y30" s="3" t="s">
        <v>430</v>
      </c>
      <c r="Z30" s="3" t="s">
        <v>430</v>
      </c>
      <c r="AA30" s="3" t="s">
        <v>430</v>
      </c>
      <c r="AB30" s="3" t="s">
        <v>430</v>
      </c>
      <c r="AC30" s="3" t="s">
        <v>430</v>
      </c>
      <c r="AD30" s="3"/>
      <c r="AE30" s="3"/>
    </row>
    <row r="31" spans="1:43" ht="14.5" x14ac:dyDescent="0.35">
      <c r="A31" s="3" t="s">
        <v>129</v>
      </c>
      <c r="B31" s="3">
        <v>2007</v>
      </c>
      <c r="C31" s="3"/>
      <c r="D31" s="3" t="s">
        <v>605</v>
      </c>
      <c r="E31" s="3" t="s">
        <v>605</v>
      </c>
      <c r="F31" s="3"/>
      <c r="G31" s="3" t="s">
        <v>444</v>
      </c>
      <c r="H31" s="3" t="s">
        <v>605</v>
      </c>
      <c r="I31" s="3"/>
      <c r="J31" s="3"/>
      <c r="K31" s="3"/>
      <c r="L31" s="3"/>
      <c r="M31" s="3" t="s">
        <v>606</v>
      </c>
      <c r="N31" s="3" t="s">
        <v>606</v>
      </c>
      <c r="O31" s="3" t="s">
        <v>606</v>
      </c>
      <c r="P31" s="3" t="s">
        <v>606</v>
      </c>
      <c r="Q31" s="3" t="s">
        <v>606</v>
      </c>
      <c r="R31" s="3"/>
      <c r="S31" s="3"/>
      <c r="T31" s="3" t="s">
        <v>438</v>
      </c>
      <c r="U31" s="3"/>
      <c r="V31" s="3"/>
      <c r="W31" s="3"/>
      <c r="X31" s="3" t="s">
        <v>607</v>
      </c>
      <c r="Y31" s="3" t="s">
        <v>438</v>
      </c>
      <c r="Z31" s="3" t="s">
        <v>438</v>
      </c>
      <c r="AA31" s="3" t="s">
        <v>438</v>
      </c>
      <c r="AB31" s="3" t="s">
        <v>438</v>
      </c>
      <c r="AC31" s="3" t="s">
        <v>438</v>
      </c>
      <c r="AD31" s="3"/>
      <c r="AE31" s="3"/>
    </row>
    <row r="32" spans="1:43" ht="14.5" x14ac:dyDescent="0.35">
      <c r="A32" s="3" t="s">
        <v>129</v>
      </c>
      <c r="B32" s="3">
        <v>2008</v>
      </c>
      <c r="C32" s="3"/>
      <c r="D32" s="3" t="s">
        <v>608</v>
      </c>
      <c r="E32" s="3" t="s">
        <v>608</v>
      </c>
      <c r="F32" s="3"/>
      <c r="G32" s="3" t="s">
        <v>453</v>
      </c>
      <c r="H32" s="3" t="s">
        <v>608</v>
      </c>
      <c r="I32" s="3"/>
      <c r="J32" s="3"/>
      <c r="K32" s="3"/>
      <c r="L32" s="3"/>
      <c r="M32" s="3" t="s">
        <v>609</v>
      </c>
      <c r="N32" s="3" t="s">
        <v>609</v>
      </c>
      <c r="O32" s="3" t="s">
        <v>609</v>
      </c>
      <c r="P32" s="3" t="s">
        <v>609</v>
      </c>
      <c r="Q32" s="3" t="s">
        <v>609</v>
      </c>
      <c r="R32" s="3"/>
      <c r="S32" s="3"/>
      <c r="T32" s="3" t="s">
        <v>448</v>
      </c>
      <c r="U32" s="3"/>
      <c r="V32" s="3"/>
      <c r="W32" s="3"/>
      <c r="X32" s="3" t="s">
        <v>610</v>
      </c>
      <c r="Y32" s="3" t="s">
        <v>448</v>
      </c>
      <c r="Z32" s="3" t="s">
        <v>448</v>
      </c>
      <c r="AA32" s="3" t="s">
        <v>448</v>
      </c>
      <c r="AB32" s="3" t="s">
        <v>448</v>
      </c>
      <c r="AC32" s="3" t="s">
        <v>448</v>
      </c>
      <c r="AD32" s="3"/>
      <c r="AE32" s="3"/>
    </row>
    <row r="33" spans="1:31" ht="14.5" x14ac:dyDescent="0.35">
      <c r="A33" s="3" t="s">
        <v>129</v>
      </c>
      <c r="B33" s="3">
        <v>2009</v>
      </c>
      <c r="C33" s="3"/>
      <c r="D33" s="3" t="s">
        <v>611</v>
      </c>
      <c r="E33" s="3" t="s">
        <v>611</v>
      </c>
      <c r="F33" s="3"/>
      <c r="G33" s="3" t="s">
        <v>462</v>
      </c>
      <c r="H33" s="3" t="s">
        <v>611</v>
      </c>
      <c r="I33" s="3"/>
      <c r="J33" s="3"/>
      <c r="K33" s="3"/>
      <c r="L33" s="3"/>
      <c r="M33" s="3" t="s">
        <v>601</v>
      </c>
      <c r="N33" s="3" t="s">
        <v>601</v>
      </c>
      <c r="O33" s="3" t="s">
        <v>601</v>
      </c>
      <c r="P33" s="3" t="s">
        <v>601</v>
      </c>
      <c r="Q33" s="3" t="s">
        <v>601</v>
      </c>
      <c r="R33" s="3"/>
      <c r="S33" s="3"/>
      <c r="T33" s="3" t="s">
        <v>457</v>
      </c>
      <c r="U33" s="3"/>
      <c r="V33" s="3"/>
      <c r="W33" s="3"/>
      <c r="X33" s="3" t="s">
        <v>612</v>
      </c>
      <c r="Y33" s="3" t="s">
        <v>457</v>
      </c>
      <c r="Z33" s="3" t="s">
        <v>457</v>
      </c>
      <c r="AA33" s="3" t="s">
        <v>457</v>
      </c>
      <c r="AB33" s="3" t="s">
        <v>457</v>
      </c>
      <c r="AC33" s="3" t="s">
        <v>457</v>
      </c>
      <c r="AD33" s="3"/>
      <c r="AE33" s="3"/>
    </row>
    <row r="34" spans="1:31" ht="14.5" x14ac:dyDescent="0.35">
      <c r="A34" s="3" t="s">
        <v>129</v>
      </c>
      <c r="B34" s="3">
        <v>2010</v>
      </c>
      <c r="C34" s="3"/>
      <c r="D34" s="3" t="s">
        <v>613</v>
      </c>
      <c r="E34" s="3" t="s">
        <v>613</v>
      </c>
      <c r="F34" s="3"/>
      <c r="G34" s="3" t="s">
        <v>471</v>
      </c>
      <c r="H34" s="3" t="s">
        <v>613</v>
      </c>
      <c r="I34" s="3"/>
      <c r="J34" s="3"/>
      <c r="K34" s="3"/>
      <c r="L34" s="3"/>
      <c r="M34" s="3" t="s">
        <v>614</v>
      </c>
      <c r="N34" s="3" t="s">
        <v>614</v>
      </c>
      <c r="O34" s="3" t="s">
        <v>614</v>
      </c>
      <c r="P34" s="3" t="s">
        <v>614</v>
      </c>
      <c r="Q34" s="3" t="s">
        <v>614</v>
      </c>
      <c r="R34" s="3"/>
      <c r="S34" s="3"/>
      <c r="T34" s="3" t="s">
        <v>466</v>
      </c>
      <c r="U34" s="3"/>
      <c r="V34" s="3"/>
      <c r="W34" s="3"/>
      <c r="X34" s="3" t="s">
        <v>615</v>
      </c>
      <c r="Y34" s="3" t="s">
        <v>466</v>
      </c>
      <c r="Z34" s="3" t="s">
        <v>466</v>
      </c>
      <c r="AA34" s="3" t="s">
        <v>466</v>
      </c>
      <c r="AB34" s="3" t="s">
        <v>466</v>
      </c>
      <c r="AC34" s="3" t="s">
        <v>466</v>
      </c>
      <c r="AD34" s="3"/>
      <c r="AE34" s="3"/>
    </row>
    <row r="35" spans="1:31" ht="14.5" x14ac:dyDescent="0.35">
      <c r="A35" s="3" t="s">
        <v>129</v>
      </c>
      <c r="B35" s="3">
        <v>2011</v>
      </c>
      <c r="C35" s="3"/>
      <c r="D35" s="3" t="s">
        <v>616</v>
      </c>
      <c r="E35" s="3" t="s">
        <v>616</v>
      </c>
      <c r="F35" s="3"/>
      <c r="G35" s="3" t="s">
        <v>480</v>
      </c>
      <c r="H35" s="3" t="s">
        <v>616</v>
      </c>
      <c r="I35" s="3"/>
      <c r="J35" s="3"/>
      <c r="K35" s="3"/>
      <c r="L35" s="3"/>
      <c r="M35" s="3" t="s">
        <v>617</v>
      </c>
      <c r="N35" s="3" t="s">
        <v>617</v>
      </c>
      <c r="O35" s="3" t="s">
        <v>617</v>
      </c>
      <c r="P35" s="3" t="s">
        <v>617</v>
      </c>
      <c r="Q35" s="3" t="s">
        <v>617</v>
      </c>
      <c r="R35" s="3"/>
      <c r="S35" s="3"/>
      <c r="T35" s="3" t="s">
        <v>475</v>
      </c>
      <c r="U35" s="3"/>
      <c r="V35" s="3"/>
      <c r="W35" s="3"/>
      <c r="X35" s="3" t="s">
        <v>618</v>
      </c>
      <c r="Y35" s="3" t="s">
        <v>475</v>
      </c>
      <c r="Z35" s="3" t="s">
        <v>475</v>
      </c>
      <c r="AA35" s="3" t="s">
        <v>475</v>
      </c>
      <c r="AB35" s="3" t="s">
        <v>475</v>
      </c>
      <c r="AC35" s="3" t="s">
        <v>475</v>
      </c>
      <c r="AD35" s="3"/>
      <c r="AE35" s="3"/>
    </row>
    <row r="36" spans="1:31" ht="14.5" x14ac:dyDescent="0.35">
      <c r="A36" s="3" t="s">
        <v>129</v>
      </c>
      <c r="B36" s="3">
        <v>2012</v>
      </c>
      <c r="C36" s="3"/>
      <c r="D36" s="3" t="s">
        <v>619</v>
      </c>
      <c r="E36" s="3" t="s">
        <v>619</v>
      </c>
      <c r="F36" s="3"/>
      <c r="G36" s="3" t="s">
        <v>490</v>
      </c>
      <c r="H36" s="3" t="s">
        <v>619</v>
      </c>
      <c r="I36" s="3"/>
      <c r="J36" s="3"/>
      <c r="K36" s="3"/>
      <c r="L36" s="3"/>
      <c r="M36" s="3" t="s">
        <v>620</v>
      </c>
      <c r="N36" s="3" t="s">
        <v>620</v>
      </c>
      <c r="O36" s="3" t="s">
        <v>620</v>
      </c>
      <c r="P36" s="3" t="s">
        <v>620</v>
      </c>
      <c r="Q36" s="3" t="s">
        <v>620</v>
      </c>
      <c r="R36" s="3"/>
      <c r="S36" s="3"/>
      <c r="T36" s="3" t="s">
        <v>484</v>
      </c>
      <c r="U36" s="3"/>
      <c r="V36" s="3"/>
      <c r="W36" s="3"/>
      <c r="X36" s="3" t="s">
        <v>621</v>
      </c>
      <c r="Y36" s="3" t="s">
        <v>484</v>
      </c>
      <c r="Z36" s="3" t="s">
        <v>484</v>
      </c>
      <c r="AA36" s="3" t="s">
        <v>484</v>
      </c>
      <c r="AB36" s="3" t="s">
        <v>484</v>
      </c>
      <c r="AC36" s="3" t="s">
        <v>484</v>
      </c>
      <c r="AD36" s="3"/>
      <c r="AE36" s="3"/>
    </row>
    <row r="37" spans="1:31" ht="14.5" x14ac:dyDescent="0.35">
      <c r="A37" s="3" t="s">
        <v>129</v>
      </c>
      <c r="B37" s="3">
        <v>2013</v>
      </c>
      <c r="C37" s="3"/>
      <c r="D37" s="3" t="s">
        <v>622</v>
      </c>
      <c r="E37" s="3" t="s">
        <v>622</v>
      </c>
      <c r="F37" s="3"/>
      <c r="G37" s="3" t="s">
        <v>499</v>
      </c>
      <c r="H37" s="3" t="s">
        <v>622</v>
      </c>
      <c r="I37" s="3"/>
      <c r="J37" s="3"/>
      <c r="K37" s="3"/>
      <c r="L37" s="3"/>
      <c r="M37" s="3" t="s">
        <v>136</v>
      </c>
      <c r="N37" s="3" t="s">
        <v>136</v>
      </c>
      <c r="O37" s="3" t="s">
        <v>136</v>
      </c>
      <c r="P37" s="3" t="s">
        <v>136</v>
      </c>
      <c r="Q37" s="3" t="s">
        <v>136</v>
      </c>
      <c r="R37" s="3"/>
      <c r="S37" s="3"/>
      <c r="T37" s="3" t="s">
        <v>494</v>
      </c>
      <c r="U37" s="3"/>
      <c r="V37" s="3"/>
      <c r="W37" s="3" t="s">
        <v>135</v>
      </c>
      <c r="X37" s="3" t="s">
        <v>623</v>
      </c>
      <c r="Y37" s="3" t="s">
        <v>494</v>
      </c>
      <c r="Z37" s="3" t="s">
        <v>494</v>
      </c>
      <c r="AA37" s="3" t="s">
        <v>494</v>
      </c>
      <c r="AB37" s="3" t="s">
        <v>494</v>
      </c>
      <c r="AC37" s="3" t="s">
        <v>494</v>
      </c>
      <c r="AD37" s="3"/>
      <c r="AE37" s="3"/>
    </row>
    <row r="38" spans="1:31" ht="14.5" x14ac:dyDescent="0.35">
      <c r="A38" s="3" t="s">
        <v>129</v>
      </c>
      <c r="B38" s="3">
        <v>2014</v>
      </c>
      <c r="C38" s="3"/>
      <c r="D38" s="3"/>
      <c r="E38" s="3"/>
      <c r="F38" s="3"/>
      <c r="G38" s="3" t="s">
        <v>507</v>
      </c>
      <c r="H38" s="3"/>
      <c r="I38" s="3" t="s">
        <v>137</v>
      </c>
      <c r="J38" s="3" t="s">
        <v>137</v>
      </c>
      <c r="K38" s="3" t="s">
        <v>137</v>
      </c>
      <c r="L38" s="3"/>
      <c r="M38" s="3" t="s">
        <v>143</v>
      </c>
      <c r="N38" s="3" t="s">
        <v>143</v>
      </c>
      <c r="O38" s="3" t="s">
        <v>143</v>
      </c>
      <c r="P38" s="3" t="s">
        <v>143</v>
      </c>
      <c r="Q38" s="3" t="s">
        <v>143</v>
      </c>
      <c r="R38" s="3"/>
      <c r="S38" s="3"/>
      <c r="T38" s="3" t="s">
        <v>503</v>
      </c>
      <c r="U38" s="3"/>
      <c r="V38" s="3"/>
      <c r="W38" s="3" t="s">
        <v>141</v>
      </c>
      <c r="X38" s="3" t="s">
        <v>624</v>
      </c>
      <c r="Y38" s="3" t="s">
        <v>503</v>
      </c>
      <c r="Z38" s="3" t="s">
        <v>503</v>
      </c>
      <c r="AA38" s="3" t="s">
        <v>503</v>
      </c>
      <c r="AB38" s="3" t="s">
        <v>503</v>
      </c>
      <c r="AC38" s="3" t="s">
        <v>503</v>
      </c>
      <c r="AD38" s="3"/>
      <c r="AE38" s="3"/>
    </row>
    <row r="39" spans="1:31" ht="14.5" x14ac:dyDescent="0.35">
      <c r="A39" s="3" t="s">
        <v>129</v>
      </c>
      <c r="B39" s="3">
        <v>2015</v>
      </c>
      <c r="C39" s="3"/>
      <c r="D39" s="3"/>
      <c r="E39" s="3"/>
      <c r="F39" s="3"/>
      <c r="G39" s="3" t="s">
        <v>515</v>
      </c>
      <c r="H39" s="3"/>
      <c r="I39" s="3" t="s">
        <v>144</v>
      </c>
      <c r="J39" s="3" t="s">
        <v>144</v>
      </c>
      <c r="K39" s="3" t="s">
        <v>144</v>
      </c>
      <c r="L39" s="3"/>
      <c r="M39" s="3" t="s">
        <v>150</v>
      </c>
      <c r="N39" s="3" t="s">
        <v>150</v>
      </c>
      <c r="O39" s="3" t="s">
        <v>150</v>
      </c>
      <c r="P39" s="3" t="s">
        <v>150</v>
      </c>
      <c r="Q39" s="3" t="s">
        <v>150</v>
      </c>
      <c r="R39" s="3"/>
      <c r="S39" s="3"/>
      <c r="T39" s="3" t="s">
        <v>510</v>
      </c>
      <c r="U39" s="3"/>
      <c r="V39" s="3"/>
      <c r="W39" s="3" t="s">
        <v>148</v>
      </c>
      <c r="X39" s="3" t="s">
        <v>625</v>
      </c>
      <c r="Y39" s="3" t="s">
        <v>510</v>
      </c>
      <c r="Z39" s="3" t="s">
        <v>510</v>
      </c>
      <c r="AA39" s="3" t="s">
        <v>510</v>
      </c>
      <c r="AB39" s="3" t="s">
        <v>510</v>
      </c>
      <c r="AC39" s="3" t="s">
        <v>510</v>
      </c>
      <c r="AD39" s="3"/>
      <c r="AE39" s="3"/>
    </row>
    <row r="40" spans="1:31" ht="14.5" x14ac:dyDescent="0.35">
      <c r="A40" s="3" t="s">
        <v>129</v>
      </c>
      <c r="B40" s="3">
        <v>2016</v>
      </c>
      <c r="C40" s="3"/>
      <c r="D40" s="3"/>
      <c r="E40" s="3"/>
      <c r="F40" s="3"/>
      <c r="G40" s="3" t="s">
        <v>524</v>
      </c>
      <c r="H40" s="3"/>
      <c r="I40" s="3" t="s">
        <v>151</v>
      </c>
      <c r="J40" s="3" t="s">
        <v>151</v>
      </c>
      <c r="K40" s="3" t="s">
        <v>151</v>
      </c>
      <c r="L40" s="3"/>
      <c r="M40" s="3" t="s">
        <v>158</v>
      </c>
      <c r="N40" s="3" t="s">
        <v>158</v>
      </c>
      <c r="O40" s="3" t="s">
        <v>158</v>
      </c>
      <c r="P40" s="3" t="s">
        <v>158</v>
      </c>
      <c r="Q40" s="3" t="s">
        <v>158</v>
      </c>
      <c r="R40" s="3"/>
      <c r="S40" s="3"/>
      <c r="T40" s="3" t="s">
        <v>519</v>
      </c>
      <c r="U40" s="3"/>
      <c r="V40" s="3"/>
      <c r="W40" s="3" t="s">
        <v>156</v>
      </c>
      <c r="X40" s="3" t="s">
        <v>626</v>
      </c>
      <c r="Y40" s="3" t="s">
        <v>519</v>
      </c>
      <c r="Z40" s="3" t="s">
        <v>519</v>
      </c>
      <c r="AA40" s="3" t="s">
        <v>519</v>
      </c>
      <c r="AB40" s="3" t="s">
        <v>519</v>
      </c>
      <c r="AC40" s="3" t="s">
        <v>519</v>
      </c>
      <c r="AD40" s="3"/>
      <c r="AE40" s="3"/>
    </row>
    <row r="41" spans="1:31" ht="14.5" x14ac:dyDescent="0.35">
      <c r="A41" s="3" t="s">
        <v>129</v>
      </c>
      <c r="B41" s="3">
        <v>2017</v>
      </c>
      <c r="C41" s="3"/>
      <c r="D41" s="3"/>
      <c r="E41" s="3"/>
      <c r="F41" s="3"/>
      <c r="G41" s="3" t="s">
        <v>533</v>
      </c>
      <c r="H41" s="3"/>
      <c r="I41" s="3" t="s">
        <v>159</v>
      </c>
      <c r="J41" s="3" t="s">
        <v>159</v>
      </c>
      <c r="K41" s="3" t="s">
        <v>159</v>
      </c>
      <c r="L41" s="3"/>
      <c r="M41" s="3" t="s">
        <v>166</v>
      </c>
      <c r="N41" s="3" t="s">
        <v>166</v>
      </c>
      <c r="O41" s="3" t="s">
        <v>166</v>
      </c>
      <c r="P41" s="3" t="s">
        <v>166</v>
      </c>
      <c r="Q41" s="3" t="s">
        <v>166</v>
      </c>
      <c r="R41" s="3"/>
      <c r="S41" s="3"/>
      <c r="T41" s="3" t="s">
        <v>528</v>
      </c>
      <c r="U41" s="3"/>
      <c r="V41" s="3"/>
      <c r="W41" s="3" t="s">
        <v>627</v>
      </c>
      <c r="X41" s="3" t="s">
        <v>628</v>
      </c>
      <c r="Y41" s="3" t="s">
        <v>528</v>
      </c>
      <c r="Z41" s="3" t="s">
        <v>528</v>
      </c>
      <c r="AA41" s="3" t="s">
        <v>528</v>
      </c>
      <c r="AB41" s="3" t="s">
        <v>528</v>
      </c>
      <c r="AC41" s="3" t="s">
        <v>528</v>
      </c>
      <c r="AD41" s="3"/>
      <c r="AE41" s="3"/>
    </row>
    <row r="42" spans="1:31" ht="14.5" x14ac:dyDescent="0.35">
      <c r="A42" s="3" t="s">
        <v>129</v>
      </c>
      <c r="B42" s="3">
        <v>2018</v>
      </c>
      <c r="C42" s="3"/>
      <c r="D42" s="3"/>
      <c r="E42" s="3"/>
      <c r="F42" s="3"/>
      <c r="G42" s="3" t="s">
        <v>542</v>
      </c>
      <c r="H42" s="3"/>
      <c r="I42" s="3" t="s">
        <v>167</v>
      </c>
      <c r="J42" s="3" t="s">
        <v>167</v>
      </c>
      <c r="K42" s="3" t="s">
        <v>167</v>
      </c>
      <c r="L42" s="3"/>
      <c r="M42" s="3" t="s">
        <v>174</v>
      </c>
      <c r="N42" s="3" t="s">
        <v>174</v>
      </c>
      <c r="O42" s="3" t="s">
        <v>174</v>
      </c>
      <c r="P42" s="3" t="s">
        <v>174</v>
      </c>
      <c r="Q42" s="3" t="s">
        <v>174</v>
      </c>
      <c r="R42" s="3"/>
      <c r="S42" s="3"/>
      <c r="T42" s="3" t="s">
        <v>537</v>
      </c>
      <c r="U42" s="3"/>
      <c r="V42" s="3"/>
      <c r="W42" s="3" t="s">
        <v>629</v>
      </c>
      <c r="X42" s="3" t="s">
        <v>630</v>
      </c>
      <c r="Y42" s="3" t="s">
        <v>537</v>
      </c>
      <c r="Z42" s="3" t="s">
        <v>537</v>
      </c>
      <c r="AA42" s="3" t="s">
        <v>537</v>
      </c>
      <c r="AB42" s="3" t="s">
        <v>537</v>
      </c>
      <c r="AC42" s="3" t="s">
        <v>537</v>
      </c>
      <c r="AD42" s="3"/>
      <c r="AE42" s="3"/>
    </row>
    <row r="43" spans="1:31" ht="14.5" x14ac:dyDescent="0.35">
      <c r="A43" s="3" t="s">
        <v>129</v>
      </c>
      <c r="B43" s="3">
        <v>2019</v>
      </c>
      <c r="C43" s="3"/>
      <c r="D43" s="3"/>
      <c r="E43" s="3"/>
      <c r="F43" s="3"/>
      <c r="G43" s="3" t="s">
        <v>552</v>
      </c>
      <c r="H43" s="3"/>
      <c r="I43" s="3" t="s">
        <v>175</v>
      </c>
      <c r="J43" s="3" t="s">
        <v>175</v>
      </c>
      <c r="K43" s="3" t="s">
        <v>175</v>
      </c>
      <c r="L43" s="3"/>
      <c r="M43" s="3"/>
      <c r="N43" s="3"/>
      <c r="O43" s="3"/>
      <c r="P43" s="3"/>
      <c r="Q43" s="3"/>
      <c r="R43" s="3"/>
      <c r="S43" s="3"/>
      <c r="T43" s="3" t="s">
        <v>546</v>
      </c>
      <c r="U43" s="3"/>
      <c r="V43" s="3"/>
      <c r="W43" s="3"/>
      <c r="Y43" s="3" t="s">
        <v>546</v>
      </c>
      <c r="Z43" s="3" t="s">
        <v>546</v>
      </c>
      <c r="AA43" s="3" t="s">
        <v>546</v>
      </c>
      <c r="AB43" s="3" t="s">
        <v>546</v>
      </c>
      <c r="AC43" s="3" t="s">
        <v>546</v>
      </c>
      <c r="AD43" s="3"/>
      <c r="AE43" s="3"/>
    </row>
    <row r="44" spans="1:31" ht="14.5" x14ac:dyDescent="0.35">
      <c r="A44" s="3"/>
      <c r="B44" s="3"/>
      <c r="C44" s="3"/>
      <c r="D44" s="3"/>
      <c r="E44" s="3"/>
      <c r="F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4.5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2.6640625" defaultRowHeight="15" customHeight="1" x14ac:dyDescent="0.3"/>
  <cols>
    <col min="1" max="1" width="15.1640625" customWidth="1"/>
    <col min="2" max="2" width="30.6640625" customWidth="1"/>
    <col min="3" max="3" width="8.6640625" customWidth="1"/>
    <col min="4" max="4" width="73.83203125" customWidth="1"/>
    <col min="5" max="5" width="16.33203125" customWidth="1"/>
    <col min="6" max="26" width="7.6640625" customWidth="1"/>
  </cols>
  <sheetData>
    <row r="1" spans="1:26" ht="13.5" customHeight="1" x14ac:dyDescent="0.35">
      <c r="A1" s="24" t="s">
        <v>631</v>
      </c>
      <c r="B1" s="24" t="s">
        <v>632</v>
      </c>
      <c r="C1" s="24" t="s">
        <v>633</v>
      </c>
      <c r="D1" s="24" t="s">
        <v>634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3.5" customHeight="1" x14ac:dyDescent="0.35">
      <c r="A2" s="12" t="s">
        <v>635</v>
      </c>
      <c r="B2" s="1"/>
      <c r="C2" s="12" t="s">
        <v>636</v>
      </c>
      <c r="D2" s="12" t="s">
        <v>637</v>
      </c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3.5" customHeight="1" x14ac:dyDescent="0.35">
      <c r="A3" s="12" t="s">
        <v>635</v>
      </c>
      <c r="B3" s="12" t="s">
        <v>3</v>
      </c>
      <c r="C3" s="12" t="s">
        <v>638</v>
      </c>
      <c r="D3" s="12" t="s">
        <v>639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3.5" customHeight="1" x14ac:dyDescent="0.35">
      <c r="A4" s="12" t="s">
        <v>635</v>
      </c>
      <c r="B4" s="12" t="s">
        <v>640</v>
      </c>
      <c r="C4" s="12" t="s">
        <v>636</v>
      </c>
      <c r="D4" s="12" t="s">
        <v>641</v>
      </c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3.5" customHeight="1" x14ac:dyDescent="0.35">
      <c r="A5" s="12" t="s">
        <v>635</v>
      </c>
      <c r="B5" s="12" t="s">
        <v>8</v>
      </c>
      <c r="C5" s="12" t="s">
        <v>636</v>
      </c>
      <c r="D5" s="12" t="s">
        <v>642</v>
      </c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3.5" customHeight="1" x14ac:dyDescent="0.35">
      <c r="A6" s="12" t="s">
        <v>635</v>
      </c>
      <c r="B6" s="12" t="s">
        <v>14</v>
      </c>
      <c r="C6" s="12" t="s">
        <v>638</v>
      </c>
      <c r="D6" s="12" t="s">
        <v>639</v>
      </c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3.5" customHeight="1" x14ac:dyDescent="0.35">
      <c r="A7" s="12" t="s">
        <v>635</v>
      </c>
      <c r="B7" s="12" t="s">
        <v>21</v>
      </c>
      <c r="C7" s="12" t="s">
        <v>636</v>
      </c>
      <c r="D7" s="12" t="s">
        <v>643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3.5" customHeight="1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3.5" customHeight="1" x14ac:dyDescent="0.35">
      <c r="A9" s="12" t="s">
        <v>644</v>
      </c>
      <c r="B9" s="12" t="s">
        <v>20</v>
      </c>
      <c r="C9" s="12" t="s">
        <v>645</v>
      </c>
      <c r="D9" s="12" t="s">
        <v>646</v>
      </c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3.5" customHeight="1" x14ac:dyDescent="0.35">
      <c r="A10" s="12" t="s">
        <v>644</v>
      </c>
      <c r="B10" s="12" t="s">
        <v>233</v>
      </c>
      <c r="C10" s="12" t="s">
        <v>647</v>
      </c>
      <c r="D10" s="12" t="s">
        <v>648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3.5" customHeight="1" x14ac:dyDescent="0.35">
      <c r="A11" s="12" t="s">
        <v>644</v>
      </c>
      <c r="B11" s="12" t="s">
        <v>233</v>
      </c>
      <c r="C11" s="26">
        <v>2014</v>
      </c>
      <c r="D11" s="12" t="s">
        <v>649</v>
      </c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3.5" customHeight="1" x14ac:dyDescent="0.35">
      <c r="A12" s="12" t="s">
        <v>644</v>
      </c>
      <c r="B12" s="12" t="s">
        <v>212</v>
      </c>
      <c r="C12" s="12" t="s">
        <v>650</v>
      </c>
      <c r="D12" s="12" t="s">
        <v>651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3.5" customHeight="1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3.5" customHeight="1" x14ac:dyDescent="0.35">
      <c r="A14" s="12" t="s">
        <v>652</v>
      </c>
      <c r="B14" s="12" t="s">
        <v>229</v>
      </c>
      <c r="C14" s="12" t="s">
        <v>636</v>
      </c>
      <c r="D14" s="12" t="s">
        <v>653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3.5" customHeight="1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3.5" customHeight="1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3.5" customHeight="1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3.5" customHeight="1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3.5" customHeight="1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3.5" customHeight="1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3.5" customHeight="1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3.5" customHeight="1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3.5" customHeight="1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3.5" customHeight="1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3.5" customHeight="1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3.5" customHeight="1" x14ac:dyDescent="0.3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3.5" customHeight="1" x14ac:dyDescent="0.3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3.5" customHeight="1" x14ac:dyDescent="0.3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3.5" customHeight="1" x14ac:dyDescent="0.3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3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3.5" customHeight="1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3.5" customHeight="1" x14ac:dyDescent="0.3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3.5" customHeight="1" x14ac:dyDescent="0.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3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3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3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3.5" customHeight="1" x14ac:dyDescent="0.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3.5" customHeight="1" x14ac:dyDescent="0.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3.5" customHeight="1" x14ac:dyDescent="0.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3.5" customHeight="1" x14ac:dyDescent="0.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3.5" customHeight="1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3.5" customHeight="1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3.5" customHeight="1" x14ac:dyDescent="0.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3.5" customHeight="1" x14ac:dyDescent="0.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3.5" customHeight="1" x14ac:dyDescent="0.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3.5" customHeight="1" x14ac:dyDescent="0.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3.5" customHeight="1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3.5" customHeight="1" x14ac:dyDescent="0.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3.5" customHeight="1" x14ac:dyDescent="0.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3.5" customHeight="1" x14ac:dyDescent="0.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3.5" customHeight="1" x14ac:dyDescent="0.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3.5" customHeight="1" x14ac:dyDescent="0.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3.5" customHeight="1" x14ac:dyDescent="0.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3.5" customHeight="1" x14ac:dyDescent="0.3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3.5" customHeight="1" x14ac:dyDescent="0.3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3.5" customHeight="1" x14ac:dyDescent="0.3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3.5" customHeight="1" x14ac:dyDescent="0.3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3.5" customHeight="1" x14ac:dyDescent="0.3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3.5" customHeight="1" x14ac:dyDescent="0.3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3.5" customHeight="1" x14ac:dyDescent="0.3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3.5" customHeight="1" x14ac:dyDescent="0.3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3.5" customHeight="1" x14ac:dyDescent="0.3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3.5" customHeight="1" x14ac:dyDescent="0.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3.5" customHeight="1" x14ac:dyDescent="0.3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3.5" customHeight="1" x14ac:dyDescent="0.3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3.5" customHeight="1" x14ac:dyDescent="0.3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3.5" customHeight="1" x14ac:dyDescent="0.3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3.5" customHeight="1" x14ac:dyDescent="0.3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3.5" customHeight="1" x14ac:dyDescent="0.3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3.5" customHeight="1" x14ac:dyDescent="0.3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3.5" customHeight="1" x14ac:dyDescent="0.3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3.5" customHeight="1" x14ac:dyDescent="0.3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3.5" customHeight="1" x14ac:dyDescent="0.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3.5" customHeight="1" x14ac:dyDescent="0.3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3.5" customHeight="1" x14ac:dyDescent="0.3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3.5" customHeight="1" x14ac:dyDescent="0.3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3.5" customHeight="1" x14ac:dyDescent="0.3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3.5" customHeight="1" x14ac:dyDescent="0.3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3.5" customHeight="1" x14ac:dyDescent="0.3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3.5" customHeight="1" x14ac:dyDescent="0.3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3.5" customHeight="1" x14ac:dyDescent="0.3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3.5" customHeight="1" x14ac:dyDescent="0.3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3.5" customHeight="1" x14ac:dyDescent="0.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3.5" customHeight="1" x14ac:dyDescent="0.3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3.5" customHeight="1" x14ac:dyDescent="0.3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3.5" customHeight="1" x14ac:dyDescent="0.3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3.5" customHeight="1" x14ac:dyDescent="0.3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3.5" customHeight="1" x14ac:dyDescent="0.3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3.5" customHeight="1" x14ac:dyDescent="0.3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3.5" customHeight="1" x14ac:dyDescent="0.3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3.5" customHeight="1" x14ac:dyDescent="0.3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3.5" customHeight="1" x14ac:dyDescent="0.3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3.5" customHeight="1" x14ac:dyDescent="0.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3.5" customHeight="1" x14ac:dyDescent="0.3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3.5" customHeight="1" x14ac:dyDescent="0.3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3.5" customHeight="1" x14ac:dyDescent="0.3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3.5" customHeight="1" x14ac:dyDescent="0.3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3.5" customHeight="1" x14ac:dyDescent="0.3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3.5" customHeight="1" x14ac:dyDescent="0.3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3.5" customHeight="1" x14ac:dyDescent="0.3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3.5" customHeight="1" x14ac:dyDescent="0.3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3.5" customHeight="1" x14ac:dyDescent="0.3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3.5" customHeight="1" x14ac:dyDescent="0.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3.5" customHeight="1" x14ac:dyDescent="0.3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3.5" customHeight="1" x14ac:dyDescent="0.3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3.5" customHeight="1" x14ac:dyDescent="0.3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3.5" customHeight="1" x14ac:dyDescent="0.3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3.5" customHeight="1" x14ac:dyDescent="0.3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3.5" customHeight="1" x14ac:dyDescent="0.3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3.5" customHeight="1" x14ac:dyDescent="0.3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3.5" customHeight="1" x14ac:dyDescent="0.3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3.5" customHeight="1" x14ac:dyDescent="0.3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3.5" customHeight="1" x14ac:dyDescent="0.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3.5" customHeight="1" x14ac:dyDescent="0.3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3.5" customHeight="1" x14ac:dyDescent="0.3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3.5" customHeight="1" x14ac:dyDescent="0.3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3.5" customHeight="1" x14ac:dyDescent="0.3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3.5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3.5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3.5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3.5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3.5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3.5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3.5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3.5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3.5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3.5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3.5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3.5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3.5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3.5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3.5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3.5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3.5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3.5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3.5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3.5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3.5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3.5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3.5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3.5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3.5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3.5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3.5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3.5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3.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3.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3.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3.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3.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3.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3.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3.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3.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3.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3.5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3.5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3.5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3.5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3.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3.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3.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3.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3.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3.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3.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3.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3.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3.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3.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3.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3.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3.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3.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3.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3.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3.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3.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3.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3.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3.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3.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3.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3.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3.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3.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3.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3.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3.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3.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3.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3.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3.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3.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3.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3.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3.5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3.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3.5" customHeight="1" x14ac:dyDescent="0.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3.5" customHeight="1" x14ac:dyDescent="0.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3.5" customHeight="1" x14ac:dyDescent="0.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3.5" customHeight="1" x14ac:dyDescent="0.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3.5" customHeight="1" x14ac:dyDescent="0.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3.5" customHeight="1" x14ac:dyDescent="0.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3.5" customHeight="1" x14ac:dyDescent="0.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3.5" customHeight="1" x14ac:dyDescent="0.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3.5" customHeight="1" x14ac:dyDescent="0.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3.5" customHeight="1" x14ac:dyDescent="0.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3.5" customHeight="1" x14ac:dyDescent="0.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3.5" customHeight="1" x14ac:dyDescent="0.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3.5" customHeight="1" x14ac:dyDescent="0.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3.5" customHeight="1" x14ac:dyDescent="0.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3.5" customHeight="1" x14ac:dyDescent="0.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3.5" customHeight="1" x14ac:dyDescent="0.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3.5" customHeight="1" x14ac:dyDescent="0.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3.5" customHeight="1" x14ac:dyDescent="0.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3.5" customHeight="1" x14ac:dyDescent="0.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3.5" customHeight="1" x14ac:dyDescent="0.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3.5" customHeight="1" x14ac:dyDescent="0.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3.5" customHeight="1" x14ac:dyDescent="0.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3.5" customHeight="1" x14ac:dyDescent="0.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3.5" customHeight="1" x14ac:dyDescent="0.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3.5" customHeight="1" x14ac:dyDescent="0.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3.5" customHeight="1" x14ac:dyDescent="0.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3.5" customHeight="1" x14ac:dyDescent="0.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3.5" customHeight="1" x14ac:dyDescent="0.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3.5" customHeight="1" x14ac:dyDescent="0.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3.5" customHeight="1" x14ac:dyDescent="0.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3.5" customHeight="1" x14ac:dyDescent="0.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3.5" customHeight="1" x14ac:dyDescent="0.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3.5" customHeight="1" x14ac:dyDescent="0.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3.5" customHeight="1" x14ac:dyDescent="0.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3.5" customHeight="1" x14ac:dyDescent="0.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3.5" customHeight="1" x14ac:dyDescent="0.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3.5" customHeight="1" x14ac:dyDescent="0.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3.5" customHeight="1" x14ac:dyDescent="0.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3.5" customHeight="1" x14ac:dyDescent="0.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3.5" customHeight="1" x14ac:dyDescent="0.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3.5" customHeight="1" x14ac:dyDescent="0.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3.5" customHeight="1" x14ac:dyDescent="0.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3.5" customHeight="1" x14ac:dyDescent="0.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3.5" customHeight="1" x14ac:dyDescent="0.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3.5" customHeight="1" x14ac:dyDescent="0.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3.5" customHeight="1" x14ac:dyDescent="0.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3.5" customHeight="1" x14ac:dyDescent="0.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3.5" customHeight="1" x14ac:dyDescent="0.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3.5" customHeight="1" x14ac:dyDescent="0.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3.5" customHeight="1" x14ac:dyDescent="0.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3.5" customHeight="1" x14ac:dyDescent="0.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3.5" customHeight="1" x14ac:dyDescent="0.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3.5" customHeight="1" x14ac:dyDescent="0.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3.5" customHeight="1" x14ac:dyDescent="0.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3.5" customHeight="1" x14ac:dyDescent="0.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3.5" customHeight="1" x14ac:dyDescent="0.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3.5" customHeight="1" x14ac:dyDescent="0.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3.5" customHeight="1" x14ac:dyDescent="0.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3.5" customHeight="1" x14ac:dyDescent="0.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3.5" customHeight="1" x14ac:dyDescent="0.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3.5" customHeight="1" x14ac:dyDescent="0.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3.5" customHeight="1" x14ac:dyDescent="0.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3.5" customHeight="1" x14ac:dyDescent="0.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3.5" customHeight="1" x14ac:dyDescent="0.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3.5" customHeight="1" x14ac:dyDescent="0.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3.5" customHeight="1" x14ac:dyDescent="0.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3.5" customHeight="1" x14ac:dyDescent="0.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3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3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3.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3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3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3.5" customHeight="1" x14ac:dyDescent="0.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3.5" customHeight="1" x14ac:dyDescent="0.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3.5" customHeight="1" x14ac:dyDescent="0.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3.5" customHeight="1" x14ac:dyDescent="0.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3.5" customHeight="1" x14ac:dyDescent="0.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3.5" customHeight="1" x14ac:dyDescent="0.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3.5" customHeight="1" x14ac:dyDescent="0.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3.5" customHeight="1" x14ac:dyDescent="0.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3.5" customHeight="1" x14ac:dyDescent="0.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3.5" customHeight="1" x14ac:dyDescent="0.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3.5" customHeight="1" x14ac:dyDescent="0.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3.5" customHeight="1" x14ac:dyDescent="0.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3.5" customHeight="1" x14ac:dyDescent="0.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3.5" customHeight="1" x14ac:dyDescent="0.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3.5" customHeight="1" x14ac:dyDescent="0.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3.5" customHeight="1" x14ac:dyDescent="0.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3.5" customHeight="1" x14ac:dyDescent="0.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3.5" customHeight="1" x14ac:dyDescent="0.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3.5" customHeight="1" x14ac:dyDescent="0.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3.5" customHeight="1" x14ac:dyDescent="0.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3.5" customHeight="1" x14ac:dyDescent="0.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3.5" customHeight="1" x14ac:dyDescent="0.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3.5" customHeight="1" x14ac:dyDescent="0.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3.5" customHeight="1" x14ac:dyDescent="0.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3.5" customHeight="1" x14ac:dyDescent="0.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3.5" customHeight="1" x14ac:dyDescent="0.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3.5" customHeight="1" x14ac:dyDescent="0.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3.5" customHeight="1" x14ac:dyDescent="0.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3.5" customHeight="1" x14ac:dyDescent="0.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3.5" customHeight="1" x14ac:dyDescent="0.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3.5" customHeight="1" x14ac:dyDescent="0.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3.5" customHeight="1" x14ac:dyDescent="0.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3.5" customHeight="1" x14ac:dyDescent="0.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3.5" customHeight="1" x14ac:dyDescent="0.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3.5" customHeight="1" x14ac:dyDescent="0.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3.5" customHeight="1" x14ac:dyDescent="0.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3.5" customHeight="1" x14ac:dyDescent="0.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3.5" customHeight="1" x14ac:dyDescent="0.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3.5" customHeight="1" x14ac:dyDescent="0.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3.5" customHeight="1" x14ac:dyDescent="0.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3.5" customHeight="1" x14ac:dyDescent="0.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3.5" customHeight="1" x14ac:dyDescent="0.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3.5" customHeight="1" x14ac:dyDescent="0.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3.5" customHeight="1" x14ac:dyDescent="0.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3.5" customHeight="1" x14ac:dyDescent="0.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3.5" customHeight="1" x14ac:dyDescent="0.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3.5" customHeight="1" x14ac:dyDescent="0.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3.5" customHeight="1" x14ac:dyDescent="0.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3.5" customHeight="1" x14ac:dyDescent="0.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3.5" customHeight="1" x14ac:dyDescent="0.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3.5" customHeight="1" x14ac:dyDescent="0.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3.5" customHeight="1" x14ac:dyDescent="0.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3.5" customHeight="1" x14ac:dyDescent="0.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3.5" customHeight="1" x14ac:dyDescent="0.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3.5" customHeight="1" x14ac:dyDescent="0.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3.5" customHeight="1" x14ac:dyDescent="0.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3.5" customHeight="1" x14ac:dyDescent="0.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3.5" customHeight="1" x14ac:dyDescent="0.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3.5" customHeight="1" x14ac:dyDescent="0.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3.5" customHeight="1" x14ac:dyDescent="0.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3.5" customHeight="1" x14ac:dyDescent="0.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3.5" customHeight="1" x14ac:dyDescent="0.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3.5" customHeight="1" x14ac:dyDescent="0.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3.5" customHeight="1" x14ac:dyDescent="0.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3.5" customHeight="1" x14ac:dyDescent="0.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3.5" customHeight="1" x14ac:dyDescent="0.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3.5" customHeight="1" x14ac:dyDescent="0.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3.5" customHeight="1" x14ac:dyDescent="0.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3.5" customHeight="1" x14ac:dyDescent="0.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3.5" customHeight="1" x14ac:dyDescent="0.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3.5" customHeight="1" x14ac:dyDescent="0.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3.5" customHeight="1" x14ac:dyDescent="0.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3.5" customHeight="1" x14ac:dyDescent="0.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3.5" customHeight="1" x14ac:dyDescent="0.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3.5" customHeight="1" x14ac:dyDescent="0.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3.5" customHeight="1" x14ac:dyDescent="0.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3.5" customHeight="1" x14ac:dyDescent="0.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3.5" customHeight="1" x14ac:dyDescent="0.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3.5" customHeight="1" x14ac:dyDescent="0.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3.5" customHeight="1" x14ac:dyDescent="0.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3.5" customHeight="1" x14ac:dyDescent="0.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3.5" customHeight="1" x14ac:dyDescent="0.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3.5" customHeight="1" x14ac:dyDescent="0.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3.5" customHeight="1" x14ac:dyDescent="0.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3.5" customHeight="1" x14ac:dyDescent="0.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3.5" customHeight="1" x14ac:dyDescent="0.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3.5" customHeight="1" x14ac:dyDescent="0.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3.5" customHeight="1" x14ac:dyDescent="0.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3.5" customHeight="1" x14ac:dyDescent="0.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3.5" customHeight="1" x14ac:dyDescent="0.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3.5" customHeight="1" x14ac:dyDescent="0.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3.5" customHeight="1" x14ac:dyDescent="0.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3.5" customHeight="1" x14ac:dyDescent="0.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3.5" customHeight="1" x14ac:dyDescent="0.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3.5" customHeight="1" x14ac:dyDescent="0.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3.5" customHeight="1" x14ac:dyDescent="0.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3.5" customHeight="1" x14ac:dyDescent="0.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3.5" customHeight="1" x14ac:dyDescent="0.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3.5" customHeight="1" x14ac:dyDescent="0.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3.5" customHeight="1" x14ac:dyDescent="0.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3.5" customHeight="1" x14ac:dyDescent="0.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3.5" customHeight="1" x14ac:dyDescent="0.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3.5" customHeight="1" x14ac:dyDescent="0.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3.5" customHeight="1" x14ac:dyDescent="0.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3.5" customHeight="1" x14ac:dyDescent="0.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3.5" customHeight="1" x14ac:dyDescent="0.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3.5" customHeight="1" x14ac:dyDescent="0.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3.5" customHeight="1" x14ac:dyDescent="0.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3.5" customHeight="1" x14ac:dyDescent="0.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3.5" customHeight="1" x14ac:dyDescent="0.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3.5" customHeight="1" x14ac:dyDescent="0.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3.5" customHeight="1" x14ac:dyDescent="0.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3.5" customHeight="1" x14ac:dyDescent="0.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3.5" customHeight="1" x14ac:dyDescent="0.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3.5" customHeight="1" x14ac:dyDescent="0.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3.5" customHeight="1" x14ac:dyDescent="0.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3.5" customHeight="1" x14ac:dyDescent="0.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3.5" customHeight="1" x14ac:dyDescent="0.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3.5" customHeight="1" x14ac:dyDescent="0.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3.5" customHeight="1" x14ac:dyDescent="0.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3.5" customHeight="1" x14ac:dyDescent="0.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3.5" customHeight="1" x14ac:dyDescent="0.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3.5" customHeight="1" x14ac:dyDescent="0.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3.5" customHeight="1" x14ac:dyDescent="0.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3.5" customHeight="1" x14ac:dyDescent="0.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3.5" customHeight="1" x14ac:dyDescent="0.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3.5" customHeight="1" x14ac:dyDescent="0.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3.5" customHeight="1" x14ac:dyDescent="0.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3.5" customHeight="1" x14ac:dyDescent="0.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3.5" customHeight="1" x14ac:dyDescent="0.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3.5" customHeight="1" x14ac:dyDescent="0.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3.5" customHeight="1" x14ac:dyDescent="0.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3.5" customHeight="1" x14ac:dyDescent="0.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3.5" customHeight="1" x14ac:dyDescent="0.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3.5" customHeight="1" x14ac:dyDescent="0.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3.5" customHeight="1" x14ac:dyDescent="0.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3.5" customHeight="1" x14ac:dyDescent="0.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3.5" customHeight="1" x14ac:dyDescent="0.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3.5" customHeight="1" x14ac:dyDescent="0.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3.5" customHeight="1" x14ac:dyDescent="0.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3.5" customHeight="1" x14ac:dyDescent="0.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3.5" customHeight="1" x14ac:dyDescent="0.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3.5" customHeight="1" x14ac:dyDescent="0.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3.5" customHeight="1" x14ac:dyDescent="0.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3.5" customHeight="1" x14ac:dyDescent="0.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3.5" customHeight="1" x14ac:dyDescent="0.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3.5" customHeight="1" x14ac:dyDescent="0.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3.5" customHeight="1" x14ac:dyDescent="0.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3.5" customHeight="1" x14ac:dyDescent="0.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3.5" customHeight="1" x14ac:dyDescent="0.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3.5" customHeight="1" x14ac:dyDescent="0.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3.5" customHeight="1" x14ac:dyDescent="0.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3.5" customHeight="1" x14ac:dyDescent="0.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3.5" customHeight="1" x14ac:dyDescent="0.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3.5" customHeight="1" x14ac:dyDescent="0.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3.5" customHeight="1" x14ac:dyDescent="0.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3.5" customHeight="1" x14ac:dyDescent="0.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3.5" customHeight="1" x14ac:dyDescent="0.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3.5" customHeight="1" x14ac:dyDescent="0.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3.5" customHeight="1" x14ac:dyDescent="0.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3.5" customHeight="1" x14ac:dyDescent="0.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3.5" customHeight="1" x14ac:dyDescent="0.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3.5" customHeight="1" x14ac:dyDescent="0.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3.5" customHeight="1" x14ac:dyDescent="0.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3.5" customHeight="1" x14ac:dyDescent="0.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3.5" customHeight="1" x14ac:dyDescent="0.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3.5" customHeight="1" x14ac:dyDescent="0.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3.5" customHeight="1" x14ac:dyDescent="0.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3.5" customHeight="1" x14ac:dyDescent="0.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3.5" customHeight="1" x14ac:dyDescent="0.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3.5" customHeight="1" x14ac:dyDescent="0.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3.5" customHeight="1" x14ac:dyDescent="0.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3.5" customHeight="1" x14ac:dyDescent="0.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3.5" customHeight="1" x14ac:dyDescent="0.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3.5" customHeight="1" x14ac:dyDescent="0.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3.5" customHeight="1" x14ac:dyDescent="0.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3.5" customHeight="1" x14ac:dyDescent="0.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3.5" customHeight="1" x14ac:dyDescent="0.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3.5" customHeight="1" x14ac:dyDescent="0.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3.5" customHeight="1" x14ac:dyDescent="0.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3.5" customHeight="1" x14ac:dyDescent="0.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3.5" customHeight="1" x14ac:dyDescent="0.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3.5" customHeight="1" x14ac:dyDescent="0.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3.5" customHeight="1" x14ac:dyDescent="0.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3.5" customHeight="1" x14ac:dyDescent="0.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3.5" customHeight="1" x14ac:dyDescent="0.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3.5" customHeight="1" x14ac:dyDescent="0.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3.5" customHeight="1" x14ac:dyDescent="0.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3.5" customHeight="1" x14ac:dyDescent="0.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3.5" customHeight="1" x14ac:dyDescent="0.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3.5" customHeight="1" x14ac:dyDescent="0.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3.5" customHeight="1" x14ac:dyDescent="0.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3.5" customHeight="1" x14ac:dyDescent="0.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3.5" customHeight="1" x14ac:dyDescent="0.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3.5" customHeight="1" x14ac:dyDescent="0.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3.5" customHeight="1" x14ac:dyDescent="0.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3.5" customHeight="1" x14ac:dyDescent="0.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3.5" customHeight="1" x14ac:dyDescent="0.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3.5" customHeight="1" x14ac:dyDescent="0.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3.5" customHeight="1" x14ac:dyDescent="0.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3.5" customHeight="1" x14ac:dyDescent="0.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3.5" customHeight="1" x14ac:dyDescent="0.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3.5" customHeight="1" x14ac:dyDescent="0.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3.5" customHeight="1" x14ac:dyDescent="0.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3.5" customHeight="1" x14ac:dyDescent="0.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3.5" customHeight="1" x14ac:dyDescent="0.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3.5" customHeight="1" x14ac:dyDescent="0.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3.5" customHeight="1" x14ac:dyDescent="0.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3.5" customHeight="1" x14ac:dyDescent="0.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3.5" customHeight="1" x14ac:dyDescent="0.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3.5" customHeight="1" x14ac:dyDescent="0.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3.5" customHeight="1" x14ac:dyDescent="0.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3.5" customHeight="1" x14ac:dyDescent="0.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3.5" customHeight="1" x14ac:dyDescent="0.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3.5" customHeight="1" x14ac:dyDescent="0.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3.5" customHeight="1" x14ac:dyDescent="0.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3.5" customHeight="1" x14ac:dyDescent="0.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3.5" customHeight="1" x14ac:dyDescent="0.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3.5" customHeight="1" x14ac:dyDescent="0.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3.5" customHeight="1" x14ac:dyDescent="0.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3.5" customHeight="1" x14ac:dyDescent="0.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3.5" customHeight="1" x14ac:dyDescent="0.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3.5" customHeight="1" x14ac:dyDescent="0.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3.5" customHeight="1" x14ac:dyDescent="0.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3.5" customHeight="1" x14ac:dyDescent="0.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3.5" customHeight="1" x14ac:dyDescent="0.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3.5" customHeight="1" x14ac:dyDescent="0.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3.5" customHeight="1" x14ac:dyDescent="0.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3.5" customHeight="1" x14ac:dyDescent="0.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3.5" customHeight="1" x14ac:dyDescent="0.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3.5" customHeight="1" x14ac:dyDescent="0.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3.5" customHeight="1" x14ac:dyDescent="0.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3.5" customHeight="1" x14ac:dyDescent="0.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3.5" customHeight="1" x14ac:dyDescent="0.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3.5" customHeight="1" x14ac:dyDescent="0.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3.5" customHeight="1" x14ac:dyDescent="0.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3.5" customHeight="1" x14ac:dyDescent="0.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3.5" customHeight="1" x14ac:dyDescent="0.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3.5" customHeight="1" x14ac:dyDescent="0.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3.5" customHeight="1" x14ac:dyDescent="0.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3.5" customHeight="1" x14ac:dyDescent="0.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3.5" customHeight="1" x14ac:dyDescent="0.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3.5" customHeight="1" x14ac:dyDescent="0.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3.5" customHeight="1" x14ac:dyDescent="0.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3.5" customHeight="1" x14ac:dyDescent="0.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3.5" customHeight="1" x14ac:dyDescent="0.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3.5" customHeight="1" x14ac:dyDescent="0.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3.5" customHeight="1" x14ac:dyDescent="0.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3.5" customHeight="1" x14ac:dyDescent="0.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3.5" customHeight="1" x14ac:dyDescent="0.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3.5" customHeight="1" x14ac:dyDescent="0.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3.5" customHeight="1" x14ac:dyDescent="0.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3.5" customHeight="1" x14ac:dyDescent="0.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3.5" customHeight="1" x14ac:dyDescent="0.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3.5" customHeight="1" x14ac:dyDescent="0.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3.5" customHeight="1" x14ac:dyDescent="0.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3.5" customHeight="1" x14ac:dyDescent="0.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3.5" customHeight="1" x14ac:dyDescent="0.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3.5" customHeight="1" x14ac:dyDescent="0.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3.5" customHeight="1" x14ac:dyDescent="0.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3.5" customHeight="1" x14ac:dyDescent="0.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3.5" customHeight="1" x14ac:dyDescent="0.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3.5" customHeight="1" x14ac:dyDescent="0.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3.5" customHeight="1" x14ac:dyDescent="0.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3.5" customHeight="1" x14ac:dyDescent="0.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3.5" customHeight="1" x14ac:dyDescent="0.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3.5" customHeight="1" x14ac:dyDescent="0.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3.5" customHeight="1" x14ac:dyDescent="0.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3.5" customHeight="1" x14ac:dyDescent="0.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3.5" customHeight="1" x14ac:dyDescent="0.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3.5" customHeight="1" x14ac:dyDescent="0.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3.5" customHeight="1" x14ac:dyDescent="0.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3.5" customHeight="1" x14ac:dyDescent="0.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3.5" customHeight="1" x14ac:dyDescent="0.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3.5" customHeight="1" x14ac:dyDescent="0.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3.5" customHeight="1" x14ac:dyDescent="0.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3.5" customHeight="1" x14ac:dyDescent="0.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3.5" customHeight="1" x14ac:dyDescent="0.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3.5" customHeight="1" x14ac:dyDescent="0.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3.5" customHeight="1" x14ac:dyDescent="0.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3.5" customHeight="1" x14ac:dyDescent="0.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3.5" customHeight="1" x14ac:dyDescent="0.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3.5" customHeight="1" x14ac:dyDescent="0.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3.5" customHeight="1" x14ac:dyDescent="0.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3.5" customHeight="1" x14ac:dyDescent="0.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3.5" customHeight="1" x14ac:dyDescent="0.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3.5" customHeight="1" x14ac:dyDescent="0.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3.5" customHeight="1" x14ac:dyDescent="0.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3.5" customHeight="1" x14ac:dyDescent="0.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3.5" customHeight="1" x14ac:dyDescent="0.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3.5" customHeight="1" x14ac:dyDescent="0.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3.5" customHeight="1" x14ac:dyDescent="0.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3.5" customHeight="1" x14ac:dyDescent="0.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3.5" customHeight="1" x14ac:dyDescent="0.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3.5" customHeight="1" x14ac:dyDescent="0.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3.5" customHeight="1" x14ac:dyDescent="0.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3.5" customHeight="1" x14ac:dyDescent="0.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3.5" customHeight="1" x14ac:dyDescent="0.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3.5" customHeight="1" x14ac:dyDescent="0.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3.5" customHeight="1" x14ac:dyDescent="0.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3.5" customHeight="1" x14ac:dyDescent="0.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3.5" customHeight="1" x14ac:dyDescent="0.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3.5" customHeight="1" x14ac:dyDescent="0.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3.5" customHeight="1" x14ac:dyDescent="0.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3.5" customHeight="1" x14ac:dyDescent="0.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3.5" customHeight="1" x14ac:dyDescent="0.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3.5" customHeight="1" x14ac:dyDescent="0.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3.5" customHeight="1" x14ac:dyDescent="0.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3.5" customHeight="1" x14ac:dyDescent="0.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3.5" customHeight="1" x14ac:dyDescent="0.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3.5" customHeight="1" x14ac:dyDescent="0.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3.5" customHeight="1" x14ac:dyDescent="0.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3.5" customHeight="1" x14ac:dyDescent="0.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3.5" customHeight="1" x14ac:dyDescent="0.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3.5" customHeight="1" x14ac:dyDescent="0.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3.5" customHeight="1" x14ac:dyDescent="0.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3.5" customHeight="1" x14ac:dyDescent="0.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3.5" customHeight="1" x14ac:dyDescent="0.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3.5" customHeight="1" x14ac:dyDescent="0.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3.5" customHeight="1" x14ac:dyDescent="0.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3.5" customHeight="1" x14ac:dyDescent="0.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3.5" customHeight="1" x14ac:dyDescent="0.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3.5" customHeight="1" x14ac:dyDescent="0.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3.5" customHeight="1" x14ac:dyDescent="0.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3.5" customHeight="1" x14ac:dyDescent="0.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3.5" customHeight="1" x14ac:dyDescent="0.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3.5" customHeight="1" x14ac:dyDescent="0.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3.5" customHeight="1" x14ac:dyDescent="0.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3.5" customHeight="1" x14ac:dyDescent="0.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3.5" customHeight="1" x14ac:dyDescent="0.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3.5" customHeight="1" x14ac:dyDescent="0.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3.5" customHeight="1" x14ac:dyDescent="0.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3.5" customHeight="1" x14ac:dyDescent="0.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3.5" customHeight="1" x14ac:dyDescent="0.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3.5" customHeight="1" x14ac:dyDescent="0.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3.5" customHeight="1" x14ac:dyDescent="0.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3.5" customHeight="1" x14ac:dyDescent="0.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3.5" customHeight="1" x14ac:dyDescent="0.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3.5" customHeight="1" x14ac:dyDescent="0.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3.5" customHeight="1" x14ac:dyDescent="0.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3.5" customHeight="1" x14ac:dyDescent="0.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3.5" customHeight="1" x14ac:dyDescent="0.3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3.5" customHeight="1" x14ac:dyDescent="0.3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3.5" customHeight="1" x14ac:dyDescent="0.3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3.5" customHeight="1" x14ac:dyDescent="0.3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3.5" customHeight="1" x14ac:dyDescent="0.3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3.5" customHeight="1" x14ac:dyDescent="0.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3.5" customHeight="1" x14ac:dyDescent="0.3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3.5" customHeight="1" x14ac:dyDescent="0.3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3.5" customHeight="1" x14ac:dyDescent="0.3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3.5" customHeight="1" x14ac:dyDescent="0.3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3.5" customHeight="1" x14ac:dyDescent="0.3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3.5" customHeight="1" x14ac:dyDescent="0.3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3.5" customHeight="1" x14ac:dyDescent="0.3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3.5" customHeight="1" x14ac:dyDescent="0.3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3.5" customHeight="1" x14ac:dyDescent="0.3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3.5" customHeight="1" x14ac:dyDescent="0.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3.5" customHeight="1" x14ac:dyDescent="0.3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3.5" customHeight="1" x14ac:dyDescent="0.3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3.5" customHeight="1" x14ac:dyDescent="0.3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3.5" customHeight="1" x14ac:dyDescent="0.3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3.5" customHeight="1" x14ac:dyDescent="0.3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3.5" customHeight="1" x14ac:dyDescent="0.3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3.5" customHeight="1" x14ac:dyDescent="0.3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3.5" customHeight="1" x14ac:dyDescent="0.3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3.5" customHeight="1" x14ac:dyDescent="0.3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3.5" customHeight="1" x14ac:dyDescent="0.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3.5" customHeight="1" x14ac:dyDescent="0.3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3.5" customHeight="1" x14ac:dyDescent="0.3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3.5" customHeight="1" x14ac:dyDescent="0.3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3.5" customHeight="1" x14ac:dyDescent="0.3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3.5" customHeight="1" x14ac:dyDescent="0.3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3.5" customHeight="1" x14ac:dyDescent="0.3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3.5" customHeight="1" x14ac:dyDescent="0.3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3.5" customHeight="1" x14ac:dyDescent="0.3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3.5" customHeight="1" x14ac:dyDescent="0.3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3.5" customHeight="1" x14ac:dyDescent="0.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3.5" customHeight="1" x14ac:dyDescent="0.3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3.5" customHeight="1" x14ac:dyDescent="0.3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3.5" customHeight="1" x14ac:dyDescent="0.3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3.5" customHeight="1" x14ac:dyDescent="0.3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3.5" customHeight="1" x14ac:dyDescent="0.3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3.5" customHeight="1" x14ac:dyDescent="0.3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3.5" customHeight="1" x14ac:dyDescent="0.3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3.5" customHeight="1" x14ac:dyDescent="0.3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3.5" customHeight="1" x14ac:dyDescent="0.3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3.5" customHeight="1" x14ac:dyDescent="0.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3.5" customHeight="1" x14ac:dyDescent="0.3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3.5" customHeight="1" x14ac:dyDescent="0.3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3.5" customHeight="1" x14ac:dyDescent="0.3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3.5" customHeight="1" x14ac:dyDescent="0.3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3.5" customHeight="1" x14ac:dyDescent="0.3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3.5" customHeight="1" x14ac:dyDescent="0.3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3.5" customHeight="1" x14ac:dyDescent="0.3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3.5" customHeight="1" x14ac:dyDescent="0.3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3.5" customHeight="1" x14ac:dyDescent="0.3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3.5" customHeight="1" x14ac:dyDescent="0.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3.5" customHeight="1" x14ac:dyDescent="0.3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3.5" customHeight="1" x14ac:dyDescent="0.3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3.5" customHeight="1" x14ac:dyDescent="0.3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3.5" customHeight="1" x14ac:dyDescent="0.3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3.5" customHeight="1" x14ac:dyDescent="0.3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3.5" customHeight="1" x14ac:dyDescent="0.3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3.5" customHeight="1" x14ac:dyDescent="0.3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3.5" customHeight="1" x14ac:dyDescent="0.3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3.5" customHeight="1" x14ac:dyDescent="0.3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3.5" customHeight="1" x14ac:dyDescent="0.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3.5" customHeight="1" x14ac:dyDescent="0.3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3.5" customHeight="1" x14ac:dyDescent="0.3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3.5" customHeight="1" x14ac:dyDescent="0.3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3.5" customHeight="1" x14ac:dyDescent="0.3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3.5" customHeight="1" x14ac:dyDescent="0.3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3.5" customHeight="1" x14ac:dyDescent="0.3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3.5" customHeight="1" x14ac:dyDescent="0.3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3.5" customHeight="1" x14ac:dyDescent="0.3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3.5" customHeight="1" x14ac:dyDescent="0.3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3.5" customHeight="1" x14ac:dyDescent="0.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3.5" customHeight="1" x14ac:dyDescent="0.3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3.5" customHeight="1" x14ac:dyDescent="0.3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3.5" customHeight="1" x14ac:dyDescent="0.3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3.5" customHeight="1" x14ac:dyDescent="0.3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3.5" customHeight="1" x14ac:dyDescent="0.3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3.5" customHeight="1" x14ac:dyDescent="0.3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3.5" customHeight="1" x14ac:dyDescent="0.3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3.5" customHeight="1" x14ac:dyDescent="0.3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3.5" customHeight="1" x14ac:dyDescent="0.3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3.5" customHeight="1" x14ac:dyDescent="0.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3.5" customHeight="1" x14ac:dyDescent="0.3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3.5" customHeight="1" x14ac:dyDescent="0.3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3.5" customHeight="1" x14ac:dyDescent="0.3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3.5" customHeight="1" x14ac:dyDescent="0.3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3.5" customHeight="1" x14ac:dyDescent="0.3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3.5" customHeight="1" x14ac:dyDescent="0.3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3.5" customHeight="1" x14ac:dyDescent="0.3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3.5" customHeight="1" x14ac:dyDescent="0.3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3.5" customHeight="1" x14ac:dyDescent="0.3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3.5" customHeight="1" x14ac:dyDescent="0.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3.5" customHeight="1" x14ac:dyDescent="0.3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3.5" customHeight="1" x14ac:dyDescent="0.3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3.5" customHeight="1" x14ac:dyDescent="0.3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3.5" customHeight="1" x14ac:dyDescent="0.3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3.5" customHeight="1" x14ac:dyDescent="0.3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3.5" customHeight="1" x14ac:dyDescent="0.3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3.5" customHeight="1" x14ac:dyDescent="0.3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3.5" customHeight="1" x14ac:dyDescent="0.3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3.5" customHeight="1" x14ac:dyDescent="0.3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3.5" customHeight="1" x14ac:dyDescent="0.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3.5" customHeight="1" x14ac:dyDescent="0.3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3.5" customHeight="1" x14ac:dyDescent="0.3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3.5" customHeight="1" x14ac:dyDescent="0.3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3.5" customHeight="1" x14ac:dyDescent="0.3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3.5" customHeight="1" x14ac:dyDescent="0.3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3.5" customHeight="1" x14ac:dyDescent="0.3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3.5" customHeight="1" x14ac:dyDescent="0.3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3.5" customHeight="1" x14ac:dyDescent="0.3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3.5" customHeight="1" x14ac:dyDescent="0.3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3.5" customHeight="1" x14ac:dyDescent="0.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3.5" customHeight="1" x14ac:dyDescent="0.3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3.5" customHeight="1" x14ac:dyDescent="0.3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3.5" customHeight="1" x14ac:dyDescent="0.3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3.5" customHeight="1" x14ac:dyDescent="0.3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3.5" customHeight="1" x14ac:dyDescent="0.3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3.5" customHeight="1" x14ac:dyDescent="0.3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3.5" customHeight="1" x14ac:dyDescent="0.3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3.5" customHeight="1" x14ac:dyDescent="0.3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3.5" customHeight="1" x14ac:dyDescent="0.3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3.5" customHeight="1" x14ac:dyDescent="0.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3.5" customHeight="1" x14ac:dyDescent="0.3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3.5" customHeight="1" x14ac:dyDescent="0.3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3.5" customHeight="1" x14ac:dyDescent="0.3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3.5" customHeight="1" x14ac:dyDescent="0.3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3.5" customHeight="1" x14ac:dyDescent="0.3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3.5" customHeight="1" x14ac:dyDescent="0.3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3.5" customHeight="1" x14ac:dyDescent="0.3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3.5" customHeight="1" x14ac:dyDescent="0.3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3.5" customHeight="1" x14ac:dyDescent="0.3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3.5" customHeight="1" x14ac:dyDescent="0.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3.5" customHeight="1" x14ac:dyDescent="0.3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3.5" customHeight="1" x14ac:dyDescent="0.3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3.5" customHeight="1" x14ac:dyDescent="0.3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3.5" customHeight="1" x14ac:dyDescent="0.3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3.5" customHeight="1" x14ac:dyDescent="0.3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3.5" customHeight="1" x14ac:dyDescent="0.3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3.5" customHeight="1" x14ac:dyDescent="0.3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3.5" customHeight="1" x14ac:dyDescent="0.3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3.5" customHeight="1" x14ac:dyDescent="0.3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3.5" customHeight="1" x14ac:dyDescent="0.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3.5" customHeight="1" x14ac:dyDescent="0.3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3.5" customHeight="1" x14ac:dyDescent="0.3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3.5" customHeight="1" x14ac:dyDescent="0.3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3.5" customHeight="1" x14ac:dyDescent="0.3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3.5" customHeight="1" x14ac:dyDescent="0.3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3.5" customHeight="1" x14ac:dyDescent="0.3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3.5" customHeight="1" x14ac:dyDescent="0.3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3.5" customHeight="1" x14ac:dyDescent="0.3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3.5" customHeight="1" x14ac:dyDescent="0.3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3.5" customHeight="1" x14ac:dyDescent="0.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3.5" customHeight="1" x14ac:dyDescent="0.3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3.5" customHeight="1" x14ac:dyDescent="0.3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3.5" customHeight="1" x14ac:dyDescent="0.3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3.5" customHeight="1" x14ac:dyDescent="0.3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3.5" customHeight="1" x14ac:dyDescent="0.3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3.5" customHeight="1" x14ac:dyDescent="0.3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3.5" customHeight="1" x14ac:dyDescent="0.3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3.5" customHeight="1" x14ac:dyDescent="0.3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3.5" customHeight="1" x14ac:dyDescent="0.3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3.5" customHeight="1" x14ac:dyDescent="0.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3.5" customHeight="1" x14ac:dyDescent="0.3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3.5" customHeight="1" x14ac:dyDescent="0.3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3.5" customHeight="1" x14ac:dyDescent="0.3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3.5" customHeight="1" x14ac:dyDescent="0.3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3.5" customHeight="1" x14ac:dyDescent="0.3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3.5" customHeight="1" x14ac:dyDescent="0.3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3.5" customHeight="1" x14ac:dyDescent="0.3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3.5" customHeight="1" x14ac:dyDescent="0.3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3.5" customHeight="1" x14ac:dyDescent="0.3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3.5" customHeight="1" x14ac:dyDescent="0.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3.5" customHeight="1" x14ac:dyDescent="0.3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3.5" customHeight="1" x14ac:dyDescent="0.3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3.5" customHeight="1" x14ac:dyDescent="0.3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3.5" customHeight="1" x14ac:dyDescent="0.3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3.5" customHeight="1" x14ac:dyDescent="0.3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3.5" customHeight="1" x14ac:dyDescent="0.3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3.5" customHeight="1" x14ac:dyDescent="0.3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3.5" customHeight="1" x14ac:dyDescent="0.3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3.5" customHeight="1" x14ac:dyDescent="0.3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3.5" customHeight="1" x14ac:dyDescent="0.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3.5" customHeight="1" x14ac:dyDescent="0.3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3.5" customHeight="1" x14ac:dyDescent="0.3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3.5" customHeight="1" x14ac:dyDescent="0.3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3.5" customHeight="1" x14ac:dyDescent="0.3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3.5" customHeight="1" x14ac:dyDescent="0.3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3.5" customHeight="1" x14ac:dyDescent="0.3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3.5" customHeight="1" x14ac:dyDescent="0.3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3.5" customHeight="1" x14ac:dyDescent="0.3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3.5" customHeight="1" x14ac:dyDescent="0.3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3.5" customHeight="1" x14ac:dyDescent="0.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3.5" customHeight="1" x14ac:dyDescent="0.3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3.5" customHeight="1" x14ac:dyDescent="0.3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3.5" customHeight="1" x14ac:dyDescent="0.3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3.5" customHeight="1" x14ac:dyDescent="0.3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3.5" customHeight="1" x14ac:dyDescent="0.3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3.5" customHeight="1" x14ac:dyDescent="0.3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3.5" customHeight="1" x14ac:dyDescent="0.3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3.5" customHeight="1" x14ac:dyDescent="0.3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3.5" customHeight="1" x14ac:dyDescent="0.3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3.5" customHeight="1" x14ac:dyDescent="0.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3.5" customHeight="1" x14ac:dyDescent="0.3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3.5" customHeight="1" x14ac:dyDescent="0.3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3.5" customHeight="1" x14ac:dyDescent="0.3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3.5" customHeight="1" x14ac:dyDescent="0.3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3.5" customHeight="1" x14ac:dyDescent="0.3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3.5" customHeight="1" x14ac:dyDescent="0.3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3.5" customHeight="1" x14ac:dyDescent="0.3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3.5" customHeight="1" x14ac:dyDescent="0.3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3.5" customHeight="1" x14ac:dyDescent="0.3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3.5" customHeight="1" x14ac:dyDescent="0.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3.5" customHeight="1" x14ac:dyDescent="0.3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3.5" customHeight="1" x14ac:dyDescent="0.3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3.5" customHeight="1" x14ac:dyDescent="0.3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3.5" customHeight="1" x14ac:dyDescent="0.3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3.5" customHeight="1" x14ac:dyDescent="0.3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3.5" customHeight="1" x14ac:dyDescent="0.3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3.5" customHeight="1" x14ac:dyDescent="0.3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3.5" customHeight="1" x14ac:dyDescent="0.3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3.5" customHeight="1" x14ac:dyDescent="0.3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3.5" customHeight="1" x14ac:dyDescent="0.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3.5" customHeight="1" x14ac:dyDescent="0.3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3.5" customHeight="1" x14ac:dyDescent="0.3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3.5" customHeight="1" x14ac:dyDescent="0.3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3.5" customHeight="1" x14ac:dyDescent="0.3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3.5" customHeight="1" x14ac:dyDescent="0.3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3.5" customHeight="1" x14ac:dyDescent="0.3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3.5" customHeight="1" x14ac:dyDescent="0.3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3.5" customHeight="1" x14ac:dyDescent="0.3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3.5" customHeight="1" x14ac:dyDescent="0.3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3.5" customHeight="1" x14ac:dyDescent="0.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3.5" customHeight="1" x14ac:dyDescent="0.3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3.5" customHeight="1" x14ac:dyDescent="0.3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3.5" customHeight="1" x14ac:dyDescent="0.3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3.5" customHeight="1" x14ac:dyDescent="0.3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3.5" customHeight="1" x14ac:dyDescent="0.3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3.5" customHeight="1" x14ac:dyDescent="0.3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3.5" customHeight="1" x14ac:dyDescent="0.3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3.5" customHeight="1" x14ac:dyDescent="0.3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3.5" customHeight="1" x14ac:dyDescent="0.3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3.5" customHeight="1" x14ac:dyDescent="0.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3.5" customHeight="1" x14ac:dyDescent="0.3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3.5" customHeight="1" x14ac:dyDescent="0.3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3.5" customHeight="1" x14ac:dyDescent="0.3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3.5" customHeight="1" x14ac:dyDescent="0.3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3.5" customHeight="1" x14ac:dyDescent="0.3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3.5" customHeight="1" x14ac:dyDescent="0.3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3.5" customHeight="1" x14ac:dyDescent="0.3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3.5" customHeight="1" x14ac:dyDescent="0.3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3.5" customHeight="1" x14ac:dyDescent="0.3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3.5" customHeight="1" x14ac:dyDescent="0.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3.5" customHeight="1" x14ac:dyDescent="0.3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3.5" customHeight="1" x14ac:dyDescent="0.3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3.5" customHeight="1" x14ac:dyDescent="0.3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3.5" customHeight="1" x14ac:dyDescent="0.3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3.5" customHeight="1" x14ac:dyDescent="0.3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3.5" customHeight="1" x14ac:dyDescent="0.3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3.5" customHeight="1" x14ac:dyDescent="0.3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3.5" customHeight="1" x14ac:dyDescent="0.3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3.5" customHeight="1" x14ac:dyDescent="0.3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3.5" customHeight="1" x14ac:dyDescent="0.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3.5" customHeight="1" x14ac:dyDescent="0.3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3.5" customHeight="1" x14ac:dyDescent="0.3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3.5" customHeight="1" x14ac:dyDescent="0.3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3.5" customHeight="1" x14ac:dyDescent="0.3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3.5" customHeight="1" x14ac:dyDescent="0.3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3.5" customHeight="1" x14ac:dyDescent="0.3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3.5" customHeight="1" x14ac:dyDescent="0.3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3.5" customHeight="1" x14ac:dyDescent="0.3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3.5" customHeight="1" x14ac:dyDescent="0.3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3.5" customHeight="1" x14ac:dyDescent="0.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3.5" customHeight="1" x14ac:dyDescent="0.3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3.5" customHeight="1" x14ac:dyDescent="0.3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3.5" customHeight="1" x14ac:dyDescent="0.3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3.5" customHeight="1" x14ac:dyDescent="0.3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3.5" customHeight="1" x14ac:dyDescent="0.3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3.5" customHeight="1" x14ac:dyDescent="0.3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3.5" customHeight="1" x14ac:dyDescent="0.3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3.5" customHeight="1" x14ac:dyDescent="0.3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3.5" customHeight="1" x14ac:dyDescent="0.3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3.5" customHeight="1" x14ac:dyDescent="0.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3.5" customHeight="1" x14ac:dyDescent="0.3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3.5" customHeight="1" x14ac:dyDescent="0.3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3.5" customHeight="1" x14ac:dyDescent="0.3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3.5" customHeight="1" x14ac:dyDescent="0.3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3.5" customHeight="1" x14ac:dyDescent="0.3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3.5" customHeight="1" x14ac:dyDescent="0.3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3.5" customHeight="1" x14ac:dyDescent="0.3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3.5" customHeight="1" x14ac:dyDescent="0.3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3.5" customHeight="1" x14ac:dyDescent="0.3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3.5" customHeight="1" x14ac:dyDescent="0.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3.5" customHeight="1" x14ac:dyDescent="0.3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3.5" customHeight="1" x14ac:dyDescent="0.3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3.5" customHeight="1" x14ac:dyDescent="0.3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3.5" customHeight="1" x14ac:dyDescent="0.3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3.5" customHeight="1" x14ac:dyDescent="0.3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3.5" customHeight="1" x14ac:dyDescent="0.3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3.5" customHeight="1" x14ac:dyDescent="0.3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3.5" customHeight="1" x14ac:dyDescent="0.3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3.5" customHeight="1" x14ac:dyDescent="0.3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3.5" customHeight="1" x14ac:dyDescent="0.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3.5" customHeight="1" x14ac:dyDescent="0.3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3.5" customHeight="1" x14ac:dyDescent="0.3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3.5" customHeight="1" x14ac:dyDescent="0.3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3.5" customHeight="1" x14ac:dyDescent="0.3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3.5" customHeight="1" x14ac:dyDescent="0.3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3.5" customHeight="1" x14ac:dyDescent="0.3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3.5" customHeight="1" x14ac:dyDescent="0.3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3.5" customHeight="1" x14ac:dyDescent="0.3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3.5" customHeight="1" x14ac:dyDescent="0.3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3.5" customHeight="1" x14ac:dyDescent="0.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3.5" customHeight="1" x14ac:dyDescent="0.3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3.5" customHeight="1" x14ac:dyDescent="0.3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3.5" customHeight="1" x14ac:dyDescent="0.3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3.5" customHeight="1" x14ac:dyDescent="0.3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3.5" customHeight="1" x14ac:dyDescent="0.3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3.5" customHeight="1" x14ac:dyDescent="0.3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3.5" customHeight="1" x14ac:dyDescent="0.3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3.5" customHeight="1" x14ac:dyDescent="0.3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3.5" customHeight="1" x14ac:dyDescent="0.3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3.5" customHeight="1" x14ac:dyDescent="0.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3.5" customHeight="1" x14ac:dyDescent="0.3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3.5" customHeight="1" x14ac:dyDescent="0.3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3.5" customHeight="1" x14ac:dyDescent="0.3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3.5" customHeight="1" x14ac:dyDescent="0.3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3.5" customHeight="1" x14ac:dyDescent="0.3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3.5" customHeight="1" x14ac:dyDescent="0.3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3.5" customHeight="1" x14ac:dyDescent="0.3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3.5" customHeight="1" x14ac:dyDescent="0.3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3.5" customHeight="1" x14ac:dyDescent="0.3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3.5" customHeight="1" x14ac:dyDescent="0.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3.5" customHeight="1" x14ac:dyDescent="0.3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3.5" customHeight="1" x14ac:dyDescent="0.3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3.5" customHeight="1" x14ac:dyDescent="0.3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3.5" customHeight="1" x14ac:dyDescent="0.3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3.5" customHeight="1" x14ac:dyDescent="0.3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3.5" customHeight="1" x14ac:dyDescent="0.3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3.5" customHeight="1" x14ac:dyDescent="0.3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3.5" customHeight="1" x14ac:dyDescent="0.3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3.5" customHeight="1" x14ac:dyDescent="0.3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3.5" customHeight="1" x14ac:dyDescent="0.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3.5" customHeight="1" x14ac:dyDescent="0.3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3.5" customHeight="1" x14ac:dyDescent="0.3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3.5" customHeight="1" x14ac:dyDescent="0.3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3.5" customHeight="1" x14ac:dyDescent="0.3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3.5" customHeight="1" x14ac:dyDescent="0.3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3.5" customHeight="1" x14ac:dyDescent="0.3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3.5" customHeight="1" x14ac:dyDescent="0.3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3.5" customHeight="1" x14ac:dyDescent="0.3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3.5" customHeight="1" x14ac:dyDescent="0.3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3.5" customHeight="1" x14ac:dyDescent="0.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3.5" customHeight="1" x14ac:dyDescent="0.3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3.5" customHeight="1" x14ac:dyDescent="0.3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3.5" customHeight="1" x14ac:dyDescent="0.3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3.5" customHeight="1" x14ac:dyDescent="0.3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3.5" customHeight="1" x14ac:dyDescent="0.3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3.5" customHeight="1" x14ac:dyDescent="0.3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3.5" customHeight="1" x14ac:dyDescent="0.3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3.5" customHeight="1" x14ac:dyDescent="0.3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3.5" customHeight="1" x14ac:dyDescent="0.3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3.5" customHeight="1" x14ac:dyDescent="0.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3.5" customHeight="1" x14ac:dyDescent="0.3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3.5" customHeight="1" x14ac:dyDescent="0.3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3.5" customHeight="1" x14ac:dyDescent="0.3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3.5" customHeight="1" x14ac:dyDescent="0.3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3.5" customHeight="1" x14ac:dyDescent="0.3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3.5" customHeight="1" x14ac:dyDescent="0.3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3.5" customHeight="1" x14ac:dyDescent="0.3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3.5" customHeight="1" x14ac:dyDescent="0.3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3.5" customHeight="1" x14ac:dyDescent="0.3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3.5" customHeight="1" x14ac:dyDescent="0.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3.5" customHeight="1" x14ac:dyDescent="0.3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3.5" customHeight="1" x14ac:dyDescent="0.3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3.5" customHeight="1" x14ac:dyDescent="0.3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3.5" customHeight="1" x14ac:dyDescent="0.3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3.5" customHeight="1" x14ac:dyDescent="0.3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3.5" customHeight="1" x14ac:dyDescent="0.3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3.5" customHeight="1" x14ac:dyDescent="0.3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640625" defaultRowHeight="15" customHeight="1" x14ac:dyDescent="0.3"/>
  <cols>
    <col min="1" max="1" width="28.83203125" customWidth="1"/>
    <col min="2" max="2" width="9.6640625" customWidth="1"/>
    <col min="3" max="26" width="9" customWidth="1"/>
  </cols>
  <sheetData>
    <row r="1" spans="1:26" ht="13.5" customHeight="1" x14ac:dyDescent="0.3">
      <c r="A1" s="27" t="s">
        <v>654</v>
      </c>
      <c r="B1" s="27" t="s">
        <v>655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5" customHeight="1" x14ac:dyDescent="0.3">
      <c r="A2" s="17" t="s">
        <v>259</v>
      </c>
      <c r="B2" s="17">
        <v>10701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3.5" customHeight="1" x14ac:dyDescent="0.3">
      <c r="A3" s="17" t="s">
        <v>260</v>
      </c>
      <c r="B3" s="17">
        <v>10702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3.5" customHeight="1" x14ac:dyDescent="0.3">
      <c r="A4" s="17" t="s">
        <v>237</v>
      </c>
      <c r="B4" s="17">
        <v>10703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3.5" customHeight="1" x14ac:dyDescent="0.3">
      <c r="A5" s="17" t="s">
        <v>242</v>
      </c>
      <c r="B5" s="17">
        <v>10704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3.5" customHeight="1" x14ac:dyDescent="0.3">
      <c r="A6" s="17" t="s">
        <v>246</v>
      </c>
      <c r="B6" s="17">
        <v>10705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5" customHeight="1" x14ac:dyDescent="0.3">
      <c r="A7" s="17" t="s">
        <v>289</v>
      </c>
      <c r="B7" s="17">
        <v>10706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3.5" customHeight="1" x14ac:dyDescent="0.3">
      <c r="A8" s="17" t="s">
        <v>320</v>
      </c>
      <c r="B8" s="17">
        <v>10798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3.5" customHeight="1" x14ac:dyDescent="0.3">
      <c r="A9" s="25" t="s">
        <v>321</v>
      </c>
      <c r="B9" s="17">
        <v>10799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5" customHeight="1" x14ac:dyDescent="0.3">
      <c r="A10" s="25" t="s">
        <v>322</v>
      </c>
      <c r="B10" s="17">
        <v>10800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5" customHeight="1" x14ac:dyDescent="0.3">
      <c r="A11" s="17" t="s">
        <v>296</v>
      </c>
      <c r="B11" s="17">
        <v>10801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5" customHeight="1" x14ac:dyDescent="0.3">
      <c r="A12" s="17" t="s">
        <v>297</v>
      </c>
      <c r="B12" s="17">
        <v>10802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5" customHeight="1" x14ac:dyDescent="0.3">
      <c r="A13" s="17" t="s">
        <v>298</v>
      </c>
      <c r="B13" s="17">
        <v>10803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 customHeight="1" x14ac:dyDescent="0.3">
      <c r="A14" s="17" t="s">
        <v>299</v>
      </c>
      <c r="B14" s="17">
        <v>10804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5" customHeight="1" x14ac:dyDescent="0.3">
      <c r="A15" s="17" t="s">
        <v>300</v>
      </c>
      <c r="B15" s="17">
        <v>10805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5" customHeight="1" x14ac:dyDescent="0.3">
      <c r="A16" s="17" t="s">
        <v>301</v>
      </c>
      <c r="B16" s="17">
        <v>10806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5" customHeight="1" x14ac:dyDescent="0.3">
      <c r="A17" s="17" t="s">
        <v>302</v>
      </c>
      <c r="B17" s="17">
        <v>10807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 customHeight="1" x14ac:dyDescent="0.3">
      <c r="A18" s="17" t="s">
        <v>303</v>
      </c>
      <c r="B18" s="17">
        <v>10808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5" customHeight="1" x14ac:dyDescent="0.3">
      <c r="A19" s="17" t="s">
        <v>304</v>
      </c>
      <c r="B19" s="17">
        <v>10809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5" customHeight="1" x14ac:dyDescent="0.3">
      <c r="A20" s="17" t="s">
        <v>305</v>
      </c>
      <c r="B20" s="17">
        <v>10810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 customHeight="1" x14ac:dyDescent="0.3">
      <c r="A21" s="17" t="s">
        <v>306</v>
      </c>
      <c r="B21" s="17">
        <v>10811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 customHeight="1" x14ac:dyDescent="0.3">
      <c r="A22" s="17" t="s">
        <v>307</v>
      </c>
      <c r="B22" s="17">
        <v>10812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5" customHeight="1" x14ac:dyDescent="0.3">
      <c r="A23" s="17" t="s">
        <v>308</v>
      </c>
      <c r="B23" s="17">
        <v>10813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5" customHeight="1" x14ac:dyDescent="0.3">
      <c r="A24" s="17" t="s">
        <v>309</v>
      </c>
      <c r="B24" s="17">
        <v>10814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5" customHeight="1" x14ac:dyDescent="0.3">
      <c r="A25" s="17" t="s">
        <v>310</v>
      </c>
      <c r="B25" s="17">
        <v>10815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5" customHeight="1" x14ac:dyDescent="0.3">
      <c r="A26" s="17" t="s">
        <v>311</v>
      </c>
      <c r="B26" s="17">
        <v>10816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5" customHeight="1" x14ac:dyDescent="0.3">
      <c r="A27" s="17" t="s">
        <v>312</v>
      </c>
      <c r="B27" s="17">
        <v>10817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5" customHeight="1" x14ac:dyDescent="0.3">
      <c r="A28" s="17" t="s">
        <v>313</v>
      </c>
      <c r="B28" s="17">
        <v>10818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5" customHeight="1" x14ac:dyDescent="0.3">
      <c r="A29" s="17" t="s">
        <v>314</v>
      </c>
      <c r="B29" s="17">
        <v>10819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5" customHeight="1" x14ac:dyDescent="0.3">
      <c r="A30" s="17" t="s">
        <v>315</v>
      </c>
      <c r="B30" s="17">
        <v>10820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5" customHeight="1" x14ac:dyDescent="0.3">
      <c r="A31" s="17" t="s">
        <v>316</v>
      </c>
      <c r="B31" s="17">
        <v>10821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5" customHeight="1" x14ac:dyDescent="0.3">
      <c r="A32" s="17" t="s">
        <v>317</v>
      </c>
      <c r="B32" s="17">
        <v>10822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5" customHeight="1" x14ac:dyDescent="0.3">
      <c r="A33" s="17" t="s">
        <v>319</v>
      </c>
      <c r="B33" s="17">
        <v>10823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5" customHeight="1" x14ac:dyDescent="0.3">
      <c r="A34" s="17" t="s">
        <v>323</v>
      </c>
      <c r="B34" s="17">
        <v>10824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5" customHeight="1" x14ac:dyDescent="0.3">
      <c r="A35" s="17" t="s">
        <v>324</v>
      </c>
      <c r="B35" s="17">
        <v>10825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5" customHeight="1" x14ac:dyDescent="0.3">
      <c r="A36" s="17" t="s">
        <v>325</v>
      </c>
      <c r="B36" s="17">
        <v>10826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5" customHeight="1" x14ac:dyDescent="0.3">
      <c r="A37" s="17" t="s">
        <v>327</v>
      </c>
      <c r="B37" s="17">
        <v>10827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5" customHeight="1" x14ac:dyDescent="0.3">
      <c r="A38" s="17" t="s">
        <v>326</v>
      </c>
      <c r="B38" s="17">
        <v>10828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5" customHeight="1" x14ac:dyDescent="0.3">
      <c r="A39" s="17" t="s">
        <v>318</v>
      </c>
      <c r="B39" s="17">
        <v>10829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5" customHeight="1" x14ac:dyDescent="0.3">
      <c r="A40" s="17" t="s">
        <v>656</v>
      </c>
      <c r="B40" s="17">
        <v>10830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5" customHeight="1" x14ac:dyDescent="0.3">
      <c r="A41" s="17" t="s">
        <v>657</v>
      </c>
      <c r="B41" s="17">
        <v>10831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5" customHeight="1" x14ac:dyDescent="0.3">
      <c r="A42" s="17" t="s">
        <v>658</v>
      </c>
      <c r="B42" s="17">
        <v>10832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5" customHeight="1" x14ac:dyDescent="0.3">
      <c r="A43" s="17" t="s">
        <v>659</v>
      </c>
      <c r="B43" s="17">
        <v>10833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5" customHeight="1" x14ac:dyDescent="0.3">
      <c r="A44" s="17" t="s">
        <v>660</v>
      </c>
      <c r="B44" s="17">
        <v>10834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5" customHeight="1" x14ac:dyDescent="0.3">
      <c r="A45" s="17" t="s">
        <v>661</v>
      </c>
      <c r="B45" s="17">
        <v>10835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5" customHeight="1" x14ac:dyDescent="0.3">
      <c r="A46" s="17" t="s">
        <v>662</v>
      </c>
      <c r="B46" s="17">
        <v>10836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5" customHeight="1" x14ac:dyDescent="0.3">
      <c r="A47" s="17" t="s">
        <v>663</v>
      </c>
      <c r="B47" s="17">
        <v>10837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5" customHeight="1" x14ac:dyDescent="0.3">
      <c r="A48" s="17" t="s">
        <v>664</v>
      </c>
      <c r="B48" s="17">
        <v>10838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5" customHeight="1" x14ac:dyDescent="0.3">
      <c r="A49" s="17" t="s">
        <v>665</v>
      </c>
      <c r="B49" s="17">
        <v>10839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5" customHeight="1" x14ac:dyDescent="0.3">
      <c r="A50" s="17" t="s">
        <v>666</v>
      </c>
      <c r="B50" s="17">
        <v>10842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5" customHeight="1" x14ac:dyDescent="0.3">
      <c r="A51" s="17" t="s">
        <v>667</v>
      </c>
      <c r="B51" s="17">
        <v>10843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5" customHeight="1" x14ac:dyDescent="0.3">
      <c r="A52" s="17" t="s">
        <v>238</v>
      </c>
      <c r="B52" s="17">
        <v>10845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5" customHeight="1" x14ac:dyDescent="0.3">
      <c r="A53" s="17" t="s">
        <v>668</v>
      </c>
      <c r="B53" s="17">
        <v>10850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5" customHeight="1" x14ac:dyDescent="0.3">
      <c r="A54" s="17" t="s">
        <v>669</v>
      </c>
      <c r="B54" s="17">
        <v>10851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5" customHeight="1" x14ac:dyDescent="0.3">
      <c r="A55" s="17" t="s">
        <v>670</v>
      </c>
      <c r="B55" s="17">
        <v>10852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5" customHeight="1" x14ac:dyDescent="0.3">
      <c r="A56" s="17" t="s">
        <v>671</v>
      </c>
      <c r="B56" s="17">
        <v>10853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5" customHeight="1" x14ac:dyDescent="0.3">
      <c r="A57" s="17" t="s">
        <v>672</v>
      </c>
      <c r="B57" s="17">
        <v>10860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5" customHeight="1" x14ac:dyDescent="0.3">
      <c r="A58" s="17" t="s">
        <v>673</v>
      </c>
      <c r="B58" s="17">
        <v>10861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5" customHeight="1" x14ac:dyDescent="0.3">
      <c r="A59" s="17" t="s">
        <v>674</v>
      </c>
      <c r="B59" s="17">
        <v>10862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5" customHeight="1" x14ac:dyDescent="0.3">
      <c r="A60" s="17" t="s">
        <v>675</v>
      </c>
      <c r="B60" s="17">
        <v>10863</v>
      </c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5" customHeight="1" x14ac:dyDescent="0.3">
      <c r="A61" s="17" t="s">
        <v>676</v>
      </c>
      <c r="B61" s="17">
        <v>10864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5" customHeight="1" x14ac:dyDescent="0.3">
      <c r="A62" s="17" t="s">
        <v>677</v>
      </c>
      <c r="B62" s="17">
        <v>10865</v>
      </c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5" customHeight="1" x14ac:dyDescent="0.3">
      <c r="A63" s="17" t="s">
        <v>678</v>
      </c>
      <c r="B63" s="17">
        <v>10866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5" customHeight="1" x14ac:dyDescent="0.3">
      <c r="A64" s="17" t="s">
        <v>679</v>
      </c>
      <c r="B64" s="17">
        <v>10867</v>
      </c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5" customHeight="1" x14ac:dyDescent="0.3">
      <c r="A65" s="17" t="s">
        <v>680</v>
      </c>
      <c r="B65" s="17">
        <v>10868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5" customHeight="1" x14ac:dyDescent="0.3">
      <c r="A66" s="17" t="s">
        <v>681</v>
      </c>
      <c r="B66" s="17">
        <v>10869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5" customHeight="1" x14ac:dyDescent="0.3">
      <c r="A67" s="17" t="s">
        <v>682</v>
      </c>
      <c r="B67" s="17">
        <v>10870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5" customHeight="1" x14ac:dyDescent="0.3">
      <c r="A68" s="17" t="s">
        <v>683</v>
      </c>
      <c r="B68" s="17">
        <v>10871</v>
      </c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5" customHeight="1" x14ac:dyDescent="0.3">
      <c r="A69" s="17" t="s">
        <v>684</v>
      </c>
      <c r="B69" s="17">
        <v>10872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5" customHeight="1" x14ac:dyDescent="0.3">
      <c r="A70" s="17" t="s">
        <v>685</v>
      </c>
      <c r="B70" s="17">
        <v>10873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5" customHeight="1" x14ac:dyDescent="0.3">
      <c r="A71" s="17" t="s">
        <v>686</v>
      </c>
      <c r="B71" s="17">
        <v>10874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5" customHeight="1" x14ac:dyDescent="0.3">
      <c r="A72" s="17" t="s">
        <v>687</v>
      </c>
      <c r="B72" s="17">
        <v>10875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5" customHeight="1" x14ac:dyDescent="0.3">
      <c r="A73" s="17" t="s">
        <v>688</v>
      </c>
      <c r="B73" s="17">
        <v>10876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5" customHeight="1" x14ac:dyDescent="0.3">
      <c r="A74" s="17" t="s">
        <v>689</v>
      </c>
      <c r="B74" s="17">
        <v>10877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5" customHeight="1" x14ac:dyDescent="0.3">
      <c r="A75" s="17" t="s">
        <v>690</v>
      </c>
      <c r="B75" s="17">
        <v>10878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5" customHeight="1" x14ac:dyDescent="0.3">
      <c r="A76" s="17" t="s">
        <v>691</v>
      </c>
      <c r="B76" s="17">
        <v>10879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5" customHeight="1" x14ac:dyDescent="0.3">
      <c r="A77" s="17" t="s">
        <v>692</v>
      </c>
      <c r="B77" s="17">
        <v>10880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5" customHeight="1" x14ac:dyDescent="0.3">
      <c r="A78" s="17" t="s">
        <v>693</v>
      </c>
      <c r="B78" s="17">
        <v>10881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5" customHeight="1" x14ac:dyDescent="0.3">
      <c r="A79" s="17" t="s">
        <v>694</v>
      </c>
      <c r="B79" s="17">
        <v>10882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5" customHeight="1" x14ac:dyDescent="0.3">
      <c r="A80" s="17" t="s">
        <v>695</v>
      </c>
      <c r="B80" s="17">
        <v>10883</v>
      </c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5" customHeight="1" x14ac:dyDescent="0.3">
      <c r="A81" s="17" t="s">
        <v>696</v>
      </c>
      <c r="B81" s="17">
        <v>10884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5" customHeight="1" x14ac:dyDescent="0.3">
      <c r="A82" s="17" t="s">
        <v>697</v>
      </c>
      <c r="B82" s="17">
        <v>10885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5" customHeight="1" x14ac:dyDescent="0.3">
      <c r="A83" s="17" t="s">
        <v>698</v>
      </c>
      <c r="B83" s="17">
        <v>10886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5" customHeight="1" x14ac:dyDescent="0.3">
      <c r="A84" s="17" t="s">
        <v>699</v>
      </c>
      <c r="B84" s="17">
        <v>10887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5" customHeight="1" x14ac:dyDescent="0.3">
      <c r="A85" s="17" t="s">
        <v>700</v>
      </c>
      <c r="B85" s="17">
        <v>10889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5" customHeight="1" x14ac:dyDescent="0.3">
      <c r="A86" s="17" t="s">
        <v>701</v>
      </c>
      <c r="B86" s="17">
        <v>10890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5" customHeight="1" x14ac:dyDescent="0.3">
      <c r="A87" s="17" t="s">
        <v>702</v>
      </c>
      <c r="B87" s="17">
        <v>10891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5" customHeight="1" x14ac:dyDescent="0.3">
      <c r="A88" s="17" t="s">
        <v>703</v>
      </c>
      <c r="B88" s="17">
        <v>10892</v>
      </c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5" customHeight="1" x14ac:dyDescent="0.3">
      <c r="A89" s="17" t="s">
        <v>704</v>
      </c>
      <c r="B89" s="17">
        <v>10893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5" customHeight="1" x14ac:dyDescent="0.3">
      <c r="A90" s="17" t="s">
        <v>705</v>
      </c>
      <c r="B90" s="17">
        <v>10894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5" customHeight="1" x14ac:dyDescent="0.3">
      <c r="A91" s="17" t="s">
        <v>706</v>
      </c>
      <c r="B91" s="17">
        <v>10895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5" customHeight="1" x14ac:dyDescent="0.3">
      <c r="A92" s="17" t="s">
        <v>707</v>
      </c>
      <c r="B92" s="17">
        <v>10896</v>
      </c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5" customHeight="1" x14ac:dyDescent="0.3">
      <c r="A93" s="17" t="s">
        <v>708</v>
      </c>
      <c r="B93" s="17">
        <v>10897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5" customHeight="1" x14ac:dyDescent="0.3">
      <c r="A94" s="17" t="s">
        <v>709</v>
      </c>
      <c r="B94" s="17">
        <v>10898</v>
      </c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5" customHeight="1" x14ac:dyDescent="0.3">
      <c r="A95" s="17" t="s">
        <v>710</v>
      </c>
      <c r="B95" s="17">
        <v>10899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5" customHeight="1" x14ac:dyDescent="0.3">
      <c r="A96" s="17" t="s">
        <v>711</v>
      </c>
      <c r="B96" s="17">
        <v>10900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5" customHeight="1" x14ac:dyDescent="0.3">
      <c r="A97" s="17" t="s">
        <v>712</v>
      </c>
      <c r="B97" s="17">
        <v>10901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5" customHeight="1" x14ac:dyDescent="0.3">
      <c r="A98" s="17" t="s">
        <v>713</v>
      </c>
      <c r="B98" s="17">
        <v>10902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5" customHeight="1" x14ac:dyDescent="0.3">
      <c r="A99" s="17" t="s">
        <v>714</v>
      </c>
      <c r="B99" s="17">
        <v>10903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5" customHeight="1" x14ac:dyDescent="0.3">
      <c r="A100" s="17" t="s">
        <v>715</v>
      </c>
      <c r="B100" s="17">
        <v>10904</v>
      </c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5" customHeight="1" x14ac:dyDescent="0.3">
      <c r="A101" s="17" t="s">
        <v>716</v>
      </c>
      <c r="B101" s="17">
        <v>10905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5" customHeight="1" x14ac:dyDescent="0.3">
      <c r="A102" s="17" t="s">
        <v>717</v>
      </c>
      <c r="B102" s="17">
        <v>10906</v>
      </c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5" customHeight="1" x14ac:dyDescent="0.3">
      <c r="A103" s="17" t="s">
        <v>718</v>
      </c>
      <c r="B103" s="17">
        <v>10907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5" customHeight="1" x14ac:dyDescent="0.3">
      <c r="A104" s="17" t="s">
        <v>672</v>
      </c>
      <c r="B104" s="17">
        <v>10908</v>
      </c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5" customHeight="1" x14ac:dyDescent="0.3">
      <c r="A105" s="17" t="s">
        <v>719</v>
      </c>
      <c r="B105" s="17">
        <v>10909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5" customHeight="1" x14ac:dyDescent="0.3">
      <c r="A106" s="17" t="s">
        <v>720</v>
      </c>
      <c r="B106" s="17">
        <v>10910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5" customHeight="1" x14ac:dyDescent="0.3">
      <c r="A107" s="17" t="s">
        <v>721</v>
      </c>
      <c r="B107" s="17">
        <v>10911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5" customHeight="1" x14ac:dyDescent="0.3">
      <c r="A108" s="17" t="s">
        <v>722</v>
      </c>
      <c r="B108" s="17">
        <v>10912</v>
      </c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5" customHeight="1" x14ac:dyDescent="0.3">
      <c r="A109" s="17" t="s">
        <v>723</v>
      </c>
      <c r="B109" s="17">
        <v>10913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5" customHeight="1" x14ac:dyDescent="0.3">
      <c r="A110" s="17" t="s">
        <v>724</v>
      </c>
      <c r="B110" s="17">
        <v>10914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5" customHeight="1" x14ac:dyDescent="0.3">
      <c r="A111" s="17" t="s">
        <v>725</v>
      </c>
      <c r="B111" s="17">
        <v>10915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5" customHeight="1" x14ac:dyDescent="0.3">
      <c r="A112" s="17" t="s">
        <v>726</v>
      </c>
      <c r="B112" s="17">
        <v>10916</v>
      </c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5" customHeight="1" x14ac:dyDescent="0.3">
      <c r="A113" s="17" t="s">
        <v>727</v>
      </c>
      <c r="B113" s="17">
        <v>10917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5" customHeight="1" x14ac:dyDescent="0.3">
      <c r="A114" s="17" t="s">
        <v>728</v>
      </c>
      <c r="B114" s="17">
        <v>10918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5" customHeight="1" x14ac:dyDescent="0.3">
      <c r="A115" s="17" t="s">
        <v>729</v>
      </c>
      <c r="B115" s="17">
        <v>10919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5" customHeight="1" x14ac:dyDescent="0.3">
      <c r="A116" s="17" t="s">
        <v>730</v>
      </c>
      <c r="B116" s="17">
        <v>10920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5" customHeight="1" x14ac:dyDescent="0.3">
      <c r="A117" s="17" t="s">
        <v>731</v>
      </c>
      <c r="B117" s="17">
        <v>10921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5" customHeight="1" x14ac:dyDescent="0.3">
      <c r="A118" s="17" t="s">
        <v>732</v>
      </c>
      <c r="B118" s="17">
        <v>10922</v>
      </c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5" customHeight="1" x14ac:dyDescent="0.3">
      <c r="A119" s="17" t="s">
        <v>733</v>
      </c>
      <c r="B119" s="17">
        <v>10923</v>
      </c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5" customHeight="1" x14ac:dyDescent="0.3">
      <c r="A120" s="17" t="s">
        <v>734</v>
      </c>
      <c r="B120" s="17">
        <v>10924</v>
      </c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5" customHeight="1" x14ac:dyDescent="0.3">
      <c r="A121" s="17" t="s">
        <v>735</v>
      </c>
      <c r="B121" s="17">
        <v>10925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5" customHeight="1" x14ac:dyDescent="0.3">
      <c r="A122" s="17" t="s">
        <v>736</v>
      </c>
      <c r="B122" s="17">
        <v>10926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5" customHeight="1" x14ac:dyDescent="0.3">
      <c r="A123" s="17" t="s">
        <v>737</v>
      </c>
      <c r="B123" s="17">
        <v>10927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5" customHeight="1" x14ac:dyDescent="0.3">
      <c r="A124" s="17" t="s">
        <v>738</v>
      </c>
      <c r="B124" s="17">
        <v>10928</v>
      </c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5" customHeight="1" x14ac:dyDescent="0.3">
      <c r="A125" s="17" t="s">
        <v>739</v>
      </c>
      <c r="B125" s="17">
        <v>10929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5" customHeight="1" x14ac:dyDescent="0.3">
      <c r="A126" s="17" t="s">
        <v>740</v>
      </c>
      <c r="B126" s="17">
        <v>10930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5" customHeight="1" x14ac:dyDescent="0.3">
      <c r="A127" s="17" t="s">
        <v>741</v>
      </c>
      <c r="B127" s="17">
        <v>10931</v>
      </c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5" customHeight="1" x14ac:dyDescent="0.3">
      <c r="A128" s="17" t="s">
        <v>742</v>
      </c>
      <c r="B128" s="17">
        <v>10932</v>
      </c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5" customHeight="1" x14ac:dyDescent="0.3">
      <c r="A129" s="17" t="s">
        <v>743</v>
      </c>
      <c r="B129" s="17">
        <v>10933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5" customHeight="1" x14ac:dyDescent="0.3">
      <c r="A130" s="17" t="s">
        <v>744</v>
      </c>
      <c r="B130" s="17">
        <v>10934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5" customHeight="1" x14ac:dyDescent="0.3">
      <c r="A131" s="17" t="s">
        <v>745</v>
      </c>
      <c r="B131" s="17">
        <v>10935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5" customHeight="1" x14ac:dyDescent="0.3">
      <c r="A132" s="17" t="s">
        <v>746</v>
      </c>
      <c r="B132" s="17">
        <v>10936</v>
      </c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5" customHeight="1" x14ac:dyDescent="0.3">
      <c r="A133" s="17" t="s">
        <v>747</v>
      </c>
      <c r="B133" s="17">
        <v>10937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5" customHeight="1" x14ac:dyDescent="0.3">
      <c r="A134" s="17" t="s">
        <v>748</v>
      </c>
      <c r="B134" s="17">
        <v>10938</v>
      </c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5" customHeight="1" x14ac:dyDescent="0.3">
      <c r="A135" s="17" t="s">
        <v>749</v>
      </c>
      <c r="B135" s="17">
        <v>10939</v>
      </c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5" customHeight="1" x14ac:dyDescent="0.3">
      <c r="A136" s="17" t="s">
        <v>750</v>
      </c>
      <c r="B136" s="17">
        <v>10940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5" customHeight="1" x14ac:dyDescent="0.3">
      <c r="A137" s="17" t="s">
        <v>751</v>
      </c>
      <c r="B137" s="17">
        <v>10941</v>
      </c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5" customHeight="1" x14ac:dyDescent="0.3">
      <c r="A138" s="17" t="s">
        <v>752</v>
      </c>
      <c r="B138" s="17">
        <v>10942</v>
      </c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5" customHeight="1" x14ac:dyDescent="0.3">
      <c r="A139" s="17" t="s">
        <v>753</v>
      </c>
      <c r="B139" s="17">
        <v>10943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5" customHeight="1" x14ac:dyDescent="0.3">
      <c r="A140" s="17" t="s">
        <v>754</v>
      </c>
      <c r="B140" s="17">
        <v>10944</v>
      </c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5" customHeight="1" x14ac:dyDescent="0.3">
      <c r="A141" s="17" t="s">
        <v>755</v>
      </c>
      <c r="B141" s="17">
        <v>10945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5" customHeight="1" x14ac:dyDescent="0.3">
      <c r="A142" s="17" t="s">
        <v>756</v>
      </c>
      <c r="B142" s="17">
        <v>10946</v>
      </c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5" customHeight="1" x14ac:dyDescent="0.3">
      <c r="A143" s="17" t="s">
        <v>757</v>
      </c>
      <c r="B143" s="17">
        <v>10947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5" customHeight="1" x14ac:dyDescent="0.3">
      <c r="A144" s="17" t="s">
        <v>758</v>
      </c>
      <c r="B144" s="17">
        <v>10948</v>
      </c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5" customHeight="1" x14ac:dyDescent="0.3">
      <c r="A145" s="17" t="s">
        <v>759</v>
      </c>
      <c r="B145" s="17">
        <v>10949</v>
      </c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5" customHeight="1" x14ac:dyDescent="0.3">
      <c r="A146" s="17" t="s">
        <v>760</v>
      </c>
      <c r="B146" s="17">
        <v>10950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5" customHeight="1" x14ac:dyDescent="0.3">
      <c r="A147" s="17" t="s">
        <v>761</v>
      </c>
      <c r="B147" s="17">
        <v>10951</v>
      </c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5" customHeight="1" x14ac:dyDescent="0.3">
      <c r="A148" s="17" t="s">
        <v>762</v>
      </c>
      <c r="B148" s="17">
        <v>10952</v>
      </c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5" customHeight="1" x14ac:dyDescent="0.3">
      <c r="A149" s="17" t="s">
        <v>763</v>
      </c>
      <c r="B149" s="17">
        <v>10953</v>
      </c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5" customHeight="1" x14ac:dyDescent="0.3">
      <c r="A150" s="17" t="s">
        <v>764</v>
      </c>
      <c r="B150" s="17">
        <v>10954</v>
      </c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5" customHeight="1" x14ac:dyDescent="0.3">
      <c r="A151" s="17" t="s">
        <v>765</v>
      </c>
      <c r="B151" s="17">
        <v>10955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5" customHeight="1" x14ac:dyDescent="0.3">
      <c r="A152" s="17" t="s">
        <v>766</v>
      </c>
      <c r="B152" s="17">
        <v>10956</v>
      </c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5" customHeight="1" x14ac:dyDescent="0.3">
      <c r="A153" s="17" t="s">
        <v>767</v>
      </c>
      <c r="B153" s="17">
        <v>10957</v>
      </c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5" customHeight="1" x14ac:dyDescent="0.3">
      <c r="A154" s="17" t="s">
        <v>768</v>
      </c>
      <c r="B154" s="17">
        <v>10958</v>
      </c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5" customHeight="1" x14ac:dyDescent="0.3">
      <c r="A155" s="17" t="s">
        <v>769</v>
      </c>
      <c r="B155" s="17">
        <v>10959</v>
      </c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5" customHeight="1" x14ac:dyDescent="0.3">
      <c r="A156" s="17" t="s">
        <v>770</v>
      </c>
      <c r="B156" s="17">
        <v>10960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5" customHeight="1" x14ac:dyDescent="0.3">
      <c r="A157" s="17" t="s">
        <v>771</v>
      </c>
      <c r="B157" s="17">
        <v>10961</v>
      </c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5" customHeight="1" x14ac:dyDescent="0.3">
      <c r="A158" s="17" t="s">
        <v>772</v>
      </c>
      <c r="B158" s="17">
        <v>10962</v>
      </c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5" customHeight="1" x14ac:dyDescent="0.3">
      <c r="A159" s="17" t="s">
        <v>773</v>
      </c>
      <c r="B159" s="17">
        <v>10963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5" customHeight="1" x14ac:dyDescent="0.3">
      <c r="A160" s="17" t="s">
        <v>774</v>
      </c>
      <c r="B160" s="17">
        <v>10964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5" customHeight="1" x14ac:dyDescent="0.3">
      <c r="A161" s="17" t="s">
        <v>775</v>
      </c>
      <c r="B161" s="17">
        <v>10965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5" customHeight="1" x14ac:dyDescent="0.3">
      <c r="A162" s="17" t="s">
        <v>776</v>
      </c>
      <c r="B162" s="17">
        <v>10966</v>
      </c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5" customHeight="1" x14ac:dyDescent="0.3">
      <c r="A163" s="17" t="s">
        <v>777</v>
      </c>
      <c r="B163" s="17">
        <v>10967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5" customHeight="1" x14ac:dyDescent="0.3">
      <c r="A164" s="17" t="s">
        <v>778</v>
      </c>
      <c r="B164" s="17">
        <v>10968</v>
      </c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5" customHeight="1" x14ac:dyDescent="0.3">
      <c r="A165" s="17" t="s">
        <v>779</v>
      </c>
      <c r="B165" s="17">
        <v>10969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5" customHeight="1" x14ac:dyDescent="0.3">
      <c r="A166" s="17" t="s">
        <v>780</v>
      </c>
      <c r="B166" s="17">
        <v>10970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5" customHeight="1" x14ac:dyDescent="0.3">
      <c r="A167" s="17" t="s">
        <v>781</v>
      </c>
      <c r="B167" s="17">
        <v>10971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5" customHeight="1" x14ac:dyDescent="0.3">
      <c r="A168" s="17" t="s">
        <v>782</v>
      </c>
      <c r="B168" s="17">
        <v>10972</v>
      </c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5" customHeight="1" x14ac:dyDescent="0.3">
      <c r="A169" s="17" t="s">
        <v>783</v>
      </c>
      <c r="B169" s="17">
        <v>10973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5" customHeight="1" x14ac:dyDescent="0.3">
      <c r="A170" s="17" t="s">
        <v>784</v>
      </c>
      <c r="B170" s="17">
        <v>10974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5" customHeight="1" x14ac:dyDescent="0.3">
      <c r="A171" s="17" t="s">
        <v>785</v>
      </c>
      <c r="B171" s="17">
        <v>10975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5" customHeight="1" x14ac:dyDescent="0.3">
      <c r="A172" s="17" t="s">
        <v>786</v>
      </c>
      <c r="B172" s="17">
        <v>10976</v>
      </c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5" customHeight="1" x14ac:dyDescent="0.3">
      <c r="A173" s="17" t="s">
        <v>787</v>
      </c>
      <c r="B173" s="17">
        <v>10977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5" customHeight="1" x14ac:dyDescent="0.3">
      <c r="A174" s="17" t="s">
        <v>788</v>
      </c>
      <c r="B174" s="17">
        <v>10978</v>
      </c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5" customHeight="1" x14ac:dyDescent="0.3">
      <c r="A175" s="17" t="s">
        <v>789</v>
      </c>
      <c r="B175" s="17">
        <v>10979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5" customHeight="1" x14ac:dyDescent="0.3">
      <c r="A176" s="17" t="s">
        <v>790</v>
      </c>
      <c r="B176" s="17">
        <v>10980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5" customHeight="1" x14ac:dyDescent="0.3">
      <c r="A177" s="17" t="s">
        <v>791</v>
      </c>
      <c r="B177" s="17">
        <v>10981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5" customHeight="1" x14ac:dyDescent="0.3">
      <c r="A178" s="17" t="s">
        <v>792</v>
      </c>
      <c r="B178" s="17">
        <v>10982</v>
      </c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5" customHeight="1" x14ac:dyDescent="0.3">
      <c r="A179" s="17" t="s">
        <v>793</v>
      </c>
      <c r="B179" s="17">
        <v>10983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5" customHeight="1" x14ac:dyDescent="0.3">
      <c r="A180" s="17" t="s">
        <v>794</v>
      </c>
      <c r="B180" s="17">
        <v>10984</v>
      </c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5" customHeight="1" x14ac:dyDescent="0.3">
      <c r="A181" s="17" t="s">
        <v>795</v>
      </c>
      <c r="B181" s="17">
        <v>10985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5" customHeight="1" x14ac:dyDescent="0.3">
      <c r="A182" s="17" t="s">
        <v>796</v>
      </c>
      <c r="B182" s="17">
        <v>10986</v>
      </c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5" customHeight="1" x14ac:dyDescent="0.3">
      <c r="A183" s="17" t="s">
        <v>797</v>
      </c>
      <c r="B183" s="17">
        <v>10987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5" customHeight="1" x14ac:dyDescent="0.3">
      <c r="A184" s="17" t="s">
        <v>580</v>
      </c>
      <c r="B184" s="17">
        <v>10988</v>
      </c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5" customHeight="1" x14ac:dyDescent="0.3">
      <c r="A185" s="17" t="s">
        <v>798</v>
      </c>
      <c r="B185" s="17">
        <v>10989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5" customHeight="1" x14ac:dyDescent="0.3">
      <c r="A186" s="17" t="s">
        <v>799</v>
      </c>
      <c r="B186" s="17">
        <v>10990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5" customHeight="1" x14ac:dyDescent="0.3">
      <c r="A187" s="17" t="s">
        <v>800</v>
      </c>
      <c r="B187" s="17">
        <v>10991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5" customHeight="1" x14ac:dyDescent="0.3">
      <c r="A188" s="17" t="s">
        <v>801</v>
      </c>
      <c r="B188" s="17">
        <v>10992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5" customHeight="1" x14ac:dyDescent="0.3">
      <c r="A189" s="17" t="s">
        <v>802</v>
      </c>
      <c r="B189" s="17">
        <v>10993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5" customHeight="1" x14ac:dyDescent="0.3">
      <c r="A190" s="17" t="s">
        <v>803</v>
      </c>
      <c r="B190" s="17">
        <v>10994</v>
      </c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5" customHeight="1" x14ac:dyDescent="0.3">
      <c r="A191" s="17" t="s">
        <v>804</v>
      </c>
      <c r="B191" s="17">
        <v>10995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5" customHeight="1" x14ac:dyDescent="0.3">
      <c r="A192" s="17" t="s">
        <v>805</v>
      </c>
      <c r="B192" s="17">
        <v>10996</v>
      </c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5" customHeight="1" x14ac:dyDescent="0.3">
      <c r="A193" s="17" t="s">
        <v>806</v>
      </c>
      <c r="B193" s="17">
        <v>10997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5" customHeight="1" x14ac:dyDescent="0.3">
      <c r="A194" s="17" t="s">
        <v>807</v>
      </c>
      <c r="B194" s="17">
        <v>10998</v>
      </c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5" customHeight="1" x14ac:dyDescent="0.3">
      <c r="A195" s="17" t="s">
        <v>808</v>
      </c>
      <c r="B195" s="17">
        <v>10999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5" customHeight="1" x14ac:dyDescent="0.3">
      <c r="A196" s="17" t="s">
        <v>809</v>
      </c>
      <c r="B196" s="17">
        <v>11000</v>
      </c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5" customHeight="1" x14ac:dyDescent="0.3">
      <c r="A197" s="17" t="s">
        <v>810</v>
      </c>
      <c r="B197" s="17">
        <v>11001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5" customHeight="1" x14ac:dyDescent="0.3">
      <c r="A198" s="17" t="s">
        <v>811</v>
      </c>
      <c r="B198" s="17">
        <v>11002</v>
      </c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5" customHeight="1" x14ac:dyDescent="0.3">
      <c r="A199" s="17" t="s">
        <v>812</v>
      </c>
      <c r="B199" s="17">
        <v>11003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5" customHeight="1" x14ac:dyDescent="0.3">
      <c r="A200" s="17" t="s">
        <v>813</v>
      </c>
      <c r="B200" s="17">
        <v>11004</v>
      </c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5" customHeight="1" x14ac:dyDescent="0.3">
      <c r="A201" s="17" t="s">
        <v>579</v>
      </c>
      <c r="B201" s="17">
        <v>11005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5" customHeight="1" x14ac:dyDescent="0.3">
      <c r="A202" s="17" t="s">
        <v>814</v>
      </c>
      <c r="B202" s="17">
        <v>11006</v>
      </c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5" customHeight="1" x14ac:dyDescent="0.3">
      <c r="A203" s="17" t="s">
        <v>815</v>
      </c>
      <c r="B203" s="17">
        <v>11007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5" customHeight="1" x14ac:dyDescent="0.3">
      <c r="A204" s="17" t="s">
        <v>816</v>
      </c>
      <c r="B204" s="17">
        <v>11008</v>
      </c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5" customHeight="1" x14ac:dyDescent="0.3">
      <c r="A205" s="17" t="s">
        <v>817</v>
      </c>
      <c r="B205" s="17">
        <v>11013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5" customHeight="1" x14ac:dyDescent="0.3">
      <c r="A206" s="17" t="s">
        <v>818</v>
      </c>
      <c r="B206" s="17">
        <v>11014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5" customHeight="1" x14ac:dyDescent="0.3">
      <c r="A207" s="17" t="s">
        <v>819</v>
      </c>
      <c r="B207" s="17">
        <v>11015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5" customHeight="1" x14ac:dyDescent="0.3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5" customHeight="1" x14ac:dyDescent="0.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5" customHeight="1" x14ac:dyDescent="0.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5" customHeight="1" x14ac:dyDescent="0.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5" customHeight="1" x14ac:dyDescent="0.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5" customHeight="1" x14ac:dyDescent="0.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5" customHeight="1" x14ac:dyDescent="0.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5" customHeight="1" x14ac:dyDescent="0.3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5" customHeight="1" x14ac:dyDescent="0.3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5" customHeight="1" x14ac:dyDescent="0.3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5" customHeight="1" x14ac:dyDescent="0.3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5" customHeight="1" x14ac:dyDescent="0.3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5" customHeight="1" x14ac:dyDescent="0.3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5" customHeight="1" x14ac:dyDescent="0.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5" customHeight="1" x14ac:dyDescent="0.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5" customHeight="1" x14ac:dyDescent="0.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5" customHeight="1" x14ac:dyDescent="0.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5" customHeight="1" x14ac:dyDescent="0.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5" customHeight="1" x14ac:dyDescent="0.3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5" customHeight="1" x14ac:dyDescent="0.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5" customHeight="1" x14ac:dyDescent="0.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5" customHeight="1" x14ac:dyDescent="0.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5" customHeight="1" x14ac:dyDescent="0.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5" customHeight="1" x14ac:dyDescent="0.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5" customHeight="1" x14ac:dyDescent="0.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5" customHeight="1" x14ac:dyDescent="0.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5" customHeight="1" x14ac:dyDescent="0.3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5" customHeight="1" x14ac:dyDescent="0.3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5" customHeight="1" x14ac:dyDescent="0.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5" customHeight="1" x14ac:dyDescent="0.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5" customHeight="1" x14ac:dyDescent="0.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5" customHeight="1" x14ac:dyDescent="0.3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5" customHeight="1" x14ac:dyDescent="0.3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5" customHeight="1" x14ac:dyDescent="0.3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5" customHeight="1" x14ac:dyDescent="0.3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5" customHeight="1" x14ac:dyDescent="0.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5" customHeight="1" x14ac:dyDescent="0.3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5" customHeight="1" x14ac:dyDescent="0.3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5" customHeight="1" x14ac:dyDescent="0.3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5" customHeight="1" x14ac:dyDescent="0.3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5" customHeight="1" x14ac:dyDescent="0.3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5" customHeight="1" x14ac:dyDescent="0.3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5" customHeight="1" x14ac:dyDescent="0.3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5" customHeight="1" x14ac:dyDescent="0.3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5" customHeight="1" x14ac:dyDescent="0.3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5" customHeight="1" x14ac:dyDescent="0.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5" customHeight="1" x14ac:dyDescent="0.3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5" customHeight="1" x14ac:dyDescent="0.3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5" customHeight="1" x14ac:dyDescent="0.3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5" customHeight="1" x14ac:dyDescent="0.3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5" customHeight="1" x14ac:dyDescent="0.3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5" customHeight="1" x14ac:dyDescent="0.3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5" customHeight="1" x14ac:dyDescent="0.3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5" customHeight="1" x14ac:dyDescent="0.3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5" customHeight="1" x14ac:dyDescent="0.3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5" customHeight="1" x14ac:dyDescent="0.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5" customHeight="1" x14ac:dyDescent="0.3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5" customHeight="1" x14ac:dyDescent="0.3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5" customHeight="1" x14ac:dyDescent="0.3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5" customHeight="1" x14ac:dyDescent="0.3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5" customHeight="1" x14ac:dyDescent="0.3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5" customHeight="1" x14ac:dyDescent="0.3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5" customHeight="1" x14ac:dyDescent="0.3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5" customHeight="1" x14ac:dyDescent="0.3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5" customHeight="1" x14ac:dyDescent="0.3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5" customHeight="1" x14ac:dyDescent="0.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5" customHeight="1" x14ac:dyDescent="0.3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5" customHeight="1" x14ac:dyDescent="0.3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5" customHeight="1" x14ac:dyDescent="0.3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5" customHeight="1" x14ac:dyDescent="0.3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5" customHeight="1" x14ac:dyDescent="0.3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5" customHeight="1" x14ac:dyDescent="0.3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5" customHeight="1" x14ac:dyDescent="0.3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5" customHeight="1" x14ac:dyDescent="0.3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5" customHeight="1" x14ac:dyDescent="0.3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5" customHeight="1" x14ac:dyDescent="0.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5" customHeight="1" x14ac:dyDescent="0.3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5" customHeight="1" x14ac:dyDescent="0.3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5" customHeight="1" x14ac:dyDescent="0.3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5" customHeight="1" x14ac:dyDescent="0.3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5" customHeight="1" x14ac:dyDescent="0.3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5" customHeight="1" x14ac:dyDescent="0.3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5" customHeight="1" x14ac:dyDescent="0.3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5" customHeight="1" x14ac:dyDescent="0.3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5" customHeight="1" x14ac:dyDescent="0.3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5" customHeight="1" x14ac:dyDescent="0.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5" customHeight="1" x14ac:dyDescent="0.3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5" customHeight="1" x14ac:dyDescent="0.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5" customHeight="1" x14ac:dyDescent="0.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5" customHeight="1" x14ac:dyDescent="0.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5" customHeight="1" x14ac:dyDescent="0.3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5" customHeight="1" x14ac:dyDescent="0.3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5" customHeight="1" x14ac:dyDescent="0.3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5" customHeight="1" x14ac:dyDescent="0.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5" customHeight="1" x14ac:dyDescent="0.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5" customHeight="1" x14ac:dyDescent="0.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5" customHeight="1" x14ac:dyDescent="0.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5" customHeight="1" x14ac:dyDescent="0.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5" customHeight="1" x14ac:dyDescent="0.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5" customHeight="1" x14ac:dyDescent="0.3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5" customHeight="1" x14ac:dyDescent="0.3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5" customHeight="1" x14ac:dyDescent="0.3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5" customHeight="1" x14ac:dyDescent="0.3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5" customHeight="1" x14ac:dyDescent="0.3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5" customHeight="1" x14ac:dyDescent="0.3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5" customHeight="1" x14ac:dyDescent="0.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5" customHeight="1" x14ac:dyDescent="0.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5" customHeight="1" x14ac:dyDescent="0.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5" customHeight="1" x14ac:dyDescent="0.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5" customHeight="1" x14ac:dyDescent="0.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5" customHeight="1" x14ac:dyDescent="0.3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5" customHeight="1" x14ac:dyDescent="0.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5" customHeight="1" x14ac:dyDescent="0.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5" customHeight="1" x14ac:dyDescent="0.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5" customHeight="1" x14ac:dyDescent="0.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5" customHeight="1" x14ac:dyDescent="0.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5" customHeight="1" x14ac:dyDescent="0.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5" customHeight="1" x14ac:dyDescent="0.3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5" customHeight="1" x14ac:dyDescent="0.3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5" customHeight="1" x14ac:dyDescent="0.3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5" customHeight="1" x14ac:dyDescent="0.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5" customHeight="1" x14ac:dyDescent="0.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5" customHeight="1" x14ac:dyDescent="0.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5" customHeight="1" x14ac:dyDescent="0.3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5" customHeight="1" x14ac:dyDescent="0.3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5" customHeight="1" x14ac:dyDescent="0.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5" customHeight="1" x14ac:dyDescent="0.3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5" customHeight="1" x14ac:dyDescent="0.3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5" customHeight="1" x14ac:dyDescent="0.3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5" customHeight="1" x14ac:dyDescent="0.3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5" customHeight="1" x14ac:dyDescent="0.3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5" customHeight="1" x14ac:dyDescent="0.3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5" customHeight="1" x14ac:dyDescent="0.3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5" customHeight="1" x14ac:dyDescent="0.3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5" customHeight="1" x14ac:dyDescent="0.3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5" customHeight="1" x14ac:dyDescent="0.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5" customHeight="1" x14ac:dyDescent="0.3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5" customHeight="1" x14ac:dyDescent="0.3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5" customHeight="1" x14ac:dyDescent="0.3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5" customHeight="1" x14ac:dyDescent="0.3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5" customHeight="1" x14ac:dyDescent="0.3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5" customHeight="1" x14ac:dyDescent="0.3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5" customHeight="1" x14ac:dyDescent="0.3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5" customHeight="1" x14ac:dyDescent="0.3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5" customHeight="1" x14ac:dyDescent="0.3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5" customHeight="1" x14ac:dyDescent="0.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5" customHeight="1" x14ac:dyDescent="0.3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5" customHeight="1" x14ac:dyDescent="0.3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5" customHeight="1" x14ac:dyDescent="0.3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5" customHeight="1" x14ac:dyDescent="0.3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5" customHeight="1" x14ac:dyDescent="0.3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5" customHeight="1" x14ac:dyDescent="0.3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5" customHeight="1" x14ac:dyDescent="0.3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5" customHeight="1" x14ac:dyDescent="0.3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5" customHeight="1" x14ac:dyDescent="0.3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5" customHeight="1" x14ac:dyDescent="0.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5" customHeight="1" x14ac:dyDescent="0.3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5" customHeight="1" x14ac:dyDescent="0.3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5" customHeight="1" x14ac:dyDescent="0.3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5" customHeight="1" x14ac:dyDescent="0.3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5" customHeight="1" x14ac:dyDescent="0.3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5" customHeight="1" x14ac:dyDescent="0.3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5" customHeight="1" x14ac:dyDescent="0.3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5" customHeight="1" x14ac:dyDescent="0.3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5" customHeight="1" x14ac:dyDescent="0.3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5" customHeight="1" x14ac:dyDescent="0.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5" customHeight="1" x14ac:dyDescent="0.3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5" customHeight="1" x14ac:dyDescent="0.3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5" customHeight="1" x14ac:dyDescent="0.3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5" customHeight="1" x14ac:dyDescent="0.3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5" customHeight="1" x14ac:dyDescent="0.3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5" customHeight="1" x14ac:dyDescent="0.3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5" customHeight="1" x14ac:dyDescent="0.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5" customHeight="1" x14ac:dyDescent="0.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5" customHeight="1" x14ac:dyDescent="0.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5" customHeight="1" x14ac:dyDescent="0.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5" customHeight="1" x14ac:dyDescent="0.3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5" customHeight="1" x14ac:dyDescent="0.3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5" customHeight="1" x14ac:dyDescent="0.3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5" customHeight="1" x14ac:dyDescent="0.3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5" customHeight="1" x14ac:dyDescent="0.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5" customHeight="1" x14ac:dyDescent="0.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5" customHeight="1" x14ac:dyDescent="0.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5" customHeight="1" x14ac:dyDescent="0.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5" customHeight="1" x14ac:dyDescent="0.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5" customHeight="1" x14ac:dyDescent="0.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5" customHeight="1" x14ac:dyDescent="0.3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5" customHeight="1" x14ac:dyDescent="0.3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5" customHeight="1" x14ac:dyDescent="0.3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5" customHeight="1" x14ac:dyDescent="0.3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5" customHeight="1" x14ac:dyDescent="0.3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5" customHeight="1" x14ac:dyDescent="0.3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5" customHeight="1" x14ac:dyDescent="0.3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5" customHeight="1" x14ac:dyDescent="0.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5" customHeight="1" x14ac:dyDescent="0.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5" customHeight="1" x14ac:dyDescent="0.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5" customHeight="1" x14ac:dyDescent="0.3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5" customHeight="1" x14ac:dyDescent="0.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5" customHeight="1" x14ac:dyDescent="0.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5" customHeight="1" x14ac:dyDescent="0.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5" customHeight="1" x14ac:dyDescent="0.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5" customHeight="1" x14ac:dyDescent="0.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5" customHeight="1" x14ac:dyDescent="0.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5" customHeight="1" x14ac:dyDescent="0.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5" customHeight="1" x14ac:dyDescent="0.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5" customHeight="1" x14ac:dyDescent="0.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5" customHeight="1" x14ac:dyDescent="0.3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5" customHeight="1" x14ac:dyDescent="0.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5" customHeight="1" x14ac:dyDescent="0.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5" customHeight="1" x14ac:dyDescent="0.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5" customHeight="1" x14ac:dyDescent="0.3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5" customHeight="1" x14ac:dyDescent="0.3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5" customHeight="1" x14ac:dyDescent="0.3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5" customHeight="1" x14ac:dyDescent="0.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5" customHeight="1" x14ac:dyDescent="0.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5" customHeight="1" x14ac:dyDescent="0.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5" customHeight="1" x14ac:dyDescent="0.3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5" customHeight="1" x14ac:dyDescent="0.3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5" customHeight="1" x14ac:dyDescent="0.3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5" customHeight="1" x14ac:dyDescent="0.3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5" customHeight="1" x14ac:dyDescent="0.3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5" customHeight="1" x14ac:dyDescent="0.3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5" customHeight="1" x14ac:dyDescent="0.3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5" customHeight="1" x14ac:dyDescent="0.3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5" customHeight="1" x14ac:dyDescent="0.3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5" customHeight="1" x14ac:dyDescent="0.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5" customHeight="1" x14ac:dyDescent="0.3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5" customHeight="1" x14ac:dyDescent="0.3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5" customHeight="1" x14ac:dyDescent="0.3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5" customHeight="1" x14ac:dyDescent="0.3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5" customHeight="1" x14ac:dyDescent="0.3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5" customHeight="1" x14ac:dyDescent="0.3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5" customHeight="1" x14ac:dyDescent="0.3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5" customHeight="1" x14ac:dyDescent="0.3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5" customHeight="1" x14ac:dyDescent="0.3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5" customHeight="1" x14ac:dyDescent="0.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5" customHeight="1" x14ac:dyDescent="0.3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5" customHeight="1" x14ac:dyDescent="0.3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5" customHeight="1" x14ac:dyDescent="0.3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5" customHeight="1" x14ac:dyDescent="0.3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5" customHeight="1" x14ac:dyDescent="0.3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5" customHeight="1" x14ac:dyDescent="0.3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5" customHeight="1" x14ac:dyDescent="0.3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5" customHeight="1" x14ac:dyDescent="0.3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5" customHeight="1" x14ac:dyDescent="0.3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5" customHeight="1" x14ac:dyDescent="0.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5" customHeight="1" x14ac:dyDescent="0.3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5" customHeight="1" x14ac:dyDescent="0.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5" customHeight="1" x14ac:dyDescent="0.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5" customHeight="1" x14ac:dyDescent="0.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5" customHeight="1" x14ac:dyDescent="0.3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5" customHeight="1" x14ac:dyDescent="0.3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5" customHeight="1" x14ac:dyDescent="0.3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5" customHeight="1" x14ac:dyDescent="0.3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5" customHeight="1" x14ac:dyDescent="0.3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5" customHeight="1" x14ac:dyDescent="0.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5" customHeight="1" x14ac:dyDescent="0.3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5" customHeight="1" x14ac:dyDescent="0.3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5" customHeight="1" x14ac:dyDescent="0.3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5" customHeight="1" x14ac:dyDescent="0.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5" customHeight="1" x14ac:dyDescent="0.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5" customHeight="1" x14ac:dyDescent="0.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 x14ac:dyDescent="0.3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5" customHeight="1" x14ac:dyDescent="0.3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5" customHeight="1" x14ac:dyDescent="0.3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5" customHeight="1" x14ac:dyDescent="0.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5" customHeight="1" x14ac:dyDescent="0.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5" customHeight="1" x14ac:dyDescent="0.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5" customHeight="1" x14ac:dyDescent="0.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5" customHeight="1" x14ac:dyDescent="0.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5" customHeight="1" x14ac:dyDescent="0.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5" customHeight="1" x14ac:dyDescent="0.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5" customHeight="1" x14ac:dyDescent="0.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5" customHeight="1" x14ac:dyDescent="0.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5" customHeight="1" x14ac:dyDescent="0.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5" customHeight="1" x14ac:dyDescent="0.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5" customHeight="1" x14ac:dyDescent="0.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5" customHeight="1" x14ac:dyDescent="0.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5" customHeight="1" x14ac:dyDescent="0.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5" customHeight="1" x14ac:dyDescent="0.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5" customHeight="1" x14ac:dyDescent="0.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5" customHeight="1" x14ac:dyDescent="0.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5" customHeight="1" x14ac:dyDescent="0.3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5" customHeight="1" x14ac:dyDescent="0.3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5" customHeight="1" x14ac:dyDescent="0.3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5" customHeight="1" x14ac:dyDescent="0.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5" customHeight="1" x14ac:dyDescent="0.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5" customHeight="1" x14ac:dyDescent="0.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5" customHeight="1" x14ac:dyDescent="0.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5" customHeight="1" x14ac:dyDescent="0.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5" customHeight="1" x14ac:dyDescent="0.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5" customHeight="1" x14ac:dyDescent="0.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5" customHeight="1" x14ac:dyDescent="0.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5" customHeight="1" x14ac:dyDescent="0.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5" customHeight="1" x14ac:dyDescent="0.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5" customHeight="1" x14ac:dyDescent="0.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5" customHeight="1" x14ac:dyDescent="0.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5" customHeight="1" x14ac:dyDescent="0.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5" customHeight="1" x14ac:dyDescent="0.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5" customHeight="1" x14ac:dyDescent="0.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5" customHeight="1" x14ac:dyDescent="0.3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5" customHeight="1" x14ac:dyDescent="0.3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5" customHeight="1" x14ac:dyDescent="0.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5" customHeight="1" x14ac:dyDescent="0.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5" customHeight="1" x14ac:dyDescent="0.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5" customHeight="1" x14ac:dyDescent="0.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5" customHeight="1" x14ac:dyDescent="0.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5" customHeight="1" x14ac:dyDescent="0.3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5" customHeight="1" x14ac:dyDescent="0.3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5" customHeight="1" x14ac:dyDescent="0.3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5" customHeight="1" x14ac:dyDescent="0.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5" customHeight="1" x14ac:dyDescent="0.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5" customHeight="1" x14ac:dyDescent="0.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5" customHeight="1" x14ac:dyDescent="0.3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5" customHeight="1" x14ac:dyDescent="0.3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5" customHeight="1" x14ac:dyDescent="0.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5" customHeight="1" x14ac:dyDescent="0.3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5" customHeight="1" x14ac:dyDescent="0.3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5" customHeight="1" x14ac:dyDescent="0.3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5" customHeight="1" x14ac:dyDescent="0.3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5" customHeight="1" x14ac:dyDescent="0.3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5" customHeight="1" x14ac:dyDescent="0.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5" customHeight="1" x14ac:dyDescent="0.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5" customHeight="1" x14ac:dyDescent="0.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5" customHeight="1" x14ac:dyDescent="0.3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5" customHeight="1" x14ac:dyDescent="0.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5" customHeight="1" x14ac:dyDescent="0.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5" customHeight="1" x14ac:dyDescent="0.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5" customHeight="1" x14ac:dyDescent="0.3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5" customHeight="1" x14ac:dyDescent="0.3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5" customHeight="1" x14ac:dyDescent="0.3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5" customHeight="1" x14ac:dyDescent="0.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5" customHeight="1" x14ac:dyDescent="0.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5" customHeight="1" x14ac:dyDescent="0.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5" customHeight="1" x14ac:dyDescent="0.3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5" customHeight="1" x14ac:dyDescent="0.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5" customHeight="1" x14ac:dyDescent="0.3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5" customHeight="1" x14ac:dyDescent="0.3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5" customHeight="1" x14ac:dyDescent="0.3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5" customHeight="1" x14ac:dyDescent="0.3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5" customHeight="1" x14ac:dyDescent="0.3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5" customHeight="1" x14ac:dyDescent="0.3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5" customHeight="1" x14ac:dyDescent="0.3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5" customHeight="1" x14ac:dyDescent="0.3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5" customHeight="1" x14ac:dyDescent="0.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5" customHeight="1" x14ac:dyDescent="0.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5" customHeight="1" x14ac:dyDescent="0.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5" customHeight="1" x14ac:dyDescent="0.3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5" customHeight="1" x14ac:dyDescent="0.3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5" customHeight="1" x14ac:dyDescent="0.3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5" customHeight="1" x14ac:dyDescent="0.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5" customHeight="1" x14ac:dyDescent="0.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5" customHeight="1" x14ac:dyDescent="0.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5" customHeight="1" x14ac:dyDescent="0.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5" customHeight="1" x14ac:dyDescent="0.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5" customHeight="1" x14ac:dyDescent="0.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5" customHeight="1" x14ac:dyDescent="0.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5" customHeight="1" x14ac:dyDescent="0.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5" customHeight="1" x14ac:dyDescent="0.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5" customHeight="1" x14ac:dyDescent="0.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5" customHeight="1" x14ac:dyDescent="0.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5" customHeight="1" x14ac:dyDescent="0.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5" customHeight="1" x14ac:dyDescent="0.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5" customHeight="1" x14ac:dyDescent="0.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5" customHeight="1" x14ac:dyDescent="0.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5" customHeight="1" x14ac:dyDescent="0.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5" customHeight="1" x14ac:dyDescent="0.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5" customHeight="1" x14ac:dyDescent="0.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5" customHeight="1" x14ac:dyDescent="0.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5" customHeight="1" x14ac:dyDescent="0.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5" customHeight="1" x14ac:dyDescent="0.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5" customHeight="1" x14ac:dyDescent="0.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5" customHeight="1" x14ac:dyDescent="0.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5" customHeight="1" x14ac:dyDescent="0.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5" customHeight="1" x14ac:dyDescent="0.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5" customHeight="1" x14ac:dyDescent="0.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5" customHeight="1" x14ac:dyDescent="0.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5" customHeight="1" x14ac:dyDescent="0.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5" customHeight="1" x14ac:dyDescent="0.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5" customHeight="1" x14ac:dyDescent="0.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5" customHeight="1" x14ac:dyDescent="0.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5" customHeight="1" x14ac:dyDescent="0.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5" customHeight="1" x14ac:dyDescent="0.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5" customHeight="1" x14ac:dyDescent="0.3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5" customHeight="1" x14ac:dyDescent="0.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5" customHeight="1" x14ac:dyDescent="0.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5" customHeight="1" x14ac:dyDescent="0.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5" customHeight="1" x14ac:dyDescent="0.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5" customHeight="1" x14ac:dyDescent="0.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5" customHeight="1" x14ac:dyDescent="0.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5" customHeight="1" x14ac:dyDescent="0.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5" customHeight="1" x14ac:dyDescent="0.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5" customHeight="1" x14ac:dyDescent="0.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5" customHeight="1" x14ac:dyDescent="0.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5" customHeight="1" x14ac:dyDescent="0.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5" customHeight="1" x14ac:dyDescent="0.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5" customHeight="1" x14ac:dyDescent="0.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5" customHeight="1" x14ac:dyDescent="0.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5" customHeight="1" x14ac:dyDescent="0.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5" customHeight="1" x14ac:dyDescent="0.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5" customHeight="1" x14ac:dyDescent="0.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5" customHeight="1" x14ac:dyDescent="0.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5" customHeight="1" x14ac:dyDescent="0.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5" customHeight="1" x14ac:dyDescent="0.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5" customHeight="1" x14ac:dyDescent="0.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5" customHeight="1" x14ac:dyDescent="0.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5" customHeight="1" x14ac:dyDescent="0.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5" customHeight="1" x14ac:dyDescent="0.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5" customHeight="1" x14ac:dyDescent="0.3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5" customHeight="1" x14ac:dyDescent="0.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5" customHeight="1" x14ac:dyDescent="0.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5" customHeight="1" x14ac:dyDescent="0.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5" customHeight="1" x14ac:dyDescent="0.3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5" customHeight="1" x14ac:dyDescent="0.3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5" customHeight="1" x14ac:dyDescent="0.3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5" customHeight="1" x14ac:dyDescent="0.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5" customHeight="1" x14ac:dyDescent="0.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5" customHeight="1" x14ac:dyDescent="0.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5" customHeight="1" x14ac:dyDescent="0.3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5" customHeight="1" x14ac:dyDescent="0.3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5" customHeight="1" x14ac:dyDescent="0.3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5" customHeight="1" x14ac:dyDescent="0.3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5" customHeight="1" x14ac:dyDescent="0.3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5" customHeight="1" x14ac:dyDescent="0.3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5" customHeight="1" x14ac:dyDescent="0.3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5" customHeight="1" x14ac:dyDescent="0.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5" customHeight="1" x14ac:dyDescent="0.3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5" customHeight="1" x14ac:dyDescent="0.3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5" customHeight="1" x14ac:dyDescent="0.3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5" customHeight="1" x14ac:dyDescent="0.3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5" customHeight="1" x14ac:dyDescent="0.3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5" customHeight="1" x14ac:dyDescent="0.3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5" customHeight="1" x14ac:dyDescent="0.3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5" customHeight="1" x14ac:dyDescent="0.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5" customHeight="1" x14ac:dyDescent="0.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5" customHeight="1" x14ac:dyDescent="0.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5" customHeight="1" x14ac:dyDescent="0.3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5" customHeight="1" x14ac:dyDescent="0.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5" customHeight="1" x14ac:dyDescent="0.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5" customHeight="1" x14ac:dyDescent="0.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5" customHeight="1" x14ac:dyDescent="0.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5" customHeight="1" x14ac:dyDescent="0.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5" customHeight="1" x14ac:dyDescent="0.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5" customHeight="1" x14ac:dyDescent="0.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5" customHeight="1" x14ac:dyDescent="0.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5" customHeight="1" x14ac:dyDescent="0.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5" customHeight="1" x14ac:dyDescent="0.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5" customHeight="1" x14ac:dyDescent="0.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5" customHeight="1" x14ac:dyDescent="0.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5" customHeight="1" x14ac:dyDescent="0.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5" customHeight="1" x14ac:dyDescent="0.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5" customHeight="1" x14ac:dyDescent="0.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5" customHeight="1" x14ac:dyDescent="0.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5" customHeight="1" x14ac:dyDescent="0.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5" customHeight="1" x14ac:dyDescent="0.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5" customHeight="1" x14ac:dyDescent="0.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5" customHeight="1" x14ac:dyDescent="0.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5" customHeight="1" x14ac:dyDescent="0.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5" customHeight="1" x14ac:dyDescent="0.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5" customHeight="1" x14ac:dyDescent="0.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5" customHeight="1" x14ac:dyDescent="0.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5" customHeight="1" x14ac:dyDescent="0.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5" customHeight="1" x14ac:dyDescent="0.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5" customHeight="1" x14ac:dyDescent="0.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5" customHeight="1" x14ac:dyDescent="0.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5" customHeight="1" x14ac:dyDescent="0.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5" customHeight="1" x14ac:dyDescent="0.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5" customHeight="1" x14ac:dyDescent="0.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5" customHeight="1" x14ac:dyDescent="0.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5" customHeight="1" x14ac:dyDescent="0.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5" customHeight="1" x14ac:dyDescent="0.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5" customHeight="1" x14ac:dyDescent="0.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5" customHeight="1" x14ac:dyDescent="0.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5" customHeight="1" x14ac:dyDescent="0.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5" customHeight="1" x14ac:dyDescent="0.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5" customHeight="1" x14ac:dyDescent="0.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5" customHeight="1" x14ac:dyDescent="0.3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5" customHeight="1" x14ac:dyDescent="0.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5" customHeight="1" x14ac:dyDescent="0.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5" customHeight="1" x14ac:dyDescent="0.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5" customHeight="1" x14ac:dyDescent="0.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5" customHeight="1" x14ac:dyDescent="0.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5" customHeight="1" x14ac:dyDescent="0.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5" customHeight="1" x14ac:dyDescent="0.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5" customHeight="1" x14ac:dyDescent="0.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5" customHeight="1" x14ac:dyDescent="0.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5" customHeight="1" x14ac:dyDescent="0.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5" customHeight="1" x14ac:dyDescent="0.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5" customHeight="1" x14ac:dyDescent="0.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5" customHeight="1" x14ac:dyDescent="0.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5" customHeight="1" x14ac:dyDescent="0.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5" customHeight="1" x14ac:dyDescent="0.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5" customHeight="1" x14ac:dyDescent="0.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5" customHeight="1" x14ac:dyDescent="0.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5" customHeight="1" x14ac:dyDescent="0.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5" customHeight="1" x14ac:dyDescent="0.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5" customHeight="1" x14ac:dyDescent="0.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5" customHeight="1" x14ac:dyDescent="0.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5" customHeight="1" x14ac:dyDescent="0.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5" customHeight="1" x14ac:dyDescent="0.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5" customHeight="1" x14ac:dyDescent="0.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5" customHeight="1" x14ac:dyDescent="0.3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5" customHeight="1" x14ac:dyDescent="0.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5" customHeight="1" x14ac:dyDescent="0.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5" customHeight="1" x14ac:dyDescent="0.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5" customHeight="1" x14ac:dyDescent="0.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5" customHeight="1" x14ac:dyDescent="0.3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5" customHeight="1" x14ac:dyDescent="0.3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5" customHeight="1" x14ac:dyDescent="0.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5" customHeight="1" x14ac:dyDescent="0.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5" customHeight="1" x14ac:dyDescent="0.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5" customHeight="1" x14ac:dyDescent="0.3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5" customHeight="1" x14ac:dyDescent="0.3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5" customHeight="1" x14ac:dyDescent="0.3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5" customHeight="1" x14ac:dyDescent="0.3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5" customHeight="1" x14ac:dyDescent="0.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5" customHeight="1" x14ac:dyDescent="0.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5" customHeight="1" x14ac:dyDescent="0.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5" customHeight="1" x14ac:dyDescent="0.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5" customHeight="1" x14ac:dyDescent="0.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5" customHeight="1" x14ac:dyDescent="0.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5" customHeight="1" x14ac:dyDescent="0.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5" customHeight="1" x14ac:dyDescent="0.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5" customHeight="1" x14ac:dyDescent="0.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5" customHeight="1" x14ac:dyDescent="0.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5" customHeight="1" x14ac:dyDescent="0.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5" customHeight="1" x14ac:dyDescent="0.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5" customHeight="1" x14ac:dyDescent="0.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5" customHeight="1" x14ac:dyDescent="0.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5" customHeight="1" x14ac:dyDescent="0.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5" customHeight="1" x14ac:dyDescent="0.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5" customHeight="1" x14ac:dyDescent="0.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5" customHeight="1" x14ac:dyDescent="0.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5" customHeight="1" x14ac:dyDescent="0.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5" customHeight="1" x14ac:dyDescent="0.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5" customHeight="1" x14ac:dyDescent="0.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5" customHeight="1" x14ac:dyDescent="0.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5" customHeight="1" x14ac:dyDescent="0.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5" customHeight="1" x14ac:dyDescent="0.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5" customHeight="1" x14ac:dyDescent="0.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5" customHeight="1" x14ac:dyDescent="0.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5" customHeight="1" x14ac:dyDescent="0.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5" customHeight="1" x14ac:dyDescent="0.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5" customHeight="1" x14ac:dyDescent="0.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5" customHeight="1" x14ac:dyDescent="0.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5" customHeight="1" x14ac:dyDescent="0.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5" customHeight="1" x14ac:dyDescent="0.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5" customHeight="1" x14ac:dyDescent="0.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5" customHeight="1" x14ac:dyDescent="0.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5" customHeight="1" x14ac:dyDescent="0.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5" customHeight="1" x14ac:dyDescent="0.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5" customHeight="1" x14ac:dyDescent="0.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5" customHeight="1" x14ac:dyDescent="0.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5" customHeight="1" x14ac:dyDescent="0.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5" customHeight="1" x14ac:dyDescent="0.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5" customHeight="1" x14ac:dyDescent="0.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5" customHeight="1" x14ac:dyDescent="0.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5" customHeight="1" x14ac:dyDescent="0.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5" customHeight="1" x14ac:dyDescent="0.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5" customHeight="1" x14ac:dyDescent="0.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5" customHeight="1" x14ac:dyDescent="0.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5" customHeight="1" x14ac:dyDescent="0.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5" customHeight="1" x14ac:dyDescent="0.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5" customHeight="1" x14ac:dyDescent="0.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5" customHeight="1" x14ac:dyDescent="0.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5" customHeight="1" x14ac:dyDescent="0.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5" customHeight="1" x14ac:dyDescent="0.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5" customHeight="1" x14ac:dyDescent="0.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5" customHeight="1" x14ac:dyDescent="0.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5" customHeight="1" x14ac:dyDescent="0.3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5" customHeight="1" x14ac:dyDescent="0.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5" customHeight="1" x14ac:dyDescent="0.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5" customHeight="1" x14ac:dyDescent="0.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5" customHeight="1" x14ac:dyDescent="0.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5" customHeight="1" x14ac:dyDescent="0.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5" customHeight="1" x14ac:dyDescent="0.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5" customHeight="1" x14ac:dyDescent="0.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5" customHeight="1" x14ac:dyDescent="0.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5" customHeight="1" x14ac:dyDescent="0.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5" customHeight="1" x14ac:dyDescent="0.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5" customHeight="1" x14ac:dyDescent="0.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5" customHeight="1" x14ac:dyDescent="0.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5" customHeight="1" x14ac:dyDescent="0.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5" customHeight="1" x14ac:dyDescent="0.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5" customHeight="1" x14ac:dyDescent="0.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5" customHeight="1" x14ac:dyDescent="0.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5" customHeight="1" x14ac:dyDescent="0.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5" customHeight="1" x14ac:dyDescent="0.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5" customHeight="1" x14ac:dyDescent="0.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5" customHeight="1" x14ac:dyDescent="0.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5" customHeight="1" x14ac:dyDescent="0.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5" customHeight="1" x14ac:dyDescent="0.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5" customHeight="1" x14ac:dyDescent="0.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5" customHeight="1" x14ac:dyDescent="0.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5" customHeigh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5" customHeigh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5" customHeigh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5" customHeight="1" x14ac:dyDescent="0.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5" customHeight="1" x14ac:dyDescent="0.3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5" customHeight="1" x14ac:dyDescent="0.3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5" customHeight="1" x14ac:dyDescent="0.3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5" customHeight="1" x14ac:dyDescent="0.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5" customHeight="1" x14ac:dyDescent="0.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5" customHeight="1" x14ac:dyDescent="0.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5" customHeight="1" x14ac:dyDescent="0.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5" customHeight="1" x14ac:dyDescent="0.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5" customHeight="1" x14ac:dyDescent="0.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5" customHeight="1" x14ac:dyDescent="0.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5" customHeight="1" x14ac:dyDescent="0.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5" customHeight="1" x14ac:dyDescent="0.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5" customHeight="1" x14ac:dyDescent="0.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5" customHeight="1" x14ac:dyDescent="0.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5" customHeight="1" x14ac:dyDescent="0.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5" customHeight="1" x14ac:dyDescent="0.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5" customHeight="1" x14ac:dyDescent="0.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5" customHeight="1" x14ac:dyDescent="0.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5" customHeigh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5" customHeigh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5" customHeight="1" x14ac:dyDescent="0.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5" customHeigh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5" customHeight="1" x14ac:dyDescent="0.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5" customHeight="1" x14ac:dyDescent="0.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5" customHeigh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5" customHeight="1" x14ac:dyDescent="0.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5" customHeight="1" x14ac:dyDescent="0.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5" customHeight="1" x14ac:dyDescent="0.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5" customHeight="1" x14ac:dyDescent="0.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5" customHeight="1" x14ac:dyDescent="0.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5" customHeight="1" x14ac:dyDescent="0.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5" customHeight="1" x14ac:dyDescent="0.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5" customHeight="1" x14ac:dyDescent="0.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5" customHeight="1" x14ac:dyDescent="0.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5" customHeight="1" x14ac:dyDescent="0.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5" customHeight="1" x14ac:dyDescent="0.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5" customHeight="1" x14ac:dyDescent="0.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5" customHeight="1" x14ac:dyDescent="0.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5" customHeight="1" x14ac:dyDescent="0.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5" customHeight="1" x14ac:dyDescent="0.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5" customHeight="1" x14ac:dyDescent="0.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5" customHeight="1" x14ac:dyDescent="0.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5" customHeight="1" x14ac:dyDescent="0.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5" customHeight="1" x14ac:dyDescent="0.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5" customHeight="1" x14ac:dyDescent="0.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5" customHeight="1" x14ac:dyDescent="0.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5" customHeight="1" x14ac:dyDescent="0.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5" customHeight="1" x14ac:dyDescent="0.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5" customHeight="1" x14ac:dyDescent="0.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5" customHeight="1" x14ac:dyDescent="0.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5" customHeight="1" x14ac:dyDescent="0.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5" customHeight="1" x14ac:dyDescent="0.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5" customHeight="1" x14ac:dyDescent="0.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5" customHeight="1" x14ac:dyDescent="0.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5" customHeight="1" x14ac:dyDescent="0.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5" customHeight="1" x14ac:dyDescent="0.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5" customHeight="1" x14ac:dyDescent="0.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5" customHeight="1" x14ac:dyDescent="0.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5" customHeight="1" x14ac:dyDescent="0.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5" customHeight="1" x14ac:dyDescent="0.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5" customHeight="1" x14ac:dyDescent="0.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5" customHeight="1" x14ac:dyDescent="0.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5" customHeight="1" x14ac:dyDescent="0.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5" customHeight="1" x14ac:dyDescent="0.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5" customHeight="1" x14ac:dyDescent="0.3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5" customHeight="1" x14ac:dyDescent="0.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5" customHeight="1" x14ac:dyDescent="0.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5" customHeight="1" x14ac:dyDescent="0.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5" customHeight="1" x14ac:dyDescent="0.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5" customHeight="1" x14ac:dyDescent="0.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5" customHeight="1" x14ac:dyDescent="0.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5" customHeight="1" x14ac:dyDescent="0.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5" customHeight="1" x14ac:dyDescent="0.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5" customHeight="1" x14ac:dyDescent="0.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5" customHeight="1" x14ac:dyDescent="0.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5" customHeight="1" x14ac:dyDescent="0.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5" customHeight="1" x14ac:dyDescent="0.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5" customHeight="1" x14ac:dyDescent="0.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5" customHeight="1" x14ac:dyDescent="0.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5" customHeight="1" x14ac:dyDescent="0.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5" customHeight="1" x14ac:dyDescent="0.3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5" customHeight="1" x14ac:dyDescent="0.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5" customHeight="1" x14ac:dyDescent="0.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5" customHeight="1" x14ac:dyDescent="0.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5" customHeight="1" x14ac:dyDescent="0.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5" customHeight="1" x14ac:dyDescent="0.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5" customHeight="1" x14ac:dyDescent="0.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5" customHeight="1" x14ac:dyDescent="0.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5" customHeight="1" x14ac:dyDescent="0.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5" customHeight="1" x14ac:dyDescent="0.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5" customHeight="1" x14ac:dyDescent="0.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5" customHeight="1" x14ac:dyDescent="0.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5" customHeight="1" x14ac:dyDescent="0.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5" customHeight="1" x14ac:dyDescent="0.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5" customHeight="1" x14ac:dyDescent="0.3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5" customHeight="1" x14ac:dyDescent="0.3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5" customHeight="1" x14ac:dyDescent="0.3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5" customHeight="1" x14ac:dyDescent="0.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5" customHeight="1" x14ac:dyDescent="0.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5" customHeight="1" x14ac:dyDescent="0.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5" customHeight="1" x14ac:dyDescent="0.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5" customHeight="1" x14ac:dyDescent="0.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5" customHeight="1" x14ac:dyDescent="0.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5" customHeight="1" x14ac:dyDescent="0.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5" customHeight="1" x14ac:dyDescent="0.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5" customHeight="1" x14ac:dyDescent="0.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5" customHeight="1" x14ac:dyDescent="0.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5" customHeight="1" x14ac:dyDescent="0.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5" customHeight="1" x14ac:dyDescent="0.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5" customHeight="1" x14ac:dyDescent="0.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5" customHeight="1" x14ac:dyDescent="0.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5" customHeight="1" x14ac:dyDescent="0.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5" customHeight="1" x14ac:dyDescent="0.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5" customHeight="1" x14ac:dyDescent="0.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5" customHeight="1" x14ac:dyDescent="0.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5" customHeight="1" x14ac:dyDescent="0.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5" customHeight="1" x14ac:dyDescent="0.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5" customHeight="1" x14ac:dyDescent="0.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5" customHeight="1" x14ac:dyDescent="0.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5" customHeight="1" x14ac:dyDescent="0.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5" customHeight="1" x14ac:dyDescent="0.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5" customHeight="1" x14ac:dyDescent="0.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5" customHeight="1" x14ac:dyDescent="0.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5" customHeight="1" x14ac:dyDescent="0.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5" customHeight="1" x14ac:dyDescent="0.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5" customHeight="1" x14ac:dyDescent="0.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5" customHeight="1" x14ac:dyDescent="0.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5" customHeight="1" x14ac:dyDescent="0.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5" customHeight="1" x14ac:dyDescent="0.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5" customHeight="1" x14ac:dyDescent="0.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5" customHeight="1" x14ac:dyDescent="0.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5" customHeight="1" x14ac:dyDescent="0.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5" customHeight="1" x14ac:dyDescent="0.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5" customHeight="1" x14ac:dyDescent="0.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5" customHeight="1" x14ac:dyDescent="0.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5" customHeight="1" x14ac:dyDescent="0.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5" customHeight="1" x14ac:dyDescent="0.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5" customHeight="1" x14ac:dyDescent="0.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5" customHeight="1" x14ac:dyDescent="0.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5" customHeight="1" x14ac:dyDescent="0.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5" customHeight="1" x14ac:dyDescent="0.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5" customHeight="1" x14ac:dyDescent="0.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5" customHeight="1" x14ac:dyDescent="0.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5" customHeight="1" x14ac:dyDescent="0.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5" customHeight="1" x14ac:dyDescent="0.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5" customHeight="1" x14ac:dyDescent="0.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5" customHeight="1" x14ac:dyDescent="0.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5" customHeight="1" x14ac:dyDescent="0.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5" customHeight="1" x14ac:dyDescent="0.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5" customHeight="1" x14ac:dyDescent="0.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5" customHeight="1" x14ac:dyDescent="0.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5" customHeight="1" x14ac:dyDescent="0.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5" customHeight="1" x14ac:dyDescent="0.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5" customHeight="1" x14ac:dyDescent="0.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5" customHeight="1" x14ac:dyDescent="0.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5" customHeight="1" x14ac:dyDescent="0.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5" customHeight="1" x14ac:dyDescent="0.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5" customHeight="1" x14ac:dyDescent="0.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5" customHeight="1" x14ac:dyDescent="0.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5" customHeight="1" x14ac:dyDescent="0.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5" customHeight="1" x14ac:dyDescent="0.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5" customHeight="1" x14ac:dyDescent="0.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5" customHeight="1" x14ac:dyDescent="0.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5" customHeight="1" x14ac:dyDescent="0.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5" customHeight="1" x14ac:dyDescent="0.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5" customHeight="1" x14ac:dyDescent="0.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5" customHeight="1" x14ac:dyDescent="0.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5" customHeight="1" x14ac:dyDescent="0.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5" customHeight="1" x14ac:dyDescent="0.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5" customHeight="1" x14ac:dyDescent="0.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5" customHeight="1" x14ac:dyDescent="0.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5" customHeight="1" x14ac:dyDescent="0.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5" customHeight="1" x14ac:dyDescent="0.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5" customHeight="1" x14ac:dyDescent="0.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5" customHeight="1" x14ac:dyDescent="0.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5" customHeight="1" x14ac:dyDescent="0.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5" customHeight="1" x14ac:dyDescent="0.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5" customHeight="1" x14ac:dyDescent="0.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5" customHeight="1" x14ac:dyDescent="0.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5" customHeight="1" x14ac:dyDescent="0.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5" customHeight="1" x14ac:dyDescent="0.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5" customHeight="1" x14ac:dyDescent="0.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5" customHeight="1" x14ac:dyDescent="0.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5" customHeight="1" x14ac:dyDescent="0.3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5" customHeight="1" x14ac:dyDescent="0.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5" customHeight="1" x14ac:dyDescent="0.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5" customHeight="1" x14ac:dyDescent="0.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5" customHeight="1" x14ac:dyDescent="0.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5" customHeight="1" x14ac:dyDescent="0.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5" customHeight="1" x14ac:dyDescent="0.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5" customHeight="1" x14ac:dyDescent="0.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5" customHeight="1" x14ac:dyDescent="0.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5" customHeight="1" x14ac:dyDescent="0.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5" customHeight="1" x14ac:dyDescent="0.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5" customHeight="1" x14ac:dyDescent="0.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635"/>
  <sheetViews>
    <sheetView workbookViewId="0">
      <selection activeCell="B1" sqref="B1"/>
    </sheetView>
  </sheetViews>
  <sheetFormatPr defaultColWidth="12.6640625" defaultRowHeight="15" customHeight="1" x14ac:dyDescent="0.3"/>
  <cols>
    <col min="1" max="1" width="15.83203125" customWidth="1"/>
    <col min="2" max="6" width="9" customWidth="1"/>
    <col min="7" max="7" width="14.1640625" customWidth="1"/>
    <col min="8" max="8" width="13" customWidth="1"/>
    <col min="9" max="26" width="9" customWidth="1"/>
  </cols>
  <sheetData>
    <row r="1" spans="1:26" ht="13.5" customHeight="1" x14ac:dyDescent="0.3">
      <c r="A1" s="17" t="s">
        <v>820</v>
      </c>
      <c r="B1" s="28">
        <v>65919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5" customHeight="1" x14ac:dyDescent="0.3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3.5" customHeight="1" x14ac:dyDescent="0.3">
      <c r="A3" s="17" t="s">
        <v>821</v>
      </c>
      <c r="B3" s="17" t="s">
        <v>822</v>
      </c>
      <c r="C3" s="17" t="s">
        <v>823</v>
      </c>
      <c r="D3" s="17"/>
      <c r="E3" s="17" t="s">
        <v>824</v>
      </c>
      <c r="F3" s="17" t="s">
        <v>825</v>
      </c>
      <c r="G3" s="17" t="s">
        <v>826</v>
      </c>
      <c r="H3" s="29" t="s">
        <v>827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3.5" customHeight="1" x14ac:dyDescent="0.3">
      <c r="A4" s="17" t="s">
        <v>635</v>
      </c>
      <c r="B4" s="17">
        <v>3</v>
      </c>
      <c r="C4" s="17">
        <v>3</v>
      </c>
      <c r="D4" s="17"/>
      <c r="E4" s="17">
        <f t="shared" ref="E4:E67" si="0">plan_id</f>
        <v>65919</v>
      </c>
      <c r="F4" s="17">
        <f t="shared" ref="F4:F2635" ca="1" si="1">INDIRECT(CHAR(39)&amp;$A4&amp;CHAR(39)&amp;"!r"&amp;$B4&amp;"c2",0)</f>
        <v>2014</v>
      </c>
      <c r="G4" s="17">
        <f t="shared" ref="G4:G67" ca="1" si="2">VLOOKUP(INDIRECT(CHAR(39)&amp;$A4&amp;CHAR(39)&amp;"!r2c"&amp;$C4,0),variables,2,0)</f>
        <v>10861</v>
      </c>
      <c r="H4" s="29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3.5" customHeight="1" x14ac:dyDescent="0.3">
      <c r="A5" s="17" t="s">
        <v>635</v>
      </c>
      <c r="B5" s="17">
        <f t="shared" ref="B5:B68" si="3">B4</f>
        <v>3</v>
      </c>
      <c r="C5" s="17">
        <f t="shared" ref="C5:C68" si="4">C4+1</f>
        <v>4</v>
      </c>
      <c r="D5" s="17"/>
      <c r="E5" s="17">
        <f t="shared" si="0"/>
        <v>65919</v>
      </c>
      <c r="F5" s="17">
        <f t="shared" ca="1" si="1"/>
        <v>2014</v>
      </c>
      <c r="G5" s="17">
        <f t="shared" ca="1" si="2"/>
        <v>10862</v>
      </c>
      <c r="H5" s="29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3.5" customHeight="1" x14ac:dyDescent="0.3">
      <c r="A6" s="17" t="s">
        <v>635</v>
      </c>
      <c r="B6" s="17">
        <f t="shared" si="3"/>
        <v>3</v>
      </c>
      <c r="C6" s="17">
        <f t="shared" si="4"/>
        <v>5</v>
      </c>
      <c r="D6" s="17"/>
      <c r="E6" s="17">
        <f t="shared" si="0"/>
        <v>65919</v>
      </c>
      <c r="F6" s="17">
        <f t="shared" ca="1" si="1"/>
        <v>2014</v>
      </c>
      <c r="G6" s="17">
        <f t="shared" ca="1" si="2"/>
        <v>10863</v>
      </c>
      <c r="H6" s="2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5" customHeight="1" x14ac:dyDescent="0.3">
      <c r="A7" s="17" t="s">
        <v>635</v>
      </c>
      <c r="B7" s="17">
        <f t="shared" si="3"/>
        <v>3</v>
      </c>
      <c r="C7" s="17">
        <f t="shared" si="4"/>
        <v>6</v>
      </c>
      <c r="D7" s="17"/>
      <c r="E7" s="17">
        <f t="shared" si="0"/>
        <v>65919</v>
      </c>
      <c r="F7" s="17">
        <f t="shared" ca="1" si="1"/>
        <v>2014</v>
      </c>
      <c r="G7" s="17">
        <f t="shared" ca="1" si="2"/>
        <v>10864</v>
      </c>
      <c r="H7" s="30">
        <f t="array" aca="1" ref="H7" ca="1">IF(AND(G7&gt;=10861,G7&lt;=10863),TEXT(INDIRECT(CHAR(39)&amp;$A7&amp;CHAR(39)&amp;"!r"&amp;$B7&amp;"c"&amp;$C7,0),"dd-mmm-yyyy"),(INDIRECT(CHAR(39)&amp;$A7&amp;CHAR(39)&amp;"!r"&amp;$B7&amp;"c"&amp;$C7,0)))</f>
        <v>964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3.5" customHeight="1" x14ac:dyDescent="0.3">
      <c r="A8" s="17" t="s">
        <v>635</v>
      </c>
      <c r="B8" s="17">
        <f t="shared" si="3"/>
        <v>3</v>
      </c>
      <c r="C8" s="17">
        <f t="shared" si="4"/>
        <v>7</v>
      </c>
      <c r="D8" s="17"/>
      <c r="E8" s="17">
        <f t="shared" si="0"/>
        <v>65919</v>
      </c>
      <c r="F8" s="17">
        <f t="shared" ca="1" si="1"/>
        <v>2014</v>
      </c>
      <c r="G8" s="17">
        <f t="shared" ca="1" si="2"/>
        <v>10865</v>
      </c>
      <c r="H8" s="30">
        <f t="array" aca="1" ref="H8" ca="1">IF(AND(G8&gt;=10861,G8&lt;=10863),TEXT(INDIRECT(CHAR(39)&amp;$A8&amp;CHAR(39)&amp;"!r"&amp;$B8&amp;"c"&amp;$C8,0),"dd-mmm-yyyy"),(INDIRECT(CHAR(39)&amp;$A8&amp;CHAR(39)&amp;"!r"&amp;$B8&amp;"c"&amp;$C8,0)))</f>
        <v>129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3.5" customHeight="1" x14ac:dyDescent="0.3">
      <c r="A9" s="17" t="s">
        <v>635</v>
      </c>
      <c r="B9" s="17">
        <f t="shared" si="3"/>
        <v>3</v>
      </c>
      <c r="C9" s="17">
        <f t="shared" si="4"/>
        <v>8</v>
      </c>
      <c r="D9" s="17"/>
      <c r="E9" s="17">
        <f t="shared" si="0"/>
        <v>65919</v>
      </c>
      <c r="F9" s="17">
        <f t="shared" ca="1" si="1"/>
        <v>2014</v>
      </c>
      <c r="G9" s="17">
        <f t="shared" ca="1" si="2"/>
        <v>10866</v>
      </c>
      <c r="H9" s="30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5" customHeight="1" x14ac:dyDescent="0.3">
      <c r="A10" s="17" t="s">
        <v>635</v>
      </c>
      <c r="B10" s="17">
        <f t="shared" si="3"/>
        <v>3</v>
      </c>
      <c r="C10" s="17">
        <f t="shared" si="4"/>
        <v>9</v>
      </c>
      <c r="D10" s="17"/>
      <c r="E10" s="17">
        <f t="shared" si="0"/>
        <v>65919</v>
      </c>
      <c r="F10" s="17">
        <f t="shared" ca="1" si="1"/>
        <v>2014</v>
      </c>
      <c r="G10" s="17">
        <f t="shared" ca="1" si="2"/>
        <v>10867</v>
      </c>
      <c r="H10" s="3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1066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5" customHeight="1" x14ac:dyDescent="0.3">
      <c r="A11" s="17" t="s">
        <v>635</v>
      </c>
      <c r="B11" s="17">
        <f t="shared" si="3"/>
        <v>3</v>
      </c>
      <c r="C11" s="17">
        <f t="shared" si="4"/>
        <v>10</v>
      </c>
      <c r="D11" s="17"/>
      <c r="E11" s="17">
        <f t="shared" si="0"/>
        <v>65919</v>
      </c>
      <c r="F11" s="17">
        <f t="shared" ca="1" si="1"/>
        <v>2014</v>
      </c>
      <c r="G11" s="17">
        <f t="shared" ca="1" si="2"/>
        <v>10868</v>
      </c>
      <c r="H11" s="3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2159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5" customHeight="1" x14ac:dyDescent="0.3">
      <c r="A12" s="17" t="s">
        <v>635</v>
      </c>
      <c r="B12" s="17">
        <f t="shared" si="3"/>
        <v>3</v>
      </c>
      <c r="C12" s="17">
        <f t="shared" si="4"/>
        <v>11</v>
      </c>
      <c r="D12" s="17"/>
      <c r="E12" s="17">
        <f t="shared" si="0"/>
        <v>65919</v>
      </c>
      <c r="F12" s="17">
        <f t="shared" ca="1" si="1"/>
        <v>2014</v>
      </c>
      <c r="G12" s="17">
        <f t="shared" ca="1" si="2"/>
        <v>10869</v>
      </c>
      <c r="H12" s="3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5" customHeight="1" x14ac:dyDescent="0.3">
      <c r="A13" s="17" t="s">
        <v>635</v>
      </c>
      <c r="B13" s="17">
        <f t="shared" si="3"/>
        <v>3</v>
      </c>
      <c r="C13" s="17">
        <f t="shared" si="4"/>
        <v>12</v>
      </c>
      <c r="D13" s="17"/>
      <c r="E13" s="17">
        <f t="shared" si="0"/>
        <v>65919</v>
      </c>
      <c r="F13" s="17">
        <f t="shared" ca="1" si="1"/>
        <v>2014</v>
      </c>
      <c r="G13" s="17">
        <f t="shared" ca="1" si="2"/>
        <v>10870</v>
      </c>
      <c r="H13" s="3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 customHeight="1" x14ac:dyDescent="0.3">
      <c r="A14" s="17" t="s">
        <v>635</v>
      </c>
      <c r="B14" s="17">
        <f t="shared" si="3"/>
        <v>3</v>
      </c>
      <c r="C14" s="17">
        <f t="shared" si="4"/>
        <v>13</v>
      </c>
      <c r="D14" s="17"/>
      <c r="E14" s="17">
        <f t="shared" si="0"/>
        <v>65919</v>
      </c>
      <c r="F14" s="17">
        <f t="shared" ca="1" si="1"/>
        <v>2014</v>
      </c>
      <c r="G14" s="17">
        <f t="shared" ca="1" si="2"/>
        <v>10871</v>
      </c>
      <c r="H14" s="3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5" customHeight="1" x14ac:dyDescent="0.3">
      <c r="A15" s="17" t="s">
        <v>635</v>
      </c>
      <c r="B15" s="17">
        <f t="shared" si="3"/>
        <v>3</v>
      </c>
      <c r="C15" s="17">
        <f t="shared" si="4"/>
        <v>14</v>
      </c>
      <c r="D15" s="17"/>
      <c r="E15" s="17">
        <f t="shared" si="0"/>
        <v>65919</v>
      </c>
      <c r="F15" s="17">
        <f t="shared" ca="1" si="1"/>
        <v>2014</v>
      </c>
      <c r="G15" s="17">
        <f t="shared" ca="1" si="2"/>
        <v>10872</v>
      </c>
      <c r="H15" s="29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5" customHeight="1" x14ac:dyDescent="0.3">
      <c r="A16" s="17" t="s">
        <v>635</v>
      </c>
      <c r="B16" s="17">
        <f t="shared" si="3"/>
        <v>3</v>
      </c>
      <c r="C16" s="17">
        <f t="shared" si="4"/>
        <v>15</v>
      </c>
      <c r="D16" s="17"/>
      <c r="E16" s="17">
        <f t="shared" si="0"/>
        <v>65919</v>
      </c>
      <c r="F16" s="17">
        <f t="shared" ca="1" si="1"/>
        <v>2014</v>
      </c>
      <c r="G16" s="17">
        <f t="shared" ca="1" si="2"/>
        <v>10873</v>
      </c>
      <c r="H16" s="3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5" customHeight="1" x14ac:dyDescent="0.3">
      <c r="A17" s="17" t="s">
        <v>635</v>
      </c>
      <c r="B17" s="17">
        <f t="shared" si="3"/>
        <v>3</v>
      </c>
      <c r="C17" s="17">
        <f t="shared" si="4"/>
        <v>16</v>
      </c>
      <c r="D17" s="17"/>
      <c r="E17" s="17">
        <f t="shared" si="0"/>
        <v>65919</v>
      </c>
      <c r="F17" s="17">
        <f t="shared" ca="1" si="1"/>
        <v>2014</v>
      </c>
      <c r="G17" s="17">
        <f t="shared" ca="1" si="2"/>
        <v>10874</v>
      </c>
      <c r="H17" s="3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 customHeight="1" x14ac:dyDescent="0.3">
      <c r="A18" s="17" t="s">
        <v>635</v>
      </c>
      <c r="B18" s="17">
        <f t="shared" si="3"/>
        <v>3</v>
      </c>
      <c r="C18" s="17">
        <f t="shared" si="4"/>
        <v>17</v>
      </c>
      <c r="D18" s="17"/>
      <c r="E18" s="17">
        <f t="shared" si="0"/>
        <v>65919</v>
      </c>
      <c r="F18" s="17">
        <f t="shared" ca="1" si="1"/>
        <v>2014</v>
      </c>
      <c r="G18" s="17">
        <f t="shared" ca="1" si="2"/>
        <v>10875</v>
      </c>
      <c r="H18" s="3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1072424000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5" customHeight="1" x14ac:dyDescent="0.3">
      <c r="A19" s="17" t="s">
        <v>635</v>
      </c>
      <c r="B19" s="17">
        <f t="shared" si="3"/>
        <v>3</v>
      </c>
      <c r="C19" s="17">
        <f t="shared" si="4"/>
        <v>18</v>
      </c>
      <c r="D19" s="17"/>
      <c r="E19" s="17">
        <f t="shared" si="0"/>
        <v>65919</v>
      </c>
      <c r="F19" s="17">
        <f t="shared" ca="1" si="1"/>
        <v>2014</v>
      </c>
      <c r="G19" s="17">
        <f t="shared" ca="1" si="2"/>
        <v>10876</v>
      </c>
      <c r="H19" s="3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1098427000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5" customHeight="1" x14ac:dyDescent="0.3">
      <c r="A20" s="17" t="s">
        <v>635</v>
      </c>
      <c r="B20" s="17">
        <f t="shared" si="3"/>
        <v>3</v>
      </c>
      <c r="C20" s="17">
        <f t="shared" si="4"/>
        <v>19</v>
      </c>
      <c r="D20" s="17"/>
      <c r="E20" s="17">
        <f t="shared" si="0"/>
        <v>65919</v>
      </c>
      <c r="F20" s="17">
        <f t="shared" ca="1" si="1"/>
        <v>2014</v>
      </c>
      <c r="G20" s="17">
        <f t="shared" ca="1" si="2"/>
        <v>10877</v>
      </c>
      <c r="H20" s="3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-26003000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 customHeight="1" x14ac:dyDescent="0.3">
      <c r="A21" s="17" t="s">
        <v>635</v>
      </c>
      <c r="B21" s="17">
        <f t="shared" si="3"/>
        <v>3</v>
      </c>
      <c r="C21" s="17">
        <f t="shared" si="4"/>
        <v>20</v>
      </c>
      <c r="D21" s="17"/>
      <c r="E21" s="17">
        <f t="shared" si="0"/>
        <v>65919</v>
      </c>
      <c r="F21" s="17">
        <f t="shared" ca="1" si="1"/>
        <v>2014</v>
      </c>
      <c r="G21" s="17">
        <f t="shared" ca="1" si="2"/>
        <v>10878</v>
      </c>
      <c r="H21" s="3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1.0242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 customHeight="1" x14ac:dyDescent="0.3">
      <c r="A22" s="17" t="s">
        <v>635</v>
      </c>
      <c r="B22" s="17">
        <f t="shared" si="3"/>
        <v>3</v>
      </c>
      <c r="C22" s="17">
        <f t="shared" si="4"/>
        <v>21</v>
      </c>
      <c r="D22" s="17"/>
      <c r="E22" s="17">
        <f t="shared" si="0"/>
        <v>65919</v>
      </c>
      <c r="F22" s="17">
        <f t="shared" ca="1" si="1"/>
        <v>2014</v>
      </c>
      <c r="G22" s="17">
        <f t="shared" ca="1" si="2"/>
        <v>10879</v>
      </c>
      <c r="H22" s="3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80000000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5" customHeight="1" x14ac:dyDescent="0.3">
      <c r="A23" s="17" t="s">
        <v>635</v>
      </c>
      <c r="B23" s="17">
        <f t="shared" si="3"/>
        <v>3</v>
      </c>
      <c r="C23" s="17">
        <f t="shared" si="4"/>
        <v>22</v>
      </c>
      <c r="D23" s="17"/>
      <c r="E23" s="17">
        <f t="shared" si="0"/>
        <v>65919</v>
      </c>
      <c r="F23" s="17">
        <f t="shared" ca="1" si="1"/>
        <v>2014</v>
      </c>
      <c r="G23" s="17">
        <f t="shared" ca="1" si="2"/>
        <v>10880</v>
      </c>
      <c r="H23" s="3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5" customHeight="1" x14ac:dyDescent="0.3">
      <c r="A24" s="17" t="s">
        <v>635</v>
      </c>
      <c r="B24" s="17">
        <f t="shared" si="3"/>
        <v>3</v>
      </c>
      <c r="C24" s="17">
        <f t="shared" si="4"/>
        <v>23</v>
      </c>
      <c r="D24" s="17"/>
      <c r="E24" s="17">
        <f t="shared" si="0"/>
        <v>65919</v>
      </c>
      <c r="F24" s="17">
        <f t="shared" ca="1" si="1"/>
        <v>2014</v>
      </c>
      <c r="G24" s="17">
        <f t="shared" ca="1" si="2"/>
        <v>10881</v>
      </c>
      <c r="H24" s="3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5" customHeight="1" x14ac:dyDescent="0.3">
      <c r="A25" s="17" t="s">
        <v>635</v>
      </c>
      <c r="B25" s="17">
        <f t="shared" si="3"/>
        <v>3</v>
      </c>
      <c r="C25" s="17">
        <f t="shared" si="4"/>
        <v>24</v>
      </c>
      <c r="D25" s="17"/>
      <c r="E25" s="17">
        <f t="shared" si="0"/>
        <v>65919</v>
      </c>
      <c r="F25" s="17">
        <f t="shared" ca="1" si="1"/>
        <v>2014</v>
      </c>
      <c r="G25" s="17">
        <f t="shared" ca="1" si="2"/>
        <v>10882</v>
      </c>
      <c r="H25" s="3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5" customHeight="1" x14ac:dyDescent="0.3">
      <c r="A26" s="17" t="s">
        <v>635</v>
      </c>
      <c r="B26" s="17">
        <f t="shared" si="3"/>
        <v>3</v>
      </c>
      <c r="C26" s="17">
        <f t="shared" si="4"/>
        <v>25</v>
      </c>
      <c r="D26" s="17"/>
      <c r="E26" s="17">
        <f t="shared" si="0"/>
        <v>65919</v>
      </c>
      <c r="F26" s="17">
        <f t="shared" ca="1" si="1"/>
        <v>2014</v>
      </c>
      <c r="G26" s="17">
        <f t="shared" ca="1" si="2"/>
        <v>10883</v>
      </c>
      <c r="H26" s="3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8.3462499999999995E-2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5" customHeight="1" x14ac:dyDescent="0.3">
      <c r="A27" s="17" t="s">
        <v>635</v>
      </c>
      <c r="B27" s="17">
        <f t="shared" si="3"/>
        <v>3</v>
      </c>
      <c r="C27" s="17">
        <f t="shared" si="4"/>
        <v>26</v>
      </c>
      <c r="D27" s="17"/>
      <c r="E27" s="17">
        <f t="shared" si="0"/>
        <v>65919</v>
      </c>
      <c r="F27" s="17">
        <f t="shared" ca="1" si="1"/>
        <v>2014</v>
      </c>
      <c r="G27" s="17">
        <f t="shared" ca="1" si="2"/>
        <v>10884</v>
      </c>
      <c r="H27" s="3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8.2337499999999994E-2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5" customHeight="1" x14ac:dyDescent="0.3">
      <c r="A28" s="17" t="s">
        <v>635</v>
      </c>
      <c r="B28" s="17">
        <f t="shared" si="3"/>
        <v>3</v>
      </c>
      <c r="C28" s="17">
        <f t="shared" si="4"/>
        <v>27</v>
      </c>
      <c r="D28" s="17"/>
      <c r="E28" s="17">
        <f t="shared" si="0"/>
        <v>65919</v>
      </c>
      <c r="F28" s="17">
        <f t="shared" ca="1" si="1"/>
        <v>2014</v>
      </c>
      <c r="G28" s="17">
        <f t="shared" ca="1" si="2"/>
        <v>10885</v>
      </c>
      <c r="H28" s="3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6677000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5" customHeight="1" x14ac:dyDescent="0.3">
      <c r="A29" s="17" t="s">
        <v>635</v>
      </c>
      <c r="B29" s="17">
        <f t="shared" si="3"/>
        <v>3</v>
      </c>
      <c r="C29" s="17">
        <f t="shared" si="4"/>
        <v>28</v>
      </c>
      <c r="D29" s="17"/>
      <c r="E29" s="17">
        <f t="shared" si="0"/>
        <v>65919</v>
      </c>
      <c r="F29" s="17">
        <f t="shared" ca="1" si="1"/>
        <v>2014</v>
      </c>
      <c r="G29" s="17">
        <f t="shared" ca="1" si="2"/>
        <v>10886</v>
      </c>
      <c r="H29" s="3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6587000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5" customHeight="1" x14ac:dyDescent="0.3">
      <c r="A30" s="17" t="s">
        <v>635</v>
      </c>
      <c r="B30" s="17">
        <f t="shared" si="3"/>
        <v>3</v>
      </c>
      <c r="C30" s="17">
        <f t="shared" si="4"/>
        <v>29</v>
      </c>
      <c r="D30" s="17"/>
      <c r="E30" s="17">
        <f t="shared" si="0"/>
        <v>65919</v>
      </c>
      <c r="F30" s="17">
        <f t="shared" ca="1" si="1"/>
        <v>2014</v>
      </c>
      <c r="G30" s="17">
        <f t="shared" ca="1" si="2"/>
        <v>10887</v>
      </c>
      <c r="H30" s="3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90000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5" customHeight="1" x14ac:dyDescent="0.3">
      <c r="A31" s="17" t="s">
        <v>635</v>
      </c>
      <c r="B31" s="17">
        <f t="shared" si="3"/>
        <v>3</v>
      </c>
      <c r="C31" s="17">
        <f t="shared" si="4"/>
        <v>30</v>
      </c>
      <c r="D31" s="17"/>
      <c r="E31" s="17">
        <f t="shared" si="0"/>
        <v>65919</v>
      </c>
      <c r="F31" s="17">
        <f t="shared" ca="1" si="1"/>
        <v>2014</v>
      </c>
      <c r="G31" s="17">
        <f t="shared" ca="1" si="2"/>
        <v>10883</v>
      </c>
      <c r="H31" s="3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0.98652089261644449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5" customHeight="1" x14ac:dyDescent="0.3">
      <c r="A32" s="17" t="s">
        <v>635</v>
      </c>
      <c r="B32" s="17">
        <f t="shared" si="3"/>
        <v>3</v>
      </c>
      <c r="C32" s="17">
        <f t="shared" si="4"/>
        <v>31</v>
      </c>
      <c r="D32" s="17"/>
      <c r="E32" s="17">
        <f t="shared" si="0"/>
        <v>65919</v>
      </c>
      <c r="F32" s="17">
        <f t="shared" ca="1" si="1"/>
        <v>2014</v>
      </c>
      <c r="G32" s="17">
        <f t="shared" ca="1" si="2"/>
        <v>10889</v>
      </c>
      <c r="H32" s="3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18041000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5" customHeight="1" x14ac:dyDescent="0.3">
      <c r="A33" s="17" t="s">
        <v>635</v>
      </c>
      <c r="B33" s="17">
        <f t="shared" si="3"/>
        <v>3</v>
      </c>
      <c r="C33" s="17">
        <f t="shared" si="4"/>
        <v>32</v>
      </c>
      <c r="D33" s="17"/>
      <c r="E33" s="17">
        <f t="shared" si="0"/>
        <v>65919</v>
      </c>
      <c r="F33" s="17">
        <f t="shared" ca="1" si="1"/>
        <v>2014</v>
      </c>
      <c r="G33" s="17">
        <f t="shared" ca="1" si="2"/>
        <v>10890</v>
      </c>
      <c r="H33" s="3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75249000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5" customHeight="1" x14ac:dyDescent="0.3">
      <c r="A34" s="17" t="s">
        <v>635</v>
      </c>
      <c r="B34" s="17">
        <f t="shared" si="3"/>
        <v>3</v>
      </c>
      <c r="C34" s="17">
        <f t="shared" si="4"/>
        <v>33</v>
      </c>
      <c r="D34" s="17"/>
      <c r="E34" s="17">
        <f t="shared" si="0"/>
        <v>65919</v>
      </c>
      <c r="F34" s="17">
        <f t="shared" ca="1" si="1"/>
        <v>2014</v>
      </c>
      <c r="G34" s="17">
        <f t="shared" ca="1" si="2"/>
        <v>10891</v>
      </c>
      <c r="H34" s="3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5" customHeight="1" x14ac:dyDescent="0.3">
      <c r="A35" s="17" t="s">
        <v>635</v>
      </c>
      <c r="B35" s="17">
        <f t="shared" si="3"/>
        <v>3</v>
      </c>
      <c r="C35" s="17">
        <f t="shared" si="4"/>
        <v>34</v>
      </c>
      <c r="D35" s="17"/>
      <c r="E35" s="17">
        <f t="shared" si="0"/>
        <v>65919</v>
      </c>
      <c r="F35" s="17">
        <f t="shared" ca="1" si="1"/>
        <v>2014</v>
      </c>
      <c r="G35" s="17">
        <f t="shared" ca="1" si="2"/>
        <v>10892</v>
      </c>
      <c r="H35" s="3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5" customHeight="1" x14ac:dyDescent="0.3">
      <c r="A36" s="17" t="s">
        <v>635</v>
      </c>
      <c r="B36" s="17">
        <f t="shared" si="3"/>
        <v>3</v>
      </c>
      <c r="C36" s="17">
        <f t="shared" si="4"/>
        <v>35</v>
      </c>
      <c r="D36" s="17"/>
      <c r="E36" s="17">
        <f t="shared" si="0"/>
        <v>65919</v>
      </c>
      <c r="F36" s="17">
        <f t="shared" ca="1" si="1"/>
        <v>2014</v>
      </c>
      <c r="G36" s="17">
        <f t="shared" ca="1" si="2"/>
        <v>10893</v>
      </c>
      <c r="H36" s="3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5" customHeight="1" x14ac:dyDescent="0.3">
      <c r="A37" s="17" t="s">
        <v>635</v>
      </c>
      <c r="B37" s="17">
        <f t="shared" si="3"/>
        <v>3</v>
      </c>
      <c r="C37" s="17">
        <f t="shared" si="4"/>
        <v>36</v>
      </c>
      <c r="D37" s="17"/>
      <c r="E37" s="17">
        <f t="shared" si="0"/>
        <v>65919</v>
      </c>
      <c r="F37" s="17">
        <f t="shared" ca="1" si="1"/>
        <v>2014</v>
      </c>
      <c r="G37" s="17">
        <f t="shared" ca="1" si="2"/>
        <v>10894</v>
      </c>
      <c r="H37" s="3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-6555000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5" customHeight="1" x14ac:dyDescent="0.3">
      <c r="A38" s="17" t="s">
        <v>635</v>
      </c>
      <c r="B38" s="17">
        <f t="shared" si="3"/>
        <v>3</v>
      </c>
      <c r="C38" s="17">
        <f t="shared" si="4"/>
        <v>37</v>
      </c>
      <c r="D38" s="17"/>
      <c r="E38" s="17">
        <f t="shared" si="0"/>
        <v>65919</v>
      </c>
      <c r="F38" s="17">
        <f t="shared" ca="1" si="1"/>
        <v>2014</v>
      </c>
      <c r="G38" s="17">
        <f t="shared" ca="1" si="2"/>
        <v>10895</v>
      </c>
      <c r="H38" s="3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5" customHeight="1" x14ac:dyDescent="0.3">
      <c r="A39" s="17" t="s">
        <v>635</v>
      </c>
      <c r="B39" s="17">
        <f t="shared" si="3"/>
        <v>3</v>
      </c>
      <c r="C39" s="17">
        <f t="shared" si="4"/>
        <v>38</v>
      </c>
      <c r="D39" s="17"/>
      <c r="E39" s="17">
        <f t="shared" si="0"/>
        <v>65919</v>
      </c>
      <c r="F39" s="17">
        <f t="shared" ca="1" si="1"/>
        <v>2014</v>
      </c>
      <c r="G39" s="17">
        <f t="shared" ca="1" si="2"/>
        <v>10896</v>
      </c>
      <c r="H39" s="3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5" customHeight="1" x14ac:dyDescent="0.3">
      <c r="A40" s="17" t="s">
        <v>635</v>
      </c>
      <c r="B40" s="17">
        <f t="shared" si="3"/>
        <v>3</v>
      </c>
      <c r="C40" s="17">
        <f t="shared" si="4"/>
        <v>39</v>
      </c>
      <c r="D40" s="17"/>
      <c r="E40" s="17">
        <f t="shared" si="0"/>
        <v>65919</v>
      </c>
      <c r="F40" s="17">
        <f t="shared" ca="1" si="1"/>
        <v>2014</v>
      </c>
      <c r="G40" s="17">
        <f t="shared" ca="1" si="2"/>
        <v>10897</v>
      </c>
      <c r="H40" s="3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84000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5" customHeight="1" x14ac:dyDescent="0.3">
      <c r="A41" s="17" t="s">
        <v>635</v>
      </c>
      <c r="B41" s="17">
        <f t="shared" si="3"/>
        <v>3</v>
      </c>
      <c r="C41" s="17">
        <f t="shared" si="4"/>
        <v>40</v>
      </c>
      <c r="D41" s="17"/>
      <c r="E41" s="17">
        <f t="shared" si="0"/>
        <v>65919</v>
      </c>
      <c r="F41" s="17">
        <f t="shared" ca="1" si="1"/>
        <v>2014</v>
      </c>
      <c r="G41" s="17">
        <f t="shared" ca="1" si="2"/>
        <v>10898</v>
      </c>
      <c r="H41" s="3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5" customHeight="1" x14ac:dyDescent="0.3">
      <c r="A42" s="17" t="s">
        <v>635</v>
      </c>
      <c r="B42" s="17">
        <f t="shared" si="3"/>
        <v>3</v>
      </c>
      <c r="C42" s="17">
        <f t="shared" si="4"/>
        <v>41</v>
      </c>
      <c r="D42" s="17"/>
      <c r="E42" s="17">
        <f t="shared" si="0"/>
        <v>65919</v>
      </c>
      <c r="F42" s="17">
        <f t="shared" ca="1" si="1"/>
        <v>2014</v>
      </c>
      <c r="G42" s="17">
        <f t="shared" ca="1" si="2"/>
        <v>10899</v>
      </c>
      <c r="H42" s="3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5" customHeight="1" x14ac:dyDescent="0.3">
      <c r="A43" s="17" t="s">
        <v>635</v>
      </c>
      <c r="B43" s="17">
        <f t="shared" si="3"/>
        <v>3</v>
      </c>
      <c r="C43" s="17">
        <f t="shared" si="4"/>
        <v>42</v>
      </c>
      <c r="D43" s="17"/>
      <c r="E43" s="17">
        <f t="shared" si="0"/>
        <v>65919</v>
      </c>
      <c r="F43" s="17">
        <f t="shared" ca="1" si="1"/>
        <v>2014</v>
      </c>
      <c r="G43" s="17">
        <f t="shared" ca="1" si="2"/>
        <v>11006</v>
      </c>
      <c r="H43" s="3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5" customHeight="1" x14ac:dyDescent="0.3">
      <c r="A44" s="17" t="s">
        <v>635</v>
      </c>
      <c r="B44" s="17">
        <f t="shared" si="3"/>
        <v>3</v>
      </c>
      <c r="C44" s="17">
        <f t="shared" si="4"/>
        <v>43</v>
      </c>
      <c r="D44" s="17"/>
      <c r="E44" s="17">
        <f t="shared" si="0"/>
        <v>65919</v>
      </c>
      <c r="F44" s="17">
        <f t="shared" ca="1" si="1"/>
        <v>2014</v>
      </c>
      <c r="G44" s="17">
        <f t="shared" ca="1" si="2"/>
        <v>10900</v>
      </c>
      <c r="H44" s="3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5" customHeight="1" x14ac:dyDescent="0.3">
      <c r="A45" s="17" t="s">
        <v>635</v>
      </c>
      <c r="B45" s="17">
        <f t="shared" si="3"/>
        <v>3</v>
      </c>
      <c r="C45" s="17">
        <f t="shared" si="4"/>
        <v>44</v>
      </c>
      <c r="D45" s="17"/>
      <c r="E45" s="17">
        <f t="shared" si="0"/>
        <v>65919</v>
      </c>
      <c r="F45" s="17">
        <f t="shared" ca="1" si="1"/>
        <v>2014</v>
      </c>
      <c r="G45" s="17">
        <f t="shared" ca="1" si="2"/>
        <v>10901</v>
      </c>
      <c r="H45" s="3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5" customHeight="1" x14ac:dyDescent="0.3">
      <c r="A46" s="17" t="s">
        <v>635</v>
      </c>
      <c r="B46" s="17">
        <f t="shared" si="3"/>
        <v>3</v>
      </c>
      <c r="C46" s="17">
        <f t="shared" si="4"/>
        <v>45</v>
      </c>
      <c r="D46" s="17"/>
      <c r="E46" s="17">
        <f t="shared" si="0"/>
        <v>65919</v>
      </c>
      <c r="F46" s="17">
        <f t="shared" ca="1" si="1"/>
        <v>2014</v>
      </c>
      <c r="G46" s="17">
        <f t="shared" ca="1" si="2"/>
        <v>10902</v>
      </c>
      <c r="H46" s="3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5" customHeight="1" x14ac:dyDescent="0.3">
      <c r="A47" s="17" t="s">
        <v>635</v>
      </c>
      <c r="B47" s="17">
        <f t="shared" si="3"/>
        <v>3</v>
      </c>
      <c r="C47" s="17">
        <f t="shared" si="4"/>
        <v>46</v>
      </c>
      <c r="D47" s="17"/>
      <c r="E47" s="17">
        <f t="shared" si="0"/>
        <v>65919</v>
      </c>
      <c r="F47" s="17">
        <f t="shared" ca="1" si="1"/>
        <v>2014</v>
      </c>
      <c r="G47" s="17">
        <f t="shared" ca="1" si="2"/>
        <v>10903</v>
      </c>
      <c r="H47" s="3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5" customHeight="1" x14ac:dyDescent="0.3">
      <c r="A48" s="17" t="s">
        <v>635</v>
      </c>
      <c r="B48" s="17">
        <f t="shared" si="3"/>
        <v>3</v>
      </c>
      <c r="C48" s="17">
        <f t="shared" si="4"/>
        <v>47</v>
      </c>
      <c r="D48" s="17"/>
      <c r="E48" s="17">
        <f t="shared" si="0"/>
        <v>65919</v>
      </c>
      <c r="F48" s="17">
        <f t="shared" ca="1" si="1"/>
        <v>2014</v>
      </c>
      <c r="G48" s="17">
        <f t="shared" ca="1" si="2"/>
        <v>10904</v>
      </c>
      <c r="H48" s="3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156101000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5" customHeight="1" x14ac:dyDescent="0.3">
      <c r="A49" s="17" t="s">
        <v>635</v>
      </c>
      <c r="B49" s="17">
        <f t="shared" si="3"/>
        <v>3</v>
      </c>
      <c r="C49" s="17">
        <f t="shared" si="4"/>
        <v>48</v>
      </c>
      <c r="D49" s="17"/>
      <c r="E49" s="17">
        <f t="shared" si="0"/>
        <v>65919</v>
      </c>
      <c r="F49" s="17">
        <f t="shared" ca="1" si="1"/>
        <v>2014</v>
      </c>
      <c r="G49" s="17">
        <f t="shared" ca="1" si="2"/>
        <v>10905</v>
      </c>
      <c r="H49" s="3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-26003000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5" customHeight="1" x14ac:dyDescent="0.3">
      <c r="A50" s="17" t="s">
        <v>635</v>
      </c>
      <c r="B50" s="17">
        <f t="shared" si="3"/>
        <v>3</v>
      </c>
      <c r="C50" s="17">
        <f t="shared" si="4"/>
        <v>49</v>
      </c>
      <c r="D50" s="17"/>
      <c r="E50" s="17">
        <f t="shared" si="0"/>
        <v>65919</v>
      </c>
      <c r="F50" s="17">
        <f t="shared" ca="1" si="1"/>
        <v>2014</v>
      </c>
      <c r="G50" s="17">
        <f t="shared" ca="1" si="2"/>
        <v>10906</v>
      </c>
      <c r="H50" s="3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-168669000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5" customHeight="1" x14ac:dyDescent="0.3">
      <c r="A51" s="17" t="s">
        <v>635</v>
      </c>
      <c r="B51" s="17">
        <f t="shared" si="3"/>
        <v>3</v>
      </c>
      <c r="C51" s="17">
        <f t="shared" si="4"/>
        <v>50</v>
      </c>
      <c r="D51" s="17"/>
      <c r="E51" s="17">
        <f t="shared" si="0"/>
        <v>65919</v>
      </c>
      <c r="F51" s="17">
        <f t="shared" ca="1" si="1"/>
        <v>2014</v>
      </c>
      <c r="G51" s="17">
        <f t="shared" ca="1" si="2"/>
        <v>10907</v>
      </c>
      <c r="H51" s="3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5" customHeight="1" x14ac:dyDescent="0.3">
      <c r="A52" s="17" t="s">
        <v>635</v>
      </c>
      <c r="B52" s="17">
        <f t="shared" si="3"/>
        <v>3</v>
      </c>
      <c r="C52" s="17">
        <f t="shared" si="4"/>
        <v>51</v>
      </c>
      <c r="D52" s="17"/>
      <c r="E52" s="17">
        <f t="shared" si="0"/>
        <v>65919</v>
      </c>
      <c r="F52" s="17">
        <f t="shared" ca="1" si="1"/>
        <v>2014</v>
      </c>
      <c r="G52" s="17">
        <f t="shared" ca="1" si="2"/>
        <v>10860</v>
      </c>
      <c r="H52" s="3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1026644000</v>
      </c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5" customHeight="1" x14ac:dyDescent="0.3">
      <c r="A53" s="17" t="s">
        <v>635</v>
      </c>
      <c r="B53" s="17">
        <f t="shared" si="3"/>
        <v>3</v>
      </c>
      <c r="C53" s="17">
        <f t="shared" si="4"/>
        <v>52</v>
      </c>
      <c r="D53" s="17"/>
      <c r="E53" s="17">
        <f t="shared" si="0"/>
        <v>65919</v>
      </c>
      <c r="F53" s="17">
        <f t="shared" ca="1" si="1"/>
        <v>2014</v>
      </c>
      <c r="G53" s="17">
        <f t="shared" ca="1" si="2"/>
        <v>10909</v>
      </c>
      <c r="H53" s="3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18041000</v>
      </c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5" customHeight="1" x14ac:dyDescent="0.3">
      <c r="A54" s="17" t="s">
        <v>635</v>
      </c>
      <c r="B54" s="17">
        <f t="shared" si="3"/>
        <v>3</v>
      </c>
      <c r="C54" s="17">
        <f t="shared" si="4"/>
        <v>53</v>
      </c>
      <c r="D54" s="17"/>
      <c r="E54" s="17">
        <f t="shared" si="0"/>
        <v>65919</v>
      </c>
      <c r="F54" s="17">
        <f t="shared" ca="1" si="1"/>
        <v>2014</v>
      </c>
      <c r="G54" s="17">
        <f t="shared" ca="1" si="2"/>
        <v>10910</v>
      </c>
      <c r="H54" s="3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75249000</v>
      </c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5" customHeight="1" x14ac:dyDescent="0.3">
      <c r="A55" s="17" t="s">
        <v>635</v>
      </c>
      <c r="B55" s="17">
        <f t="shared" si="3"/>
        <v>3</v>
      </c>
      <c r="C55" s="17">
        <f t="shared" si="4"/>
        <v>54</v>
      </c>
      <c r="D55" s="17"/>
      <c r="E55" s="17">
        <f t="shared" si="0"/>
        <v>65919</v>
      </c>
      <c r="F55" s="17">
        <f t="shared" ca="1" si="1"/>
        <v>2014</v>
      </c>
      <c r="G55" s="17">
        <f t="shared" ca="1" si="2"/>
        <v>10911</v>
      </c>
      <c r="H55" s="3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5" customHeight="1" x14ac:dyDescent="0.3">
      <c r="A56" s="17" t="s">
        <v>635</v>
      </c>
      <c r="B56" s="17">
        <f t="shared" si="3"/>
        <v>3</v>
      </c>
      <c r="C56" s="17">
        <f t="shared" si="4"/>
        <v>55</v>
      </c>
      <c r="D56" s="17"/>
      <c r="E56" s="17">
        <f t="shared" si="0"/>
        <v>65919</v>
      </c>
      <c r="F56" s="17">
        <f t="shared" ca="1" si="1"/>
        <v>2014</v>
      </c>
      <c r="G56" s="17">
        <f t="shared" ca="1" si="2"/>
        <v>10912</v>
      </c>
      <c r="H56" s="3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5" customHeight="1" x14ac:dyDescent="0.3">
      <c r="A57" s="17" t="s">
        <v>635</v>
      </c>
      <c r="B57" s="17">
        <f t="shared" si="3"/>
        <v>3</v>
      </c>
      <c r="C57" s="17">
        <f t="shared" si="4"/>
        <v>56</v>
      </c>
      <c r="D57" s="17"/>
      <c r="E57" s="17">
        <f t="shared" si="0"/>
        <v>65919</v>
      </c>
      <c r="F57" s="17">
        <f t="shared" ca="1" si="1"/>
        <v>2014</v>
      </c>
      <c r="G57" s="17">
        <f t="shared" ca="1" si="2"/>
        <v>10913</v>
      </c>
      <c r="H57" s="3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5" customHeight="1" x14ac:dyDescent="0.3">
      <c r="A58" s="17" t="s">
        <v>635</v>
      </c>
      <c r="B58" s="17">
        <f t="shared" si="3"/>
        <v>3</v>
      </c>
      <c r="C58" s="17">
        <f t="shared" si="4"/>
        <v>57</v>
      </c>
      <c r="D58" s="17"/>
      <c r="E58" s="17">
        <f t="shared" si="0"/>
        <v>65919</v>
      </c>
      <c r="F58" s="17">
        <f t="shared" ca="1" si="1"/>
        <v>2014</v>
      </c>
      <c r="G58" s="17">
        <f t="shared" ca="1" si="2"/>
        <v>10914</v>
      </c>
      <c r="H58" s="3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6587000</v>
      </c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5" customHeight="1" x14ac:dyDescent="0.3">
      <c r="A59" s="17" t="s">
        <v>635</v>
      </c>
      <c r="B59" s="17">
        <f t="shared" si="3"/>
        <v>3</v>
      </c>
      <c r="C59" s="17">
        <f t="shared" si="4"/>
        <v>58</v>
      </c>
      <c r="D59" s="17"/>
      <c r="E59" s="17">
        <f t="shared" si="0"/>
        <v>65919</v>
      </c>
      <c r="F59" s="17">
        <f t="shared" ca="1" si="1"/>
        <v>2014</v>
      </c>
      <c r="G59" s="17">
        <f t="shared" ca="1" si="2"/>
        <v>10915</v>
      </c>
      <c r="H59" s="3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6555000</v>
      </c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5" customHeight="1" x14ac:dyDescent="0.3">
      <c r="A60" s="17" t="s">
        <v>635</v>
      </c>
      <c r="B60" s="17">
        <f t="shared" si="3"/>
        <v>3</v>
      </c>
      <c r="C60" s="17">
        <f t="shared" si="4"/>
        <v>59</v>
      </c>
      <c r="D60" s="17"/>
      <c r="E60" s="17">
        <f t="shared" si="0"/>
        <v>65919</v>
      </c>
      <c r="F60" s="17">
        <f t="shared" ca="1" si="1"/>
        <v>2014</v>
      </c>
      <c r="G60" s="17">
        <f t="shared" ca="1" si="2"/>
        <v>10916</v>
      </c>
      <c r="H60" s="3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176856000</v>
      </c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5" customHeight="1" x14ac:dyDescent="0.3">
      <c r="A61" s="17" t="s">
        <v>635</v>
      </c>
      <c r="B61" s="17">
        <f t="shared" si="3"/>
        <v>3</v>
      </c>
      <c r="C61" s="17">
        <f t="shared" si="4"/>
        <v>60</v>
      </c>
      <c r="D61" s="17"/>
      <c r="E61" s="17">
        <f t="shared" si="0"/>
        <v>65919</v>
      </c>
      <c r="F61" s="17">
        <f t="shared" ca="1" si="1"/>
        <v>2014</v>
      </c>
      <c r="G61" s="17">
        <f t="shared" ca="1" si="2"/>
        <v>10917</v>
      </c>
      <c r="H61" s="3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-47510000</v>
      </c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5" customHeight="1" x14ac:dyDescent="0.3">
      <c r="A62" s="17" t="s">
        <v>635</v>
      </c>
      <c r="B62" s="17">
        <f t="shared" si="3"/>
        <v>3</v>
      </c>
      <c r="C62" s="17">
        <f t="shared" si="4"/>
        <v>61</v>
      </c>
      <c r="D62" s="17"/>
      <c r="E62" s="17">
        <f t="shared" si="0"/>
        <v>65919</v>
      </c>
      <c r="F62" s="17">
        <f t="shared" ca="1" si="1"/>
        <v>2014</v>
      </c>
      <c r="G62" s="17">
        <f t="shared" ca="1" si="2"/>
        <v>10918</v>
      </c>
      <c r="H62" s="3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5" customHeight="1" x14ac:dyDescent="0.3">
      <c r="A63" s="17" t="s">
        <v>635</v>
      </c>
      <c r="B63" s="17">
        <f t="shared" si="3"/>
        <v>3</v>
      </c>
      <c r="C63" s="17">
        <f t="shared" si="4"/>
        <v>62</v>
      </c>
      <c r="D63" s="17"/>
      <c r="E63" s="17">
        <f t="shared" si="0"/>
        <v>65919</v>
      </c>
      <c r="F63" s="17">
        <f t="shared" ca="1" si="1"/>
        <v>2014</v>
      </c>
      <c r="G63" s="17">
        <f t="shared" ca="1" si="2"/>
        <v>10919</v>
      </c>
      <c r="H63" s="3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-47510000</v>
      </c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5" customHeight="1" x14ac:dyDescent="0.3">
      <c r="A64" s="17" t="s">
        <v>635</v>
      </c>
      <c r="B64" s="17">
        <f t="shared" si="3"/>
        <v>3</v>
      </c>
      <c r="C64" s="17">
        <f t="shared" si="4"/>
        <v>63</v>
      </c>
      <c r="D64" s="17"/>
      <c r="E64" s="17">
        <f t="shared" si="0"/>
        <v>65919</v>
      </c>
      <c r="F64" s="17">
        <f t="shared" ca="1" si="1"/>
        <v>2014</v>
      </c>
      <c r="G64" s="17">
        <f t="shared" ca="1" si="2"/>
        <v>10920</v>
      </c>
      <c r="H64" s="3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-84000</v>
      </c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5" customHeight="1" x14ac:dyDescent="0.3">
      <c r="A65" s="17" t="s">
        <v>635</v>
      </c>
      <c r="B65" s="17">
        <f t="shared" si="3"/>
        <v>3</v>
      </c>
      <c r="C65" s="17">
        <f t="shared" si="4"/>
        <v>64</v>
      </c>
      <c r="D65" s="17"/>
      <c r="E65" s="17">
        <f t="shared" si="0"/>
        <v>65919</v>
      </c>
      <c r="F65" s="17">
        <f t="shared" ca="1" si="1"/>
        <v>2014</v>
      </c>
      <c r="G65" s="17">
        <f t="shared" ca="1" si="2"/>
        <v>10921</v>
      </c>
      <c r="H65" s="3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509000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5" customHeight="1" x14ac:dyDescent="0.3">
      <c r="A66" s="17" t="s">
        <v>635</v>
      </c>
      <c r="B66" s="17">
        <f t="shared" si="3"/>
        <v>3</v>
      </c>
      <c r="C66" s="17">
        <f t="shared" si="4"/>
        <v>65</v>
      </c>
      <c r="D66" s="17"/>
      <c r="E66" s="17">
        <f t="shared" si="0"/>
        <v>65919</v>
      </c>
      <c r="F66" s="17">
        <f t="shared" ca="1" si="1"/>
        <v>2014</v>
      </c>
      <c r="G66" s="17">
        <f t="shared" ca="1" si="2"/>
        <v>10922</v>
      </c>
      <c r="H66" s="3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5" customHeight="1" x14ac:dyDescent="0.3">
      <c r="A67" s="17" t="s">
        <v>635</v>
      </c>
      <c r="B67" s="17">
        <f t="shared" si="3"/>
        <v>3</v>
      </c>
      <c r="C67" s="17">
        <f t="shared" si="4"/>
        <v>66</v>
      </c>
      <c r="D67" s="17"/>
      <c r="E67" s="17">
        <f t="shared" si="0"/>
        <v>65919</v>
      </c>
      <c r="F67" s="17">
        <f t="shared" ca="1" si="1"/>
        <v>2014</v>
      </c>
      <c r="G67" s="17">
        <f t="shared" ca="1" si="2"/>
        <v>10860</v>
      </c>
      <c r="H67" s="3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955514000</v>
      </c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5" customHeight="1" x14ac:dyDescent="0.3">
      <c r="A68" s="17" t="s">
        <v>635</v>
      </c>
      <c r="B68" s="17">
        <f t="shared" si="3"/>
        <v>3</v>
      </c>
      <c r="C68" s="17">
        <f t="shared" si="4"/>
        <v>67</v>
      </c>
      <c r="D68" s="17"/>
      <c r="E68" s="17">
        <f t="shared" ref="E68:E131" si="5">plan_id</f>
        <v>65919</v>
      </c>
      <c r="F68" s="17">
        <f t="shared" ca="1" si="1"/>
        <v>2014</v>
      </c>
      <c r="G68" s="17">
        <f t="shared" ref="G68:G131" ca="1" si="6">VLOOKUP(INDIRECT(CHAR(39)&amp;$A68&amp;CHAR(39)&amp;"!r2c"&amp;$C68,0),variables,2,0)</f>
        <v>10923</v>
      </c>
      <c r="H68" s="3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-26003000</v>
      </c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5" customHeight="1" x14ac:dyDescent="0.3">
      <c r="A69" s="17" t="s">
        <v>635</v>
      </c>
      <c r="B69" s="17">
        <v>4</v>
      </c>
      <c r="C69" s="17">
        <v>3</v>
      </c>
      <c r="D69" s="17"/>
      <c r="E69" s="17">
        <f t="shared" si="5"/>
        <v>65919</v>
      </c>
      <c r="F69" s="17">
        <f t="shared" ca="1" si="1"/>
        <v>2015</v>
      </c>
      <c r="G69" s="17">
        <f t="shared" ca="1" si="6"/>
        <v>10861</v>
      </c>
      <c r="H69" s="2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5" customHeight="1" x14ac:dyDescent="0.3">
      <c r="A70" s="17" t="s">
        <v>635</v>
      </c>
      <c r="B70" s="17">
        <f t="shared" ref="B70:B133" si="7">B69</f>
        <v>4</v>
      </c>
      <c r="C70" s="17">
        <f t="shared" ref="C70:C133" si="8">C69+1</f>
        <v>4</v>
      </c>
      <c r="D70" s="17"/>
      <c r="E70" s="17">
        <f t="shared" si="5"/>
        <v>65919</v>
      </c>
      <c r="F70" s="17">
        <f t="shared" ca="1" si="1"/>
        <v>2015</v>
      </c>
      <c r="G70" s="17">
        <f t="shared" ca="1" si="6"/>
        <v>10862</v>
      </c>
      <c r="H70" s="2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5" customHeight="1" x14ac:dyDescent="0.3">
      <c r="A71" s="17" t="s">
        <v>635</v>
      </c>
      <c r="B71" s="17">
        <f t="shared" si="7"/>
        <v>4</v>
      </c>
      <c r="C71" s="17">
        <f t="shared" si="8"/>
        <v>5</v>
      </c>
      <c r="D71" s="17"/>
      <c r="E71" s="17">
        <f t="shared" si="5"/>
        <v>65919</v>
      </c>
      <c r="F71" s="17">
        <f t="shared" ca="1" si="1"/>
        <v>2015</v>
      </c>
      <c r="G71" s="17">
        <f t="shared" ca="1" si="6"/>
        <v>10863</v>
      </c>
      <c r="H71" s="2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5" customHeight="1" x14ac:dyDescent="0.3">
      <c r="A72" s="17" t="s">
        <v>635</v>
      </c>
      <c r="B72" s="17">
        <f t="shared" si="7"/>
        <v>4</v>
      </c>
      <c r="C72" s="17">
        <f t="shared" si="8"/>
        <v>6</v>
      </c>
      <c r="D72" s="17"/>
      <c r="E72" s="17">
        <f t="shared" si="5"/>
        <v>65919</v>
      </c>
      <c r="F72" s="17">
        <f t="shared" ca="1" si="1"/>
        <v>2015</v>
      </c>
      <c r="G72" s="17">
        <f t="shared" ca="1" si="6"/>
        <v>10864</v>
      </c>
      <c r="H72" s="3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996</v>
      </c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5" customHeight="1" x14ac:dyDescent="0.3">
      <c r="A73" s="17" t="s">
        <v>635</v>
      </c>
      <c r="B73" s="17">
        <f t="shared" si="7"/>
        <v>4</v>
      </c>
      <c r="C73" s="17">
        <f t="shared" si="8"/>
        <v>7</v>
      </c>
      <c r="D73" s="17"/>
      <c r="E73" s="17">
        <f t="shared" si="5"/>
        <v>65919</v>
      </c>
      <c r="F73" s="17">
        <f t="shared" ca="1" si="1"/>
        <v>2015</v>
      </c>
      <c r="G73" s="17">
        <f t="shared" ca="1" si="6"/>
        <v>10865</v>
      </c>
      <c r="H73" s="3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139</v>
      </c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5" customHeight="1" x14ac:dyDescent="0.3">
      <c r="A74" s="17" t="s">
        <v>635</v>
      </c>
      <c r="B74" s="17">
        <f t="shared" si="7"/>
        <v>4</v>
      </c>
      <c r="C74" s="17">
        <f t="shared" si="8"/>
        <v>8</v>
      </c>
      <c r="D74" s="17"/>
      <c r="E74" s="17">
        <f t="shared" si="5"/>
        <v>65919</v>
      </c>
      <c r="F74" s="17">
        <f t="shared" ca="1" si="1"/>
        <v>2015</v>
      </c>
      <c r="G74" s="17">
        <f t="shared" ca="1" si="6"/>
        <v>10866</v>
      </c>
      <c r="H74" s="3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5" customHeight="1" x14ac:dyDescent="0.3">
      <c r="A75" s="17" t="s">
        <v>635</v>
      </c>
      <c r="B75" s="17">
        <f t="shared" si="7"/>
        <v>4</v>
      </c>
      <c r="C75" s="17">
        <f t="shared" si="8"/>
        <v>9</v>
      </c>
      <c r="D75" s="17"/>
      <c r="E75" s="17">
        <f t="shared" si="5"/>
        <v>65919</v>
      </c>
      <c r="F75" s="17">
        <f t="shared" ca="1" si="1"/>
        <v>2015</v>
      </c>
      <c r="G75" s="17">
        <f t="shared" ca="1" si="6"/>
        <v>10867</v>
      </c>
      <c r="H75" s="3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1044</v>
      </c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5" customHeight="1" x14ac:dyDescent="0.3">
      <c r="A76" s="17" t="s">
        <v>635</v>
      </c>
      <c r="B76" s="17">
        <f t="shared" si="7"/>
        <v>4</v>
      </c>
      <c r="C76" s="17">
        <f t="shared" si="8"/>
        <v>10</v>
      </c>
      <c r="D76" s="17"/>
      <c r="E76" s="17">
        <f t="shared" si="5"/>
        <v>65919</v>
      </c>
      <c r="F76" s="17">
        <f t="shared" ca="1" si="1"/>
        <v>2015</v>
      </c>
      <c r="G76" s="17">
        <f t="shared" ca="1" si="6"/>
        <v>10868</v>
      </c>
      <c r="H76" s="3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2179</v>
      </c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5" customHeight="1" x14ac:dyDescent="0.3">
      <c r="A77" s="17" t="s">
        <v>635</v>
      </c>
      <c r="B77" s="17">
        <f t="shared" si="7"/>
        <v>4</v>
      </c>
      <c r="C77" s="17">
        <f t="shared" si="8"/>
        <v>11</v>
      </c>
      <c r="D77" s="17"/>
      <c r="E77" s="17">
        <f t="shared" si="5"/>
        <v>65919</v>
      </c>
      <c r="F77" s="17">
        <f t="shared" ca="1" si="1"/>
        <v>2015</v>
      </c>
      <c r="G77" s="17">
        <f t="shared" ca="1" si="6"/>
        <v>10869</v>
      </c>
      <c r="H77" s="3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5" customHeight="1" x14ac:dyDescent="0.3">
      <c r="A78" s="17" t="s">
        <v>635</v>
      </c>
      <c r="B78" s="17">
        <f t="shared" si="7"/>
        <v>4</v>
      </c>
      <c r="C78" s="17">
        <f t="shared" si="8"/>
        <v>12</v>
      </c>
      <c r="D78" s="17"/>
      <c r="E78" s="17">
        <f t="shared" si="5"/>
        <v>65919</v>
      </c>
      <c r="F78" s="17">
        <f t="shared" ca="1" si="1"/>
        <v>2015</v>
      </c>
      <c r="G78" s="17">
        <f t="shared" ca="1" si="6"/>
        <v>10870</v>
      </c>
      <c r="H78" s="3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5" customHeight="1" x14ac:dyDescent="0.3">
      <c r="A79" s="17" t="s">
        <v>635</v>
      </c>
      <c r="B79" s="17">
        <f t="shared" si="7"/>
        <v>4</v>
      </c>
      <c r="C79" s="17">
        <f t="shared" si="8"/>
        <v>13</v>
      </c>
      <c r="D79" s="17"/>
      <c r="E79" s="17">
        <f t="shared" si="5"/>
        <v>65919</v>
      </c>
      <c r="F79" s="17">
        <f t="shared" ca="1" si="1"/>
        <v>2015</v>
      </c>
      <c r="G79" s="17">
        <f t="shared" ca="1" si="6"/>
        <v>10871</v>
      </c>
      <c r="H79" s="3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5" customHeight="1" x14ac:dyDescent="0.3">
      <c r="A80" s="17" t="s">
        <v>635</v>
      </c>
      <c r="B80" s="17">
        <f t="shared" si="7"/>
        <v>4</v>
      </c>
      <c r="C80" s="17">
        <f t="shared" si="8"/>
        <v>14</v>
      </c>
      <c r="D80" s="17"/>
      <c r="E80" s="17">
        <f t="shared" si="5"/>
        <v>65919</v>
      </c>
      <c r="F80" s="17">
        <f t="shared" ca="1" si="1"/>
        <v>2015</v>
      </c>
      <c r="G80" s="17">
        <f t="shared" ca="1" si="6"/>
        <v>10872</v>
      </c>
      <c r="H80" s="2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5" customHeight="1" x14ac:dyDescent="0.3">
      <c r="A81" s="17" t="s">
        <v>635</v>
      </c>
      <c r="B81" s="17">
        <f t="shared" si="7"/>
        <v>4</v>
      </c>
      <c r="C81" s="17">
        <f t="shared" si="8"/>
        <v>15</v>
      </c>
      <c r="D81" s="17"/>
      <c r="E81" s="17">
        <f t="shared" si="5"/>
        <v>65919</v>
      </c>
      <c r="F81" s="17">
        <f t="shared" ca="1" si="1"/>
        <v>2015</v>
      </c>
      <c r="G81" s="17">
        <f t="shared" ca="1" si="6"/>
        <v>10873</v>
      </c>
      <c r="H81" s="3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5" customHeight="1" x14ac:dyDescent="0.3">
      <c r="A82" s="17" t="s">
        <v>635</v>
      </c>
      <c r="B82" s="17">
        <f t="shared" si="7"/>
        <v>4</v>
      </c>
      <c r="C82" s="17">
        <f t="shared" si="8"/>
        <v>16</v>
      </c>
      <c r="D82" s="17"/>
      <c r="E82" s="17">
        <f t="shared" si="5"/>
        <v>65919</v>
      </c>
      <c r="F82" s="17">
        <f t="shared" ca="1" si="1"/>
        <v>2015</v>
      </c>
      <c r="G82" s="17">
        <f t="shared" ca="1" si="6"/>
        <v>10874</v>
      </c>
      <c r="H82" s="3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5" customHeight="1" x14ac:dyDescent="0.3">
      <c r="A83" s="17" t="s">
        <v>635</v>
      </c>
      <c r="B83" s="17">
        <f t="shared" si="7"/>
        <v>4</v>
      </c>
      <c r="C83" s="17">
        <f t="shared" si="8"/>
        <v>17</v>
      </c>
      <c r="D83" s="17"/>
      <c r="E83" s="17">
        <f t="shared" si="5"/>
        <v>65919</v>
      </c>
      <c r="F83" s="17">
        <f t="shared" ca="1" si="1"/>
        <v>2015</v>
      </c>
      <c r="G83" s="17">
        <f t="shared" ca="1" si="6"/>
        <v>10875</v>
      </c>
      <c r="H83" s="3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1130177000</v>
      </c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5" customHeight="1" x14ac:dyDescent="0.3">
      <c r="A84" s="17" t="s">
        <v>635</v>
      </c>
      <c r="B84" s="17">
        <f t="shared" si="7"/>
        <v>4</v>
      </c>
      <c r="C84" s="17">
        <f t="shared" si="8"/>
        <v>18</v>
      </c>
      <c r="D84" s="17"/>
      <c r="E84" s="17">
        <f t="shared" si="5"/>
        <v>65919</v>
      </c>
      <c r="F84" s="17">
        <f t="shared" ca="1" si="1"/>
        <v>2015</v>
      </c>
      <c r="G84" s="17">
        <f t="shared" ca="1" si="6"/>
        <v>10876</v>
      </c>
      <c r="H84" s="3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1110626000</v>
      </c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5" customHeight="1" x14ac:dyDescent="0.3">
      <c r="A85" s="17" t="s">
        <v>635</v>
      </c>
      <c r="B85" s="17">
        <f t="shared" si="7"/>
        <v>4</v>
      </c>
      <c r="C85" s="17">
        <f t="shared" si="8"/>
        <v>19</v>
      </c>
      <c r="D85" s="17"/>
      <c r="E85" s="17">
        <f t="shared" si="5"/>
        <v>65919</v>
      </c>
      <c r="F85" s="17">
        <f t="shared" ca="1" si="1"/>
        <v>2015</v>
      </c>
      <c r="G85" s="17">
        <f t="shared" ca="1" si="6"/>
        <v>10877</v>
      </c>
      <c r="H85" s="3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19551000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5" customHeight="1" x14ac:dyDescent="0.3">
      <c r="A86" s="17" t="s">
        <v>635</v>
      </c>
      <c r="B86" s="17">
        <f t="shared" si="7"/>
        <v>4</v>
      </c>
      <c r="C86" s="17">
        <f t="shared" si="8"/>
        <v>20</v>
      </c>
      <c r="D86" s="17"/>
      <c r="E86" s="17">
        <f t="shared" si="5"/>
        <v>65919</v>
      </c>
      <c r="F86" s="17">
        <f t="shared" ca="1" si="1"/>
        <v>2015</v>
      </c>
      <c r="G86" s="17">
        <f t="shared" ca="1" si="6"/>
        <v>10878</v>
      </c>
      <c r="H86" s="3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0.98270000000000002</v>
      </c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5" customHeight="1" x14ac:dyDescent="0.3">
      <c r="A87" s="17" t="s">
        <v>635</v>
      </c>
      <c r="B87" s="17">
        <f t="shared" si="7"/>
        <v>4</v>
      </c>
      <c r="C87" s="17">
        <f t="shared" si="8"/>
        <v>21</v>
      </c>
      <c r="D87" s="17"/>
      <c r="E87" s="17">
        <f t="shared" si="5"/>
        <v>65919</v>
      </c>
      <c r="F87" s="17">
        <f t="shared" ca="1" si="1"/>
        <v>2015</v>
      </c>
      <c r="G87" s="17">
        <f t="shared" ca="1" si="6"/>
        <v>10879</v>
      </c>
      <c r="H87" s="3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82000000</v>
      </c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5" customHeight="1" x14ac:dyDescent="0.3">
      <c r="A88" s="17" t="s">
        <v>635</v>
      </c>
      <c r="B88" s="17">
        <f t="shared" si="7"/>
        <v>4</v>
      </c>
      <c r="C88" s="17">
        <f t="shared" si="8"/>
        <v>22</v>
      </c>
      <c r="D88" s="17"/>
      <c r="E88" s="17">
        <f t="shared" si="5"/>
        <v>65919</v>
      </c>
      <c r="F88" s="17">
        <f t="shared" ca="1" si="1"/>
        <v>2015</v>
      </c>
      <c r="G88" s="17">
        <f t="shared" ca="1" si="6"/>
        <v>10880</v>
      </c>
      <c r="H88" s="3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5" customHeight="1" x14ac:dyDescent="0.3">
      <c r="A89" s="17" t="s">
        <v>635</v>
      </c>
      <c r="B89" s="17">
        <f t="shared" si="7"/>
        <v>4</v>
      </c>
      <c r="C89" s="17">
        <f t="shared" si="8"/>
        <v>23</v>
      </c>
      <c r="D89" s="17"/>
      <c r="E89" s="17">
        <f t="shared" si="5"/>
        <v>65919</v>
      </c>
      <c r="F89" s="17">
        <f t="shared" ca="1" si="1"/>
        <v>2015</v>
      </c>
      <c r="G89" s="17">
        <f t="shared" ca="1" si="6"/>
        <v>10881</v>
      </c>
      <c r="H89" s="3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5" customHeight="1" x14ac:dyDescent="0.3">
      <c r="A90" s="17" t="s">
        <v>635</v>
      </c>
      <c r="B90" s="17">
        <f t="shared" si="7"/>
        <v>4</v>
      </c>
      <c r="C90" s="17">
        <f t="shared" si="8"/>
        <v>24</v>
      </c>
      <c r="D90" s="17"/>
      <c r="E90" s="17">
        <f t="shared" si="5"/>
        <v>65919</v>
      </c>
      <c r="F90" s="17">
        <f t="shared" ca="1" si="1"/>
        <v>2015</v>
      </c>
      <c r="G90" s="17">
        <f t="shared" ca="1" si="6"/>
        <v>10882</v>
      </c>
      <c r="H90" s="3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5" customHeight="1" x14ac:dyDescent="0.3">
      <c r="A91" s="17" t="s">
        <v>635</v>
      </c>
      <c r="B91" s="17">
        <f t="shared" si="7"/>
        <v>4</v>
      </c>
      <c r="C91" s="17">
        <f t="shared" si="8"/>
        <v>25</v>
      </c>
      <c r="D91" s="17"/>
      <c r="E91" s="17">
        <f t="shared" si="5"/>
        <v>65919</v>
      </c>
      <c r="F91" s="17">
        <f t="shared" ca="1" si="1"/>
        <v>2015</v>
      </c>
      <c r="G91" s="17">
        <f t="shared" ca="1" si="6"/>
        <v>10883</v>
      </c>
      <c r="H91" s="3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8.3048780487804882E-2</v>
      </c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5" customHeight="1" x14ac:dyDescent="0.3">
      <c r="A92" s="17" t="s">
        <v>635</v>
      </c>
      <c r="B92" s="17">
        <f t="shared" si="7"/>
        <v>4</v>
      </c>
      <c r="C92" s="17">
        <f t="shared" si="8"/>
        <v>26</v>
      </c>
      <c r="D92" s="17"/>
      <c r="E92" s="17">
        <f t="shared" si="5"/>
        <v>65919</v>
      </c>
      <c r="F92" s="17">
        <f t="shared" ca="1" si="1"/>
        <v>2015</v>
      </c>
      <c r="G92" s="17">
        <f t="shared" ca="1" si="6"/>
        <v>10884</v>
      </c>
      <c r="H92" s="3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8.1451219512195125E-2</v>
      </c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5" customHeight="1" x14ac:dyDescent="0.3">
      <c r="A93" s="17" t="s">
        <v>635</v>
      </c>
      <c r="B93" s="17">
        <f t="shared" si="7"/>
        <v>4</v>
      </c>
      <c r="C93" s="17">
        <f t="shared" si="8"/>
        <v>27</v>
      </c>
      <c r="D93" s="17"/>
      <c r="E93" s="17">
        <f t="shared" si="5"/>
        <v>65919</v>
      </c>
      <c r="F93" s="17">
        <f t="shared" ca="1" si="1"/>
        <v>2015</v>
      </c>
      <c r="G93" s="17">
        <f t="shared" ca="1" si="6"/>
        <v>10885</v>
      </c>
      <c r="H93" s="3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6810000</v>
      </c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5" customHeight="1" x14ac:dyDescent="0.3">
      <c r="A94" s="17" t="s">
        <v>635</v>
      </c>
      <c r="B94" s="17">
        <f t="shared" si="7"/>
        <v>4</v>
      </c>
      <c r="C94" s="17">
        <f t="shared" si="8"/>
        <v>28</v>
      </c>
      <c r="D94" s="17"/>
      <c r="E94" s="17">
        <f t="shared" si="5"/>
        <v>65919</v>
      </c>
      <c r="F94" s="17">
        <f t="shared" ca="1" si="1"/>
        <v>2015</v>
      </c>
      <c r="G94" s="17">
        <f t="shared" ca="1" si="6"/>
        <v>10886</v>
      </c>
      <c r="H94" s="3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6679000</v>
      </c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5" customHeight="1" x14ac:dyDescent="0.3">
      <c r="A95" s="17" t="s">
        <v>635</v>
      </c>
      <c r="B95" s="17">
        <f t="shared" si="7"/>
        <v>4</v>
      </c>
      <c r="C95" s="17">
        <f t="shared" si="8"/>
        <v>29</v>
      </c>
      <c r="D95" s="17"/>
      <c r="E95" s="17">
        <f t="shared" si="5"/>
        <v>65919</v>
      </c>
      <c r="F95" s="17">
        <f t="shared" ca="1" si="1"/>
        <v>2015</v>
      </c>
      <c r="G95" s="17">
        <f t="shared" ca="1" si="6"/>
        <v>10887</v>
      </c>
      <c r="H95" s="3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131000</v>
      </c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5" customHeight="1" x14ac:dyDescent="0.3">
      <c r="A96" s="17" t="s">
        <v>635</v>
      </c>
      <c r="B96" s="17">
        <f t="shared" si="7"/>
        <v>4</v>
      </c>
      <c r="C96" s="17">
        <f t="shared" si="8"/>
        <v>30</v>
      </c>
      <c r="D96" s="17"/>
      <c r="E96" s="17">
        <f t="shared" si="5"/>
        <v>65919</v>
      </c>
      <c r="F96" s="17">
        <f t="shared" ca="1" si="1"/>
        <v>2015</v>
      </c>
      <c r="G96" s="17">
        <f t="shared" ca="1" si="6"/>
        <v>10883</v>
      </c>
      <c r="H96" s="3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0.98076358296622612</v>
      </c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5" customHeight="1" x14ac:dyDescent="0.3">
      <c r="A97" s="17" t="s">
        <v>635</v>
      </c>
      <c r="B97" s="17">
        <f t="shared" si="7"/>
        <v>4</v>
      </c>
      <c r="C97" s="17">
        <f t="shared" si="8"/>
        <v>31</v>
      </c>
      <c r="D97" s="17"/>
      <c r="E97" s="17">
        <f t="shared" si="5"/>
        <v>65919</v>
      </c>
      <c r="F97" s="17">
        <f t="shared" ca="1" si="1"/>
        <v>2015</v>
      </c>
      <c r="G97" s="17">
        <f t="shared" ca="1" si="6"/>
        <v>10889</v>
      </c>
      <c r="H97" s="3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16633000</v>
      </c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5" customHeight="1" x14ac:dyDescent="0.3">
      <c r="A98" s="17" t="s">
        <v>635</v>
      </c>
      <c r="B98" s="17">
        <f t="shared" si="7"/>
        <v>4</v>
      </c>
      <c r="C98" s="17">
        <f t="shared" si="8"/>
        <v>32</v>
      </c>
      <c r="D98" s="17"/>
      <c r="E98" s="17">
        <f t="shared" si="5"/>
        <v>65919</v>
      </c>
      <c r="F98" s="17">
        <f t="shared" ca="1" si="1"/>
        <v>2015</v>
      </c>
      <c r="G98" s="17">
        <f t="shared" ca="1" si="6"/>
        <v>10890</v>
      </c>
      <c r="H98" s="3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80037000</v>
      </c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5" customHeight="1" x14ac:dyDescent="0.3">
      <c r="A99" s="17" t="s">
        <v>635</v>
      </c>
      <c r="B99" s="17">
        <f t="shared" si="7"/>
        <v>4</v>
      </c>
      <c r="C99" s="17">
        <f t="shared" si="8"/>
        <v>33</v>
      </c>
      <c r="D99" s="17"/>
      <c r="E99" s="17">
        <f t="shared" si="5"/>
        <v>65919</v>
      </c>
      <c r="F99" s="17">
        <f t="shared" ca="1" si="1"/>
        <v>2015</v>
      </c>
      <c r="G99" s="17">
        <f t="shared" ca="1" si="6"/>
        <v>10891</v>
      </c>
      <c r="H99" s="3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2258000</v>
      </c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5" customHeight="1" x14ac:dyDescent="0.3">
      <c r="A100" s="17" t="s">
        <v>635</v>
      </c>
      <c r="B100" s="17">
        <f t="shared" si="7"/>
        <v>4</v>
      </c>
      <c r="C100" s="17">
        <f t="shared" si="8"/>
        <v>34</v>
      </c>
      <c r="D100" s="17"/>
      <c r="E100" s="17">
        <f t="shared" si="5"/>
        <v>65919</v>
      </c>
      <c r="F100" s="17">
        <f t="shared" ca="1" si="1"/>
        <v>2015</v>
      </c>
      <c r="G100" s="17">
        <f t="shared" ca="1" si="6"/>
        <v>10892</v>
      </c>
      <c r="H100" s="3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5" customHeight="1" x14ac:dyDescent="0.3">
      <c r="A101" s="17" t="s">
        <v>635</v>
      </c>
      <c r="B101" s="17">
        <f t="shared" si="7"/>
        <v>4</v>
      </c>
      <c r="C101" s="17">
        <f t="shared" si="8"/>
        <v>35</v>
      </c>
      <c r="D101" s="17"/>
      <c r="E101" s="17">
        <f t="shared" si="5"/>
        <v>65919</v>
      </c>
      <c r="F101" s="17">
        <f t="shared" ca="1" si="1"/>
        <v>2015</v>
      </c>
      <c r="G101" s="17">
        <f t="shared" ca="1" si="6"/>
        <v>10893</v>
      </c>
      <c r="H101" s="3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5" customHeight="1" x14ac:dyDescent="0.3">
      <c r="A102" s="17" t="s">
        <v>635</v>
      </c>
      <c r="B102" s="17">
        <f t="shared" si="7"/>
        <v>4</v>
      </c>
      <c r="C102" s="17">
        <f t="shared" si="8"/>
        <v>36</v>
      </c>
      <c r="D102" s="17"/>
      <c r="E102" s="17">
        <f t="shared" si="5"/>
        <v>65919</v>
      </c>
      <c r="F102" s="17">
        <f t="shared" ca="1" si="1"/>
        <v>2015</v>
      </c>
      <c r="G102" s="17">
        <f t="shared" ca="1" si="6"/>
        <v>10894</v>
      </c>
      <c r="H102" s="3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-6323000</v>
      </c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5" customHeight="1" x14ac:dyDescent="0.3">
      <c r="A103" s="17" t="s">
        <v>635</v>
      </c>
      <c r="B103" s="17">
        <f t="shared" si="7"/>
        <v>4</v>
      </c>
      <c r="C103" s="17">
        <f t="shared" si="8"/>
        <v>37</v>
      </c>
      <c r="D103" s="17"/>
      <c r="E103" s="17">
        <f t="shared" si="5"/>
        <v>65919</v>
      </c>
      <c r="F103" s="17">
        <f t="shared" ca="1" si="1"/>
        <v>2015</v>
      </c>
      <c r="G103" s="17">
        <f t="shared" ca="1" si="6"/>
        <v>10895</v>
      </c>
      <c r="H103" s="3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5" customHeight="1" x14ac:dyDescent="0.3">
      <c r="A104" s="17" t="s">
        <v>635</v>
      </c>
      <c r="B104" s="17">
        <f t="shared" si="7"/>
        <v>4</v>
      </c>
      <c r="C104" s="17">
        <f t="shared" si="8"/>
        <v>38</v>
      </c>
      <c r="D104" s="17"/>
      <c r="E104" s="17">
        <f t="shared" si="5"/>
        <v>65919</v>
      </c>
      <c r="F104" s="17">
        <f t="shared" ca="1" si="1"/>
        <v>2015</v>
      </c>
      <c r="G104" s="17">
        <f t="shared" ca="1" si="6"/>
        <v>10896</v>
      </c>
      <c r="H104" s="3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5" customHeight="1" x14ac:dyDescent="0.3">
      <c r="A105" s="17" t="s">
        <v>635</v>
      </c>
      <c r="B105" s="17">
        <f t="shared" si="7"/>
        <v>4</v>
      </c>
      <c r="C105" s="17">
        <f t="shared" si="8"/>
        <v>39</v>
      </c>
      <c r="D105" s="17"/>
      <c r="E105" s="17">
        <f t="shared" si="5"/>
        <v>65919</v>
      </c>
      <c r="F105" s="17">
        <f t="shared" ca="1" si="1"/>
        <v>2015</v>
      </c>
      <c r="G105" s="17">
        <f t="shared" ca="1" si="6"/>
        <v>10897</v>
      </c>
      <c r="H105" s="3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67000</v>
      </c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5" customHeight="1" x14ac:dyDescent="0.3">
      <c r="A106" s="17" t="s">
        <v>635</v>
      </c>
      <c r="B106" s="17">
        <f t="shared" si="7"/>
        <v>4</v>
      </c>
      <c r="C106" s="17">
        <f t="shared" si="8"/>
        <v>40</v>
      </c>
      <c r="D106" s="17"/>
      <c r="E106" s="17">
        <f t="shared" si="5"/>
        <v>65919</v>
      </c>
      <c r="F106" s="17">
        <f t="shared" ca="1" si="1"/>
        <v>2015</v>
      </c>
      <c r="G106" s="17">
        <f t="shared" ca="1" si="6"/>
        <v>10898</v>
      </c>
      <c r="H106" s="3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5" customHeight="1" x14ac:dyDescent="0.3">
      <c r="A107" s="17" t="s">
        <v>635</v>
      </c>
      <c r="B107" s="17">
        <f t="shared" si="7"/>
        <v>4</v>
      </c>
      <c r="C107" s="17">
        <f t="shared" si="8"/>
        <v>41</v>
      </c>
      <c r="D107" s="17"/>
      <c r="E107" s="17">
        <f t="shared" si="5"/>
        <v>65919</v>
      </c>
      <c r="F107" s="17">
        <f t="shared" ca="1" si="1"/>
        <v>2015</v>
      </c>
      <c r="G107" s="17">
        <f t="shared" ca="1" si="6"/>
        <v>10899</v>
      </c>
      <c r="H107" s="3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5" customHeight="1" x14ac:dyDescent="0.3">
      <c r="A108" s="17" t="s">
        <v>635</v>
      </c>
      <c r="B108" s="17">
        <f t="shared" si="7"/>
        <v>4</v>
      </c>
      <c r="C108" s="17">
        <f t="shared" si="8"/>
        <v>42</v>
      </c>
      <c r="D108" s="17"/>
      <c r="E108" s="17">
        <f t="shared" si="5"/>
        <v>65919</v>
      </c>
      <c r="F108" s="17">
        <f t="shared" ca="1" si="1"/>
        <v>2015</v>
      </c>
      <c r="G108" s="17">
        <f t="shared" ca="1" si="6"/>
        <v>11006</v>
      </c>
      <c r="H108" s="3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5" customHeight="1" x14ac:dyDescent="0.3">
      <c r="A109" s="17" t="s">
        <v>635</v>
      </c>
      <c r="B109" s="17">
        <f t="shared" si="7"/>
        <v>4</v>
      </c>
      <c r="C109" s="17">
        <f t="shared" si="8"/>
        <v>43</v>
      </c>
      <c r="D109" s="17"/>
      <c r="E109" s="17">
        <f t="shared" si="5"/>
        <v>65919</v>
      </c>
      <c r="F109" s="17">
        <f t="shared" ca="1" si="1"/>
        <v>2015</v>
      </c>
      <c r="G109" s="17">
        <f t="shared" ca="1" si="6"/>
        <v>10900</v>
      </c>
      <c r="H109" s="3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5" customHeight="1" x14ac:dyDescent="0.3">
      <c r="A110" s="17" t="s">
        <v>635</v>
      </c>
      <c r="B110" s="17">
        <f t="shared" si="7"/>
        <v>4</v>
      </c>
      <c r="C110" s="17">
        <f t="shared" si="8"/>
        <v>44</v>
      </c>
      <c r="D110" s="17"/>
      <c r="E110" s="17">
        <f t="shared" si="5"/>
        <v>65919</v>
      </c>
      <c r="F110" s="17">
        <f t="shared" ca="1" si="1"/>
        <v>2015</v>
      </c>
      <c r="G110" s="17">
        <f t="shared" ca="1" si="6"/>
        <v>10901</v>
      </c>
      <c r="H110" s="3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5" customHeight="1" x14ac:dyDescent="0.3">
      <c r="A111" s="17" t="s">
        <v>635</v>
      </c>
      <c r="B111" s="17">
        <f t="shared" si="7"/>
        <v>4</v>
      </c>
      <c r="C111" s="17">
        <f t="shared" si="8"/>
        <v>45</v>
      </c>
      <c r="D111" s="17"/>
      <c r="E111" s="17">
        <f t="shared" si="5"/>
        <v>65919</v>
      </c>
      <c r="F111" s="17">
        <f t="shared" ca="1" si="1"/>
        <v>2015</v>
      </c>
      <c r="G111" s="17">
        <f t="shared" ca="1" si="6"/>
        <v>10902</v>
      </c>
      <c r="H111" s="3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5" customHeight="1" x14ac:dyDescent="0.3">
      <c r="A112" s="17" t="s">
        <v>635</v>
      </c>
      <c r="B112" s="17">
        <f t="shared" si="7"/>
        <v>4</v>
      </c>
      <c r="C112" s="17">
        <f t="shared" si="8"/>
        <v>46</v>
      </c>
      <c r="D112" s="17"/>
      <c r="E112" s="17">
        <f t="shared" si="5"/>
        <v>65919</v>
      </c>
      <c r="F112" s="17">
        <f t="shared" ca="1" si="1"/>
        <v>2015</v>
      </c>
      <c r="G112" s="17">
        <f t="shared" ca="1" si="6"/>
        <v>10903</v>
      </c>
      <c r="H112" s="3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5" customHeight="1" x14ac:dyDescent="0.3">
      <c r="A113" s="17" t="s">
        <v>635</v>
      </c>
      <c r="B113" s="17">
        <f t="shared" si="7"/>
        <v>4</v>
      </c>
      <c r="C113" s="17">
        <f t="shared" si="8"/>
        <v>47</v>
      </c>
      <c r="D113" s="17"/>
      <c r="E113" s="17">
        <f t="shared" si="5"/>
        <v>65919</v>
      </c>
      <c r="F113" s="17">
        <f t="shared" ca="1" si="1"/>
        <v>2015</v>
      </c>
      <c r="G113" s="17">
        <f t="shared" ca="1" si="6"/>
        <v>10904</v>
      </c>
      <c r="H113" s="3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208202000</v>
      </c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5" customHeight="1" x14ac:dyDescent="0.3">
      <c r="A114" s="17" t="s">
        <v>635</v>
      </c>
      <c r="B114" s="17">
        <f t="shared" si="7"/>
        <v>4</v>
      </c>
      <c r="C114" s="17">
        <f t="shared" si="8"/>
        <v>48</v>
      </c>
      <c r="D114" s="17"/>
      <c r="E114" s="17">
        <f t="shared" si="5"/>
        <v>65919</v>
      </c>
      <c r="F114" s="17">
        <f t="shared" ca="1" si="1"/>
        <v>2015</v>
      </c>
      <c r="G114" s="17">
        <f t="shared" ca="1" si="6"/>
        <v>10905</v>
      </c>
      <c r="H114" s="3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19551000</v>
      </c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5" customHeight="1" x14ac:dyDescent="0.3">
      <c r="A115" s="17" t="s">
        <v>635</v>
      </c>
      <c r="B115" s="17">
        <f t="shared" si="7"/>
        <v>4</v>
      </c>
      <c r="C115" s="17">
        <f t="shared" si="8"/>
        <v>49</v>
      </c>
      <c r="D115" s="17"/>
      <c r="E115" s="17">
        <f t="shared" si="5"/>
        <v>65919</v>
      </c>
      <c r="F115" s="17">
        <f t="shared" ca="1" si="1"/>
        <v>2015</v>
      </c>
      <c r="G115" s="17">
        <f t="shared" ca="1" si="6"/>
        <v>10906</v>
      </c>
      <c r="H115" s="3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-128553000</v>
      </c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5" customHeight="1" x14ac:dyDescent="0.3">
      <c r="A116" s="17" t="s">
        <v>635</v>
      </c>
      <c r="B116" s="17">
        <f t="shared" si="7"/>
        <v>4</v>
      </c>
      <c r="C116" s="17">
        <f t="shared" si="8"/>
        <v>50</v>
      </c>
      <c r="D116" s="17"/>
      <c r="E116" s="17">
        <f t="shared" si="5"/>
        <v>65919</v>
      </c>
      <c r="F116" s="17">
        <f t="shared" ca="1" si="1"/>
        <v>2015</v>
      </c>
      <c r="G116" s="17">
        <f t="shared" ca="1" si="6"/>
        <v>10907</v>
      </c>
      <c r="H116" s="3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5" customHeight="1" x14ac:dyDescent="0.3">
      <c r="A117" s="17" t="s">
        <v>635</v>
      </c>
      <c r="B117" s="17">
        <f t="shared" si="7"/>
        <v>4</v>
      </c>
      <c r="C117" s="17">
        <f t="shared" si="8"/>
        <v>51</v>
      </c>
      <c r="D117" s="17"/>
      <c r="E117" s="17">
        <f t="shared" si="5"/>
        <v>65919</v>
      </c>
      <c r="F117" s="17">
        <f t="shared" ca="1" si="1"/>
        <v>2015</v>
      </c>
      <c r="G117" s="17">
        <f t="shared" ca="1" si="6"/>
        <v>10860</v>
      </c>
      <c r="H117" s="3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1072424000</v>
      </c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5" customHeight="1" x14ac:dyDescent="0.3">
      <c r="A118" s="17" t="s">
        <v>635</v>
      </c>
      <c r="B118" s="17">
        <f t="shared" si="7"/>
        <v>4</v>
      </c>
      <c r="C118" s="17">
        <f t="shared" si="8"/>
        <v>52</v>
      </c>
      <c r="D118" s="17"/>
      <c r="E118" s="17">
        <f t="shared" si="5"/>
        <v>65919</v>
      </c>
      <c r="F118" s="17">
        <f t="shared" ca="1" si="1"/>
        <v>2015</v>
      </c>
      <c r="G118" s="17">
        <f t="shared" ca="1" si="6"/>
        <v>10909</v>
      </c>
      <c r="H118" s="3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16633000</v>
      </c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5" customHeight="1" x14ac:dyDescent="0.3">
      <c r="A119" s="17" t="s">
        <v>635</v>
      </c>
      <c r="B119" s="17">
        <f t="shared" si="7"/>
        <v>4</v>
      </c>
      <c r="C119" s="17">
        <f t="shared" si="8"/>
        <v>53</v>
      </c>
      <c r="D119" s="17"/>
      <c r="E119" s="17">
        <f t="shared" si="5"/>
        <v>65919</v>
      </c>
      <c r="F119" s="17">
        <f t="shared" ca="1" si="1"/>
        <v>2015</v>
      </c>
      <c r="G119" s="17">
        <f t="shared" ca="1" si="6"/>
        <v>10910</v>
      </c>
      <c r="H119" s="3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80037000</v>
      </c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5" customHeight="1" x14ac:dyDescent="0.3">
      <c r="A120" s="17" t="s">
        <v>635</v>
      </c>
      <c r="B120" s="17">
        <f t="shared" si="7"/>
        <v>4</v>
      </c>
      <c r="C120" s="17">
        <f t="shared" si="8"/>
        <v>54</v>
      </c>
      <c r="D120" s="17"/>
      <c r="E120" s="17">
        <f t="shared" si="5"/>
        <v>65919</v>
      </c>
      <c r="F120" s="17">
        <f t="shared" ca="1" si="1"/>
        <v>2015</v>
      </c>
      <c r="G120" s="17">
        <f t="shared" ca="1" si="6"/>
        <v>10911</v>
      </c>
      <c r="H120" s="3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2258000</v>
      </c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5" customHeight="1" x14ac:dyDescent="0.3">
      <c r="A121" s="17" t="s">
        <v>635</v>
      </c>
      <c r="B121" s="17">
        <f t="shared" si="7"/>
        <v>4</v>
      </c>
      <c r="C121" s="17">
        <f t="shared" si="8"/>
        <v>55</v>
      </c>
      <c r="D121" s="17"/>
      <c r="E121" s="17">
        <f t="shared" si="5"/>
        <v>65919</v>
      </c>
      <c r="F121" s="17">
        <f t="shared" ca="1" si="1"/>
        <v>2015</v>
      </c>
      <c r="G121" s="17">
        <f t="shared" ca="1" si="6"/>
        <v>10912</v>
      </c>
      <c r="H121" s="3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8883000</v>
      </c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5" customHeight="1" x14ac:dyDescent="0.3">
      <c r="A122" s="17" t="s">
        <v>635</v>
      </c>
      <c r="B122" s="17">
        <f t="shared" si="7"/>
        <v>4</v>
      </c>
      <c r="C122" s="17">
        <f t="shared" si="8"/>
        <v>56</v>
      </c>
      <c r="D122" s="17"/>
      <c r="E122" s="17">
        <f t="shared" si="5"/>
        <v>65919</v>
      </c>
      <c r="F122" s="17">
        <f t="shared" ca="1" si="1"/>
        <v>2015</v>
      </c>
      <c r="G122" s="17">
        <f t="shared" ca="1" si="6"/>
        <v>10913</v>
      </c>
      <c r="H122" s="3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17000</v>
      </c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5" customHeight="1" x14ac:dyDescent="0.3">
      <c r="A123" s="17" t="s">
        <v>635</v>
      </c>
      <c r="B123" s="17">
        <f t="shared" si="7"/>
        <v>4</v>
      </c>
      <c r="C123" s="17">
        <f t="shared" si="8"/>
        <v>57</v>
      </c>
      <c r="D123" s="17"/>
      <c r="E123" s="17">
        <f t="shared" si="5"/>
        <v>65919</v>
      </c>
      <c r="F123" s="17">
        <f t="shared" ca="1" si="1"/>
        <v>2015</v>
      </c>
      <c r="G123" s="17">
        <f t="shared" ca="1" si="6"/>
        <v>10914</v>
      </c>
      <c r="H123" s="3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6679000</v>
      </c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5" customHeight="1" x14ac:dyDescent="0.3">
      <c r="A124" s="17" t="s">
        <v>635</v>
      </c>
      <c r="B124" s="17">
        <f t="shared" si="7"/>
        <v>4</v>
      </c>
      <c r="C124" s="17">
        <f t="shared" si="8"/>
        <v>58</v>
      </c>
      <c r="D124" s="17"/>
      <c r="E124" s="17">
        <f t="shared" si="5"/>
        <v>65919</v>
      </c>
      <c r="F124" s="17">
        <f t="shared" ca="1" si="1"/>
        <v>2015</v>
      </c>
      <c r="G124" s="17">
        <f t="shared" ca="1" si="6"/>
        <v>10915</v>
      </c>
      <c r="H124" s="3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6323000</v>
      </c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5" customHeight="1" x14ac:dyDescent="0.3">
      <c r="A125" s="17" t="s">
        <v>635</v>
      </c>
      <c r="B125" s="17">
        <f t="shared" si="7"/>
        <v>4</v>
      </c>
      <c r="C125" s="17">
        <f t="shared" si="8"/>
        <v>59</v>
      </c>
      <c r="D125" s="17"/>
      <c r="E125" s="17">
        <f t="shared" si="5"/>
        <v>65919</v>
      </c>
      <c r="F125" s="17">
        <f t="shared" ca="1" si="1"/>
        <v>2015</v>
      </c>
      <c r="G125" s="17">
        <f t="shared" ca="1" si="6"/>
        <v>10916</v>
      </c>
      <c r="H125" s="3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49046000</v>
      </c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5" customHeight="1" x14ac:dyDescent="0.3">
      <c r="A126" s="17" t="s">
        <v>635</v>
      </c>
      <c r="B126" s="17">
        <f t="shared" si="7"/>
        <v>4</v>
      </c>
      <c r="C126" s="17">
        <f t="shared" si="8"/>
        <v>60</v>
      </c>
      <c r="D126" s="17"/>
      <c r="E126" s="17">
        <f t="shared" si="5"/>
        <v>65919</v>
      </c>
      <c r="F126" s="17">
        <f t="shared" ca="1" si="1"/>
        <v>2015</v>
      </c>
      <c r="G126" s="17">
        <f t="shared" ca="1" si="6"/>
        <v>10917</v>
      </c>
      <c r="H126" s="3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-50075000</v>
      </c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5" customHeight="1" x14ac:dyDescent="0.3">
      <c r="A127" s="17" t="s">
        <v>635</v>
      </c>
      <c r="B127" s="17">
        <f t="shared" si="7"/>
        <v>4</v>
      </c>
      <c r="C127" s="17">
        <f t="shared" si="8"/>
        <v>61</v>
      </c>
      <c r="D127" s="17"/>
      <c r="E127" s="17">
        <f t="shared" si="5"/>
        <v>65919</v>
      </c>
      <c r="F127" s="17">
        <f t="shared" ca="1" si="1"/>
        <v>2015</v>
      </c>
      <c r="G127" s="17">
        <f t="shared" ca="1" si="6"/>
        <v>10918</v>
      </c>
      <c r="H127" s="3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5" customHeight="1" x14ac:dyDescent="0.3">
      <c r="A128" s="17" t="s">
        <v>635</v>
      </c>
      <c r="B128" s="17">
        <f t="shared" si="7"/>
        <v>4</v>
      </c>
      <c r="C128" s="17">
        <f t="shared" si="8"/>
        <v>62</v>
      </c>
      <c r="D128" s="17"/>
      <c r="E128" s="17">
        <f t="shared" si="5"/>
        <v>65919</v>
      </c>
      <c r="F128" s="17">
        <f t="shared" ca="1" si="1"/>
        <v>2015</v>
      </c>
      <c r="G128" s="17">
        <f t="shared" ca="1" si="6"/>
        <v>10919</v>
      </c>
      <c r="H128" s="3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-50075000</v>
      </c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5" customHeight="1" x14ac:dyDescent="0.3">
      <c r="A129" s="17" t="s">
        <v>635</v>
      </c>
      <c r="B129" s="17">
        <f t="shared" si="7"/>
        <v>4</v>
      </c>
      <c r="C129" s="17">
        <f t="shared" si="8"/>
        <v>63</v>
      </c>
      <c r="D129" s="17"/>
      <c r="E129" s="17">
        <f t="shared" si="5"/>
        <v>65919</v>
      </c>
      <c r="F129" s="17">
        <f t="shared" ca="1" si="1"/>
        <v>2015</v>
      </c>
      <c r="G129" s="17">
        <f t="shared" ca="1" si="6"/>
        <v>10920</v>
      </c>
      <c r="H129" s="3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-67000</v>
      </c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5" customHeight="1" x14ac:dyDescent="0.3">
      <c r="A130" s="17" t="s">
        <v>635</v>
      </c>
      <c r="B130" s="17">
        <f t="shared" si="7"/>
        <v>4</v>
      </c>
      <c r="C130" s="17">
        <f t="shared" si="8"/>
        <v>64</v>
      </c>
      <c r="D130" s="17"/>
      <c r="E130" s="17">
        <f t="shared" si="5"/>
        <v>65919</v>
      </c>
      <c r="F130" s="17">
        <f t="shared" ca="1" si="1"/>
        <v>2015</v>
      </c>
      <c r="G130" s="17">
        <f t="shared" ca="1" si="6"/>
        <v>10921</v>
      </c>
      <c r="H130" s="3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293000</v>
      </c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5" customHeight="1" x14ac:dyDescent="0.3">
      <c r="A131" s="17" t="s">
        <v>635</v>
      </c>
      <c r="B131" s="17">
        <f t="shared" si="7"/>
        <v>4</v>
      </c>
      <c r="C131" s="17">
        <f t="shared" si="8"/>
        <v>65</v>
      </c>
      <c r="D131" s="17"/>
      <c r="E131" s="17">
        <f t="shared" si="5"/>
        <v>65919</v>
      </c>
      <c r="F131" s="17">
        <f t="shared" ca="1" si="1"/>
        <v>2015</v>
      </c>
      <c r="G131" s="17">
        <f t="shared" ca="1" si="6"/>
        <v>10922</v>
      </c>
      <c r="H131" s="3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5" customHeight="1" x14ac:dyDescent="0.3">
      <c r="A132" s="17" t="s">
        <v>635</v>
      </c>
      <c r="B132" s="17">
        <f t="shared" si="7"/>
        <v>4</v>
      </c>
      <c r="C132" s="17">
        <f t="shared" si="8"/>
        <v>66</v>
      </c>
      <c r="D132" s="17"/>
      <c r="E132" s="17">
        <f t="shared" ref="E132:E195" si="9">plan_id</f>
        <v>65919</v>
      </c>
      <c r="F132" s="17">
        <f t="shared" ca="1" si="1"/>
        <v>2015</v>
      </c>
      <c r="G132" s="17">
        <f t="shared" ref="G132:G195" ca="1" si="10">VLOOKUP(INDIRECT(CHAR(39)&amp;$A132&amp;CHAR(39)&amp;"!r2c"&amp;$C132,0),variables,2,0)</f>
        <v>10860</v>
      </c>
      <c r="H132" s="3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1098427000</v>
      </c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5" customHeight="1" x14ac:dyDescent="0.3">
      <c r="A133" s="17" t="s">
        <v>635</v>
      </c>
      <c r="B133" s="17">
        <f t="shared" si="7"/>
        <v>4</v>
      </c>
      <c r="C133" s="17">
        <f t="shared" si="8"/>
        <v>67</v>
      </c>
      <c r="D133" s="17"/>
      <c r="E133" s="17">
        <f t="shared" si="9"/>
        <v>65919</v>
      </c>
      <c r="F133" s="17">
        <f t="shared" ca="1" si="1"/>
        <v>2015</v>
      </c>
      <c r="G133" s="17">
        <f t="shared" ca="1" si="10"/>
        <v>10923</v>
      </c>
      <c r="H133" s="3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19551000</v>
      </c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5" customHeight="1" x14ac:dyDescent="0.3">
      <c r="A134" s="17" t="s">
        <v>635</v>
      </c>
      <c r="B134" s="17">
        <f t="shared" ref="B134:B393" si="11">B69+1</f>
        <v>5</v>
      </c>
      <c r="C134" s="17">
        <f t="shared" ref="C134:C393" si="12">C69</f>
        <v>3</v>
      </c>
      <c r="D134" s="17"/>
      <c r="E134" s="17">
        <f t="shared" si="9"/>
        <v>65919</v>
      </c>
      <c r="F134" s="17">
        <f t="shared" ca="1" si="1"/>
        <v>2016</v>
      </c>
      <c r="G134" s="17">
        <f t="shared" ca="1" si="10"/>
        <v>10861</v>
      </c>
      <c r="H134" s="2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5" customHeight="1" x14ac:dyDescent="0.3">
      <c r="A135" s="17" t="s">
        <v>635</v>
      </c>
      <c r="B135" s="17">
        <f t="shared" si="11"/>
        <v>5</v>
      </c>
      <c r="C135" s="17">
        <f t="shared" si="12"/>
        <v>4</v>
      </c>
      <c r="D135" s="17"/>
      <c r="E135" s="17">
        <f t="shared" si="9"/>
        <v>65919</v>
      </c>
      <c r="F135" s="17">
        <f t="shared" ca="1" si="1"/>
        <v>2016</v>
      </c>
      <c r="G135" s="17">
        <f t="shared" ca="1" si="10"/>
        <v>10862</v>
      </c>
      <c r="H135" s="2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5" customHeight="1" x14ac:dyDescent="0.3">
      <c r="A136" s="17" t="s">
        <v>635</v>
      </c>
      <c r="B136" s="17">
        <f t="shared" si="11"/>
        <v>5</v>
      </c>
      <c r="C136" s="17">
        <f t="shared" si="12"/>
        <v>5</v>
      </c>
      <c r="D136" s="17"/>
      <c r="E136" s="17">
        <f t="shared" si="9"/>
        <v>65919</v>
      </c>
      <c r="F136" s="17">
        <f t="shared" ca="1" si="1"/>
        <v>2016</v>
      </c>
      <c r="G136" s="17">
        <f t="shared" ca="1" si="10"/>
        <v>10863</v>
      </c>
      <c r="H136" s="2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5" customHeight="1" x14ac:dyDescent="0.3">
      <c r="A137" s="17" t="s">
        <v>635</v>
      </c>
      <c r="B137" s="17">
        <f t="shared" si="11"/>
        <v>5</v>
      </c>
      <c r="C137" s="17">
        <f t="shared" si="12"/>
        <v>6</v>
      </c>
      <c r="D137" s="17"/>
      <c r="E137" s="17">
        <f t="shared" si="9"/>
        <v>65919</v>
      </c>
      <c r="F137" s="17">
        <f t="shared" ca="1" si="1"/>
        <v>2016</v>
      </c>
      <c r="G137" s="17">
        <f t="shared" ca="1" si="10"/>
        <v>10864</v>
      </c>
      <c r="H137" s="3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1078</v>
      </c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5" customHeight="1" x14ac:dyDescent="0.3">
      <c r="A138" s="17" t="s">
        <v>635</v>
      </c>
      <c r="B138" s="17">
        <f t="shared" si="11"/>
        <v>5</v>
      </c>
      <c r="C138" s="17">
        <f t="shared" si="12"/>
        <v>7</v>
      </c>
      <c r="D138" s="17"/>
      <c r="E138" s="17">
        <f t="shared" si="9"/>
        <v>65919</v>
      </c>
      <c r="F138" s="17">
        <f t="shared" ca="1" si="1"/>
        <v>2016</v>
      </c>
      <c r="G138" s="17">
        <f t="shared" ca="1" si="10"/>
        <v>10865</v>
      </c>
      <c r="H138" s="3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104</v>
      </c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5" customHeight="1" x14ac:dyDescent="0.3">
      <c r="A139" s="17" t="s">
        <v>635</v>
      </c>
      <c r="B139" s="17">
        <f t="shared" si="11"/>
        <v>5</v>
      </c>
      <c r="C139" s="17">
        <f t="shared" si="12"/>
        <v>8</v>
      </c>
      <c r="D139" s="17"/>
      <c r="E139" s="17">
        <f t="shared" si="9"/>
        <v>65919</v>
      </c>
      <c r="F139" s="17">
        <f t="shared" ca="1" si="1"/>
        <v>2016</v>
      </c>
      <c r="G139" s="17">
        <f t="shared" ca="1" si="10"/>
        <v>10866</v>
      </c>
      <c r="H139" s="3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5" customHeight="1" x14ac:dyDescent="0.3">
      <c r="A140" s="17" t="s">
        <v>635</v>
      </c>
      <c r="B140" s="17">
        <f t="shared" si="11"/>
        <v>5</v>
      </c>
      <c r="C140" s="17">
        <f t="shared" si="12"/>
        <v>9</v>
      </c>
      <c r="D140" s="17"/>
      <c r="E140" s="17">
        <f t="shared" si="9"/>
        <v>65919</v>
      </c>
      <c r="F140" s="17">
        <f t="shared" ca="1" si="1"/>
        <v>2016</v>
      </c>
      <c r="G140" s="17">
        <f t="shared" ca="1" si="10"/>
        <v>10867</v>
      </c>
      <c r="H140" s="3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968</v>
      </c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5" customHeight="1" x14ac:dyDescent="0.3">
      <c r="A141" s="17" t="s">
        <v>635</v>
      </c>
      <c r="B141" s="17">
        <f t="shared" si="11"/>
        <v>5</v>
      </c>
      <c r="C141" s="17">
        <f t="shared" si="12"/>
        <v>10</v>
      </c>
      <c r="D141" s="17"/>
      <c r="E141" s="17">
        <f t="shared" si="9"/>
        <v>65919</v>
      </c>
      <c r="F141" s="17">
        <f t="shared" ca="1" si="1"/>
        <v>2016</v>
      </c>
      <c r="G141" s="17">
        <f t="shared" ca="1" si="10"/>
        <v>10868</v>
      </c>
      <c r="H141" s="3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2150</v>
      </c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5" customHeight="1" x14ac:dyDescent="0.3">
      <c r="A142" s="17" t="s">
        <v>635</v>
      </c>
      <c r="B142" s="17">
        <f t="shared" si="11"/>
        <v>5</v>
      </c>
      <c r="C142" s="17">
        <f t="shared" si="12"/>
        <v>11</v>
      </c>
      <c r="D142" s="17"/>
      <c r="E142" s="17">
        <f t="shared" si="9"/>
        <v>65919</v>
      </c>
      <c r="F142" s="17">
        <f t="shared" ca="1" si="1"/>
        <v>2016</v>
      </c>
      <c r="G142" s="17">
        <f t="shared" ca="1" si="10"/>
        <v>10869</v>
      </c>
      <c r="H142" s="3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5" customHeight="1" x14ac:dyDescent="0.3">
      <c r="A143" s="17" t="s">
        <v>635</v>
      </c>
      <c r="B143" s="17">
        <f t="shared" si="11"/>
        <v>5</v>
      </c>
      <c r="C143" s="17">
        <f t="shared" si="12"/>
        <v>12</v>
      </c>
      <c r="D143" s="17"/>
      <c r="E143" s="17">
        <f t="shared" si="9"/>
        <v>65919</v>
      </c>
      <c r="F143" s="17">
        <f t="shared" ca="1" si="1"/>
        <v>2016</v>
      </c>
      <c r="G143" s="17">
        <f t="shared" ca="1" si="10"/>
        <v>10870</v>
      </c>
      <c r="H143" s="3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5" customHeight="1" x14ac:dyDescent="0.3">
      <c r="A144" s="17" t="s">
        <v>635</v>
      </c>
      <c r="B144" s="17">
        <f t="shared" si="11"/>
        <v>5</v>
      </c>
      <c r="C144" s="17">
        <f t="shared" si="12"/>
        <v>13</v>
      </c>
      <c r="D144" s="17"/>
      <c r="E144" s="17">
        <f t="shared" si="9"/>
        <v>65919</v>
      </c>
      <c r="F144" s="17">
        <f t="shared" ca="1" si="1"/>
        <v>2016</v>
      </c>
      <c r="G144" s="17">
        <f t="shared" ca="1" si="10"/>
        <v>10871</v>
      </c>
      <c r="H144" s="3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5" customHeight="1" x14ac:dyDescent="0.3">
      <c r="A145" s="17" t="s">
        <v>635</v>
      </c>
      <c r="B145" s="17">
        <f t="shared" si="11"/>
        <v>5</v>
      </c>
      <c r="C145" s="17">
        <f t="shared" si="12"/>
        <v>14</v>
      </c>
      <c r="D145" s="17"/>
      <c r="E145" s="17">
        <f t="shared" si="9"/>
        <v>65919</v>
      </c>
      <c r="F145" s="17">
        <f t="shared" ca="1" si="1"/>
        <v>2016</v>
      </c>
      <c r="G145" s="17">
        <f t="shared" ca="1" si="10"/>
        <v>10872</v>
      </c>
      <c r="H145" s="2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5" customHeight="1" x14ac:dyDescent="0.3">
      <c r="A146" s="17" t="s">
        <v>635</v>
      </c>
      <c r="B146" s="17">
        <f t="shared" si="11"/>
        <v>5</v>
      </c>
      <c r="C146" s="17">
        <f t="shared" si="12"/>
        <v>15</v>
      </c>
      <c r="D146" s="17"/>
      <c r="E146" s="17">
        <f t="shared" si="9"/>
        <v>65919</v>
      </c>
      <c r="F146" s="17">
        <f t="shared" ca="1" si="1"/>
        <v>2016</v>
      </c>
      <c r="G146" s="17">
        <f t="shared" ca="1" si="10"/>
        <v>10873</v>
      </c>
      <c r="H146" s="3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5" customHeight="1" x14ac:dyDescent="0.3">
      <c r="A147" s="17" t="s">
        <v>635</v>
      </c>
      <c r="B147" s="17">
        <f t="shared" si="11"/>
        <v>5</v>
      </c>
      <c r="C147" s="17">
        <f t="shared" si="12"/>
        <v>16</v>
      </c>
      <c r="D147" s="17"/>
      <c r="E147" s="17">
        <f t="shared" si="9"/>
        <v>65919</v>
      </c>
      <c r="F147" s="17">
        <f t="shared" ca="1" si="1"/>
        <v>2016</v>
      </c>
      <c r="G147" s="17">
        <f t="shared" ca="1" si="10"/>
        <v>10874</v>
      </c>
      <c r="H147" s="3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5" customHeight="1" x14ac:dyDescent="0.3">
      <c r="A148" s="17" t="s">
        <v>635</v>
      </c>
      <c r="B148" s="17">
        <f t="shared" si="11"/>
        <v>5</v>
      </c>
      <c r="C148" s="17">
        <f t="shared" si="12"/>
        <v>17</v>
      </c>
      <c r="D148" s="17"/>
      <c r="E148" s="17">
        <f t="shared" si="9"/>
        <v>65919</v>
      </c>
      <c r="F148" s="17">
        <f t="shared" ca="1" si="1"/>
        <v>2016</v>
      </c>
      <c r="G148" s="17">
        <f t="shared" ca="1" si="10"/>
        <v>10875</v>
      </c>
      <c r="H148" s="3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1167443000</v>
      </c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5" customHeight="1" x14ac:dyDescent="0.3">
      <c r="A149" s="17" t="s">
        <v>635</v>
      </c>
      <c r="B149" s="17">
        <f t="shared" si="11"/>
        <v>5</v>
      </c>
      <c r="C149" s="17">
        <f t="shared" si="12"/>
        <v>18</v>
      </c>
      <c r="D149" s="17"/>
      <c r="E149" s="17">
        <f t="shared" si="9"/>
        <v>65919</v>
      </c>
      <c r="F149" s="17">
        <f t="shared" ca="1" si="1"/>
        <v>2016</v>
      </c>
      <c r="G149" s="17">
        <f t="shared" ca="1" si="10"/>
        <v>10876</v>
      </c>
      <c r="H149" s="3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1098127000</v>
      </c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5" customHeight="1" x14ac:dyDescent="0.3">
      <c r="A150" s="17" t="s">
        <v>635</v>
      </c>
      <c r="B150" s="17">
        <f t="shared" si="11"/>
        <v>5</v>
      </c>
      <c r="C150" s="17">
        <f t="shared" si="12"/>
        <v>19</v>
      </c>
      <c r="D150" s="17"/>
      <c r="E150" s="17">
        <f t="shared" si="9"/>
        <v>65919</v>
      </c>
      <c r="F150" s="17">
        <f t="shared" ca="1" si="1"/>
        <v>2016</v>
      </c>
      <c r="G150" s="17">
        <f t="shared" ca="1" si="10"/>
        <v>10877</v>
      </c>
      <c r="H150" s="3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69316000</v>
      </c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5" customHeight="1" x14ac:dyDescent="0.3">
      <c r="A151" s="17" t="s">
        <v>635</v>
      </c>
      <c r="B151" s="17">
        <f t="shared" si="11"/>
        <v>5</v>
      </c>
      <c r="C151" s="17">
        <f t="shared" si="12"/>
        <v>20</v>
      </c>
      <c r="D151" s="17"/>
      <c r="E151" s="17">
        <f t="shared" si="9"/>
        <v>65919</v>
      </c>
      <c r="F151" s="17">
        <f t="shared" ca="1" si="1"/>
        <v>2016</v>
      </c>
      <c r="G151" s="17">
        <f t="shared" ca="1" si="10"/>
        <v>10878</v>
      </c>
      <c r="H151" s="3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0.94059999999999999</v>
      </c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5" customHeight="1" x14ac:dyDescent="0.3">
      <c r="A152" s="17" t="s">
        <v>635</v>
      </c>
      <c r="B152" s="17">
        <f t="shared" si="11"/>
        <v>5</v>
      </c>
      <c r="C152" s="17">
        <f t="shared" si="12"/>
        <v>21</v>
      </c>
      <c r="D152" s="17"/>
      <c r="E152" s="17">
        <f t="shared" si="9"/>
        <v>65919</v>
      </c>
      <c r="F152" s="17">
        <f t="shared" ca="1" si="1"/>
        <v>2016</v>
      </c>
      <c r="G152" s="17">
        <f t="shared" ca="1" si="10"/>
        <v>10879</v>
      </c>
      <c r="H152" s="3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82000000</v>
      </c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5" customHeight="1" x14ac:dyDescent="0.3">
      <c r="A153" s="17" t="s">
        <v>635</v>
      </c>
      <c r="B153" s="17">
        <f t="shared" si="11"/>
        <v>5</v>
      </c>
      <c r="C153" s="17">
        <f t="shared" si="12"/>
        <v>22</v>
      </c>
      <c r="D153" s="17"/>
      <c r="E153" s="17">
        <f t="shared" si="9"/>
        <v>65919</v>
      </c>
      <c r="F153" s="17">
        <f t="shared" ca="1" si="1"/>
        <v>2016</v>
      </c>
      <c r="G153" s="17">
        <f t="shared" ca="1" si="10"/>
        <v>10880</v>
      </c>
      <c r="H153" s="3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5" customHeight="1" x14ac:dyDescent="0.3">
      <c r="A154" s="17" t="s">
        <v>635</v>
      </c>
      <c r="B154" s="17">
        <f t="shared" si="11"/>
        <v>5</v>
      </c>
      <c r="C154" s="17">
        <f t="shared" si="12"/>
        <v>23</v>
      </c>
      <c r="D154" s="17"/>
      <c r="E154" s="17">
        <f t="shared" si="9"/>
        <v>65919</v>
      </c>
      <c r="F154" s="17">
        <f t="shared" ca="1" si="1"/>
        <v>2016</v>
      </c>
      <c r="G154" s="17">
        <f t="shared" ca="1" si="10"/>
        <v>10881</v>
      </c>
      <c r="H154" s="3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5" customHeight="1" x14ac:dyDescent="0.3">
      <c r="A155" s="17" t="s">
        <v>635</v>
      </c>
      <c r="B155" s="17">
        <f t="shared" si="11"/>
        <v>5</v>
      </c>
      <c r="C155" s="17">
        <f t="shared" si="12"/>
        <v>24</v>
      </c>
      <c r="D155" s="17"/>
      <c r="E155" s="17">
        <f t="shared" si="9"/>
        <v>65919</v>
      </c>
      <c r="F155" s="17">
        <f t="shared" ca="1" si="1"/>
        <v>2016</v>
      </c>
      <c r="G155" s="17">
        <f t="shared" ca="1" si="10"/>
        <v>10882</v>
      </c>
      <c r="H155" s="3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5" customHeight="1" x14ac:dyDescent="0.3">
      <c r="A156" s="17" t="s">
        <v>635</v>
      </c>
      <c r="B156" s="17">
        <f t="shared" si="11"/>
        <v>5</v>
      </c>
      <c r="C156" s="17">
        <f t="shared" si="12"/>
        <v>25</v>
      </c>
      <c r="D156" s="17"/>
      <c r="E156" s="17">
        <f t="shared" si="9"/>
        <v>65919</v>
      </c>
      <c r="F156" s="17">
        <f t="shared" ca="1" si="1"/>
        <v>2016</v>
      </c>
      <c r="G156" s="17">
        <f t="shared" ca="1" si="10"/>
        <v>10883</v>
      </c>
      <c r="H156" s="3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9.2902439024390243E-2</v>
      </c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5" customHeight="1" x14ac:dyDescent="0.3">
      <c r="A157" s="17" t="s">
        <v>635</v>
      </c>
      <c r="B157" s="17">
        <f t="shared" si="11"/>
        <v>5</v>
      </c>
      <c r="C157" s="17">
        <f t="shared" si="12"/>
        <v>26</v>
      </c>
      <c r="D157" s="17"/>
      <c r="E157" s="17">
        <f t="shared" si="9"/>
        <v>65919</v>
      </c>
      <c r="F157" s="17">
        <f t="shared" ca="1" si="1"/>
        <v>2016</v>
      </c>
      <c r="G157" s="17">
        <f t="shared" ca="1" si="10"/>
        <v>10884</v>
      </c>
      <c r="H157" s="3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8.5902439024390251E-2</v>
      </c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5" customHeight="1" x14ac:dyDescent="0.3">
      <c r="A158" s="17" t="s">
        <v>635</v>
      </c>
      <c r="B158" s="17">
        <f t="shared" si="11"/>
        <v>5</v>
      </c>
      <c r="C158" s="17">
        <f t="shared" si="12"/>
        <v>27</v>
      </c>
      <c r="D158" s="17"/>
      <c r="E158" s="17">
        <f t="shared" si="9"/>
        <v>65919</v>
      </c>
      <c r="F158" s="17">
        <f t="shared" ca="1" si="1"/>
        <v>2016</v>
      </c>
      <c r="G158" s="17">
        <f t="shared" ca="1" si="10"/>
        <v>10885</v>
      </c>
      <c r="H158" s="3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7618000</v>
      </c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5" customHeight="1" x14ac:dyDescent="0.3">
      <c r="A159" s="17" t="s">
        <v>635</v>
      </c>
      <c r="B159" s="17">
        <f t="shared" si="11"/>
        <v>5</v>
      </c>
      <c r="C159" s="17">
        <f t="shared" si="12"/>
        <v>28</v>
      </c>
      <c r="D159" s="17"/>
      <c r="E159" s="17">
        <f t="shared" si="9"/>
        <v>65919</v>
      </c>
      <c r="F159" s="17">
        <f t="shared" ca="1" si="1"/>
        <v>2016</v>
      </c>
      <c r="G159" s="17">
        <f t="shared" ca="1" si="10"/>
        <v>10886</v>
      </c>
      <c r="H159" s="3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7044000</v>
      </c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5" customHeight="1" x14ac:dyDescent="0.3">
      <c r="A160" s="17" t="s">
        <v>635</v>
      </c>
      <c r="B160" s="17">
        <f t="shared" si="11"/>
        <v>5</v>
      </c>
      <c r="C160" s="17">
        <f t="shared" si="12"/>
        <v>29</v>
      </c>
      <c r="D160" s="17"/>
      <c r="E160" s="17">
        <f t="shared" si="9"/>
        <v>65919</v>
      </c>
      <c r="F160" s="17">
        <f t="shared" ca="1" si="1"/>
        <v>2016</v>
      </c>
      <c r="G160" s="17">
        <f t="shared" ca="1" si="10"/>
        <v>10887</v>
      </c>
      <c r="H160" s="3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574000</v>
      </c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5" customHeight="1" x14ac:dyDescent="0.3">
      <c r="A161" s="17" t="s">
        <v>635</v>
      </c>
      <c r="B161" s="17">
        <f t="shared" si="11"/>
        <v>5</v>
      </c>
      <c r="C161" s="17">
        <f t="shared" si="12"/>
        <v>30</v>
      </c>
      <c r="D161" s="17"/>
      <c r="E161" s="17">
        <f t="shared" si="9"/>
        <v>65919</v>
      </c>
      <c r="F161" s="17">
        <f t="shared" ca="1" si="1"/>
        <v>2016</v>
      </c>
      <c r="G161" s="17">
        <f t="shared" ca="1" si="10"/>
        <v>10883</v>
      </c>
      <c r="H161" s="3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0.92465213966920456</v>
      </c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5" customHeight="1" x14ac:dyDescent="0.3">
      <c r="A162" s="17" t="s">
        <v>635</v>
      </c>
      <c r="B162" s="17">
        <f t="shared" si="11"/>
        <v>5</v>
      </c>
      <c r="C162" s="17">
        <f t="shared" si="12"/>
        <v>31</v>
      </c>
      <c r="D162" s="17"/>
      <c r="E162" s="17">
        <f t="shared" si="9"/>
        <v>65919</v>
      </c>
      <c r="F162" s="17">
        <f t="shared" ca="1" si="1"/>
        <v>2016</v>
      </c>
      <c r="G162" s="17">
        <f t="shared" ca="1" si="10"/>
        <v>10889</v>
      </c>
      <c r="H162" s="3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16534000</v>
      </c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5" customHeight="1" x14ac:dyDescent="0.3">
      <c r="A163" s="17" t="s">
        <v>635</v>
      </c>
      <c r="B163" s="17">
        <f t="shared" si="11"/>
        <v>5</v>
      </c>
      <c r="C163" s="17">
        <f t="shared" si="12"/>
        <v>32</v>
      </c>
      <c r="D163" s="17"/>
      <c r="E163" s="17">
        <f t="shared" si="9"/>
        <v>65919</v>
      </c>
      <c r="F163" s="17">
        <f t="shared" ca="1" si="1"/>
        <v>2016</v>
      </c>
      <c r="G163" s="17">
        <f t="shared" ca="1" si="10"/>
        <v>10890</v>
      </c>
      <c r="H163" s="3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83373000</v>
      </c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5" customHeight="1" x14ac:dyDescent="0.3">
      <c r="A164" s="17" t="s">
        <v>635</v>
      </c>
      <c r="B164" s="17">
        <f t="shared" si="11"/>
        <v>5</v>
      </c>
      <c r="C164" s="17">
        <f t="shared" si="12"/>
        <v>33</v>
      </c>
      <c r="D164" s="17"/>
      <c r="E164" s="17">
        <f t="shared" si="9"/>
        <v>65919</v>
      </c>
      <c r="F164" s="17">
        <f t="shared" ca="1" si="1"/>
        <v>2016</v>
      </c>
      <c r="G164" s="17">
        <f t="shared" ca="1" si="10"/>
        <v>10891</v>
      </c>
      <c r="H164" s="3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1947000</v>
      </c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5" customHeight="1" x14ac:dyDescent="0.3">
      <c r="A165" s="17" t="s">
        <v>635</v>
      </c>
      <c r="B165" s="17">
        <f t="shared" si="11"/>
        <v>5</v>
      </c>
      <c r="C165" s="17">
        <f t="shared" si="12"/>
        <v>34</v>
      </c>
      <c r="D165" s="17"/>
      <c r="E165" s="17">
        <f t="shared" si="9"/>
        <v>65919</v>
      </c>
      <c r="F165" s="17">
        <f t="shared" ca="1" si="1"/>
        <v>2016</v>
      </c>
      <c r="G165" s="17">
        <f t="shared" ca="1" si="10"/>
        <v>10892</v>
      </c>
      <c r="H165" s="3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5" customHeight="1" x14ac:dyDescent="0.3">
      <c r="A166" s="17" t="s">
        <v>635</v>
      </c>
      <c r="B166" s="17">
        <f t="shared" si="11"/>
        <v>5</v>
      </c>
      <c r="C166" s="17">
        <f t="shared" si="12"/>
        <v>35</v>
      </c>
      <c r="D166" s="17"/>
      <c r="E166" s="17">
        <f t="shared" si="9"/>
        <v>65919</v>
      </c>
      <c r="F166" s="17">
        <f t="shared" ca="1" si="1"/>
        <v>2016</v>
      </c>
      <c r="G166" s="17">
        <f t="shared" ca="1" si="10"/>
        <v>10893</v>
      </c>
      <c r="H166" s="3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5" customHeight="1" x14ac:dyDescent="0.3">
      <c r="A167" s="17" t="s">
        <v>635</v>
      </c>
      <c r="B167" s="17">
        <f t="shared" si="11"/>
        <v>5</v>
      </c>
      <c r="C167" s="17">
        <f t="shared" si="12"/>
        <v>36</v>
      </c>
      <c r="D167" s="17"/>
      <c r="E167" s="17">
        <f t="shared" si="9"/>
        <v>65919</v>
      </c>
      <c r="F167" s="17">
        <f t="shared" ca="1" si="1"/>
        <v>2016</v>
      </c>
      <c r="G167" s="17">
        <f t="shared" ca="1" si="10"/>
        <v>10894</v>
      </c>
      <c r="H167" s="3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-8895000</v>
      </c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5" customHeight="1" x14ac:dyDescent="0.3">
      <c r="A168" s="17" t="s">
        <v>635</v>
      </c>
      <c r="B168" s="17">
        <f t="shared" si="11"/>
        <v>5</v>
      </c>
      <c r="C168" s="17">
        <f t="shared" si="12"/>
        <v>37</v>
      </c>
      <c r="D168" s="17"/>
      <c r="E168" s="17">
        <f t="shared" si="9"/>
        <v>65919</v>
      </c>
      <c r="F168" s="17">
        <f t="shared" ca="1" si="1"/>
        <v>2016</v>
      </c>
      <c r="G168" s="17">
        <f t="shared" ca="1" si="10"/>
        <v>10895</v>
      </c>
      <c r="H168" s="3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5" customHeight="1" x14ac:dyDescent="0.3">
      <c r="A169" s="17" t="s">
        <v>635</v>
      </c>
      <c r="B169" s="17">
        <f t="shared" si="11"/>
        <v>5</v>
      </c>
      <c r="C169" s="17">
        <f t="shared" si="12"/>
        <v>38</v>
      </c>
      <c r="D169" s="17"/>
      <c r="E169" s="17">
        <f t="shared" si="9"/>
        <v>65919</v>
      </c>
      <c r="F169" s="17">
        <f t="shared" ca="1" si="1"/>
        <v>2016</v>
      </c>
      <c r="G169" s="17">
        <f t="shared" ca="1" si="10"/>
        <v>10896</v>
      </c>
      <c r="H169" s="3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5" customHeight="1" x14ac:dyDescent="0.3">
      <c r="A170" s="17" t="s">
        <v>635</v>
      </c>
      <c r="B170" s="17">
        <f t="shared" si="11"/>
        <v>5</v>
      </c>
      <c r="C170" s="17">
        <f t="shared" si="12"/>
        <v>39</v>
      </c>
      <c r="D170" s="17"/>
      <c r="E170" s="17">
        <f t="shared" si="9"/>
        <v>65919</v>
      </c>
      <c r="F170" s="17">
        <f t="shared" ca="1" si="1"/>
        <v>2016</v>
      </c>
      <c r="G170" s="17">
        <f t="shared" ca="1" si="10"/>
        <v>10897</v>
      </c>
      <c r="H170" s="3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60000</v>
      </c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5" customHeight="1" x14ac:dyDescent="0.3">
      <c r="A171" s="17" t="s">
        <v>635</v>
      </c>
      <c r="B171" s="17">
        <f t="shared" si="11"/>
        <v>5</v>
      </c>
      <c r="C171" s="17">
        <f t="shared" si="12"/>
        <v>40</v>
      </c>
      <c r="D171" s="17"/>
      <c r="E171" s="17">
        <f t="shared" si="9"/>
        <v>65919</v>
      </c>
      <c r="F171" s="17">
        <f t="shared" ca="1" si="1"/>
        <v>2016</v>
      </c>
      <c r="G171" s="17">
        <f t="shared" ca="1" si="10"/>
        <v>10898</v>
      </c>
      <c r="H171" s="3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5" customHeight="1" x14ac:dyDescent="0.3">
      <c r="A172" s="17" t="s">
        <v>635</v>
      </c>
      <c r="B172" s="17">
        <f t="shared" si="11"/>
        <v>5</v>
      </c>
      <c r="C172" s="17">
        <f t="shared" si="12"/>
        <v>41</v>
      </c>
      <c r="D172" s="17"/>
      <c r="E172" s="17">
        <f t="shared" si="9"/>
        <v>65919</v>
      </c>
      <c r="F172" s="17">
        <f t="shared" ca="1" si="1"/>
        <v>2016</v>
      </c>
      <c r="G172" s="17">
        <f t="shared" ca="1" si="10"/>
        <v>10899</v>
      </c>
      <c r="H172" s="3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5" customHeight="1" x14ac:dyDescent="0.3">
      <c r="A173" s="17" t="s">
        <v>635</v>
      </c>
      <c r="B173" s="17">
        <f t="shared" si="11"/>
        <v>5</v>
      </c>
      <c r="C173" s="17">
        <f t="shared" si="12"/>
        <v>42</v>
      </c>
      <c r="D173" s="17"/>
      <c r="E173" s="17">
        <f t="shared" si="9"/>
        <v>65919</v>
      </c>
      <c r="F173" s="17">
        <f t="shared" ca="1" si="1"/>
        <v>2016</v>
      </c>
      <c r="G173" s="17">
        <f t="shared" ca="1" si="10"/>
        <v>11006</v>
      </c>
      <c r="H173" s="3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5" customHeight="1" x14ac:dyDescent="0.3">
      <c r="A174" s="17" t="s">
        <v>635</v>
      </c>
      <c r="B174" s="17">
        <f t="shared" si="11"/>
        <v>5</v>
      </c>
      <c r="C174" s="17">
        <f t="shared" si="12"/>
        <v>43</v>
      </c>
      <c r="D174" s="17"/>
      <c r="E174" s="17">
        <f t="shared" si="9"/>
        <v>65919</v>
      </c>
      <c r="F174" s="17">
        <f t="shared" ca="1" si="1"/>
        <v>2016</v>
      </c>
      <c r="G174" s="17">
        <f t="shared" ca="1" si="10"/>
        <v>10900</v>
      </c>
      <c r="H174" s="3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5" customHeight="1" x14ac:dyDescent="0.3">
      <c r="A175" s="17" t="s">
        <v>635</v>
      </c>
      <c r="B175" s="17">
        <f t="shared" si="11"/>
        <v>5</v>
      </c>
      <c r="C175" s="17">
        <f t="shared" si="12"/>
        <v>44</v>
      </c>
      <c r="D175" s="17"/>
      <c r="E175" s="17">
        <f t="shared" si="9"/>
        <v>65919</v>
      </c>
      <c r="F175" s="17">
        <f t="shared" ca="1" si="1"/>
        <v>2016</v>
      </c>
      <c r="G175" s="17">
        <f t="shared" ca="1" si="10"/>
        <v>10901</v>
      </c>
      <c r="H175" s="3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5" customHeight="1" x14ac:dyDescent="0.3">
      <c r="A176" s="17" t="s">
        <v>635</v>
      </c>
      <c r="B176" s="17">
        <f t="shared" si="11"/>
        <v>5</v>
      </c>
      <c r="C176" s="17">
        <f t="shared" si="12"/>
        <v>45</v>
      </c>
      <c r="D176" s="17"/>
      <c r="E176" s="17">
        <f t="shared" si="9"/>
        <v>65919</v>
      </c>
      <c r="F176" s="17">
        <f t="shared" ca="1" si="1"/>
        <v>2016</v>
      </c>
      <c r="G176" s="17">
        <f t="shared" ca="1" si="10"/>
        <v>10902</v>
      </c>
      <c r="H176" s="3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5" customHeight="1" x14ac:dyDescent="0.3">
      <c r="A177" s="17" t="s">
        <v>635</v>
      </c>
      <c r="B177" s="17">
        <f t="shared" si="11"/>
        <v>5</v>
      </c>
      <c r="C177" s="17">
        <f t="shared" si="12"/>
        <v>46</v>
      </c>
      <c r="D177" s="17"/>
      <c r="E177" s="17">
        <f t="shared" si="9"/>
        <v>65919</v>
      </c>
      <c r="F177" s="17">
        <f t="shared" ca="1" si="1"/>
        <v>2016</v>
      </c>
      <c r="G177" s="17">
        <f t="shared" ca="1" si="10"/>
        <v>10903</v>
      </c>
      <c r="H177" s="3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5" customHeight="1" x14ac:dyDescent="0.3">
      <c r="A178" s="17" t="s">
        <v>635</v>
      </c>
      <c r="B178" s="17">
        <f t="shared" si="11"/>
        <v>5</v>
      </c>
      <c r="C178" s="17">
        <f t="shared" si="12"/>
        <v>47</v>
      </c>
      <c r="D178" s="17"/>
      <c r="E178" s="17">
        <f t="shared" si="9"/>
        <v>65919</v>
      </c>
      <c r="F178" s="17">
        <f t="shared" ca="1" si="1"/>
        <v>2016</v>
      </c>
      <c r="G178" s="17">
        <f t="shared" ca="1" si="10"/>
        <v>10904</v>
      </c>
      <c r="H178" s="3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260659000</v>
      </c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5" customHeight="1" x14ac:dyDescent="0.3">
      <c r="A179" s="17" t="s">
        <v>635</v>
      </c>
      <c r="B179" s="17">
        <f t="shared" si="11"/>
        <v>5</v>
      </c>
      <c r="C179" s="17">
        <f t="shared" si="12"/>
        <v>48</v>
      </c>
      <c r="D179" s="17"/>
      <c r="E179" s="17">
        <f t="shared" si="9"/>
        <v>65919</v>
      </c>
      <c r="F179" s="17">
        <f t="shared" ca="1" si="1"/>
        <v>2016</v>
      </c>
      <c r="G179" s="17">
        <f t="shared" ca="1" si="10"/>
        <v>10905</v>
      </c>
      <c r="H179" s="3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69316000</v>
      </c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5" customHeight="1" x14ac:dyDescent="0.3">
      <c r="A180" s="17" t="s">
        <v>635</v>
      </c>
      <c r="B180" s="17">
        <f t="shared" si="11"/>
        <v>5</v>
      </c>
      <c r="C180" s="17">
        <f t="shared" si="12"/>
        <v>49</v>
      </c>
      <c r="D180" s="17"/>
      <c r="E180" s="17">
        <f t="shared" si="9"/>
        <v>65919</v>
      </c>
      <c r="F180" s="17">
        <f t="shared" ca="1" si="1"/>
        <v>2016</v>
      </c>
      <c r="G180" s="17">
        <f t="shared" ca="1" si="10"/>
        <v>10906</v>
      </c>
      <c r="H180" s="3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-81250000</v>
      </c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5" customHeight="1" x14ac:dyDescent="0.3">
      <c r="A181" s="17" t="s">
        <v>635</v>
      </c>
      <c r="B181" s="17">
        <f t="shared" si="11"/>
        <v>5</v>
      </c>
      <c r="C181" s="17">
        <f t="shared" si="12"/>
        <v>50</v>
      </c>
      <c r="D181" s="17"/>
      <c r="E181" s="17">
        <f t="shared" si="9"/>
        <v>65919</v>
      </c>
      <c r="F181" s="17">
        <f t="shared" ca="1" si="1"/>
        <v>2016</v>
      </c>
      <c r="G181" s="17">
        <f t="shared" ca="1" si="10"/>
        <v>10907</v>
      </c>
      <c r="H181" s="3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5" customHeight="1" x14ac:dyDescent="0.3">
      <c r="A182" s="17" t="s">
        <v>635</v>
      </c>
      <c r="B182" s="17">
        <f t="shared" si="11"/>
        <v>5</v>
      </c>
      <c r="C182" s="17">
        <f t="shared" si="12"/>
        <v>51</v>
      </c>
      <c r="D182" s="17"/>
      <c r="E182" s="17">
        <f t="shared" si="9"/>
        <v>65919</v>
      </c>
      <c r="F182" s="17">
        <f t="shared" ca="1" si="1"/>
        <v>2016</v>
      </c>
      <c r="G182" s="17">
        <f t="shared" ca="1" si="10"/>
        <v>10860</v>
      </c>
      <c r="H182" s="3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1130177000</v>
      </c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5" customHeight="1" x14ac:dyDescent="0.3">
      <c r="A183" s="17" t="s">
        <v>635</v>
      </c>
      <c r="B183" s="17">
        <f t="shared" si="11"/>
        <v>5</v>
      </c>
      <c r="C183" s="17">
        <f t="shared" si="12"/>
        <v>52</v>
      </c>
      <c r="D183" s="17"/>
      <c r="E183" s="17">
        <f t="shared" si="9"/>
        <v>65919</v>
      </c>
      <c r="F183" s="17">
        <f t="shared" ca="1" si="1"/>
        <v>2016</v>
      </c>
      <c r="G183" s="17">
        <f t="shared" ca="1" si="10"/>
        <v>10909</v>
      </c>
      <c r="H183" s="3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16534000</v>
      </c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5" customHeight="1" x14ac:dyDescent="0.3">
      <c r="A184" s="17" t="s">
        <v>635</v>
      </c>
      <c r="B184" s="17">
        <f t="shared" si="11"/>
        <v>5</v>
      </c>
      <c r="C184" s="17">
        <f t="shared" si="12"/>
        <v>53</v>
      </c>
      <c r="D184" s="17"/>
      <c r="E184" s="17">
        <f t="shared" si="9"/>
        <v>65919</v>
      </c>
      <c r="F184" s="17">
        <f t="shared" ca="1" si="1"/>
        <v>2016</v>
      </c>
      <c r="G184" s="17">
        <f t="shared" ca="1" si="10"/>
        <v>10910</v>
      </c>
      <c r="H184" s="3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83373000</v>
      </c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5" customHeight="1" x14ac:dyDescent="0.3">
      <c r="A185" s="17" t="s">
        <v>635</v>
      </c>
      <c r="B185" s="17">
        <f t="shared" si="11"/>
        <v>5</v>
      </c>
      <c r="C185" s="17">
        <f t="shared" si="12"/>
        <v>54</v>
      </c>
      <c r="D185" s="17"/>
      <c r="E185" s="17">
        <f t="shared" si="9"/>
        <v>65919</v>
      </c>
      <c r="F185" s="17">
        <f t="shared" ca="1" si="1"/>
        <v>2016</v>
      </c>
      <c r="G185" s="17">
        <f t="shared" ca="1" si="10"/>
        <v>10911</v>
      </c>
      <c r="H185" s="3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1947000</v>
      </c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5" customHeight="1" x14ac:dyDescent="0.3">
      <c r="A186" s="17" t="s">
        <v>635</v>
      </c>
      <c r="B186" s="17">
        <f t="shared" si="11"/>
        <v>5</v>
      </c>
      <c r="C186" s="17">
        <f t="shared" si="12"/>
        <v>55</v>
      </c>
      <c r="D186" s="17"/>
      <c r="E186" s="17">
        <f t="shared" si="9"/>
        <v>65919</v>
      </c>
      <c r="F186" s="17">
        <f t="shared" ca="1" si="1"/>
        <v>2016</v>
      </c>
      <c r="G186" s="17">
        <f t="shared" ca="1" si="10"/>
        <v>10912</v>
      </c>
      <c r="H186" s="3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-10430000</v>
      </c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5" customHeight="1" x14ac:dyDescent="0.3">
      <c r="A187" s="17" t="s">
        <v>635</v>
      </c>
      <c r="B187" s="17">
        <f t="shared" si="11"/>
        <v>5</v>
      </c>
      <c r="C187" s="17">
        <f t="shared" si="12"/>
        <v>56</v>
      </c>
      <c r="D187" s="17"/>
      <c r="E187" s="17">
        <f t="shared" si="9"/>
        <v>65919</v>
      </c>
      <c r="F187" s="17">
        <f t="shared" ca="1" si="1"/>
        <v>2016</v>
      </c>
      <c r="G187" s="17">
        <f t="shared" ca="1" si="10"/>
        <v>10913</v>
      </c>
      <c r="H187" s="3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2000</v>
      </c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5" customHeight="1" x14ac:dyDescent="0.3">
      <c r="A188" s="17" t="s">
        <v>635</v>
      </c>
      <c r="B188" s="17">
        <f t="shared" si="11"/>
        <v>5</v>
      </c>
      <c r="C188" s="17">
        <f t="shared" si="12"/>
        <v>57</v>
      </c>
      <c r="D188" s="17"/>
      <c r="E188" s="17">
        <f t="shared" si="9"/>
        <v>65919</v>
      </c>
      <c r="F188" s="17">
        <f t="shared" ca="1" si="1"/>
        <v>2016</v>
      </c>
      <c r="G188" s="17">
        <f t="shared" ca="1" si="10"/>
        <v>10914</v>
      </c>
      <c r="H188" s="3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7044000</v>
      </c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5" customHeight="1" x14ac:dyDescent="0.3">
      <c r="A189" s="17" t="s">
        <v>635</v>
      </c>
      <c r="B189" s="17">
        <f t="shared" si="11"/>
        <v>5</v>
      </c>
      <c r="C189" s="17">
        <f t="shared" si="12"/>
        <v>58</v>
      </c>
      <c r="D189" s="17"/>
      <c r="E189" s="17">
        <f t="shared" si="9"/>
        <v>65919</v>
      </c>
      <c r="F189" s="17">
        <f t="shared" ca="1" si="1"/>
        <v>2016</v>
      </c>
      <c r="G189" s="17">
        <f t="shared" ca="1" si="10"/>
        <v>10915</v>
      </c>
      <c r="H189" s="3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8895000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5" customHeight="1" x14ac:dyDescent="0.3">
      <c r="A190" s="17" t="s">
        <v>635</v>
      </c>
      <c r="B190" s="17">
        <f t="shared" si="11"/>
        <v>5</v>
      </c>
      <c r="C190" s="17">
        <f t="shared" si="12"/>
        <v>59</v>
      </c>
      <c r="D190" s="17"/>
      <c r="E190" s="17">
        <f t="shared" si="9"/>
        <v>65919</v>
      </c>
      <c r="F190" s="17">
        <f t="shared" ca="1" si="1"/>
        <v>2016</v>
      </c>
      <c r="G190" s="17">
        <f t="shared" ca="1" si="10"/>
        <v>10916</v>
      </c>
      <c r="H190" s="3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25352000</v>
      </c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5" customHeight="1" x14ac:dyDescent="0.3">
      <c r="A191" s="17" t="s">
        <v>635</v>
      </c>
      <c r="B191" s="17">
        <f t="shared" si="11"/>
        <v>5</v>
      </c>
      <c r="C191" s="17">
        <f t="shared" si="12"/>
        <v>60</v>
      </c>
      <c r="D191" s="17"/>
      <c r="E191" s="17">
        <f t="shared" si="9"/>
        <v>65919</v>
      </c>
      <c r="F191" s="17">
        <f t="shared" ca="1" si="1"/>
        <v>2016</v>
      </c>
      <c r="G191" s="17">
        <f t="shared" ca="1" si="10"/>
        <v>10917</v>
      </c>
      <c r="H191" s="3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-54159000</v>
      </c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5" customHeight="1" x14ac:dyDescent="0.3">
      <c r="A192" s="17" t="s">
        <v>635</v>
      </c>
      <c r="B192" s="17">
        <f t="shared" si="11"/>
        <v>5</v>
      </c>
      <c r="C192" s="17">
        <f t="shared" si="12"/>
        <v>61</v>
      </c>
      <c r="D192" s="17"/>
      <c r="E192" s="17">
        <f t="shared" si="9"/>
        <v>65919</v>
      </c>
      <c r="F192" s="17">
        <f t="shared" ca="1" si="1"/>
        <v>2016</v>
      </c>
      <c r="G192" s="17">
        <f t="shared" ca="1" si="10"/>
        <v>10918</v>
      </c>
      <c r="H192" s="3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5" customHeight="1" x14ac:dyDescent="0.3">
      <c r="A193" s="17" t="s">
        <v>635</v>
      </c>
      <c r="B193" s="17">
        <f t="shared" si="11"/>
        <v>5</v>
      </c>
      <c r="C193" s="17">
        <f t="shared" si="12"/>
        <v>62</v>
      </c>
      <c r="D193" s="17"/>
      <c r="E193" s="17">
        <f t="shared" si="9"/>
        <v>65919</v>
      </c>
      <c r="F193" s="17">
        <f t="shared" ca="1" si="1"/>
        <v>2016</v>
      </c>
      <c r="G193" s="17">
        <f t="shared" ca="1" si="10"/>
        <v>10919</v>
      </c>
      <c r="H193" s="3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-54159000</v>
      </c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5" customHeight="1" x14ac:dyDescent="0.3">
      <c r="A194" s="17" t="s">
        <v>635</v>
      </c>
      <c r="B194" s="17">
        <f t="shared" si="11"/>
        <v>5</v>
      </c>
      <c r="C194" s="17">
        <f t="shared" si="12"/>
        <v>63</v>
      </c>
      <c r="D194" s="17"/>
      <c r="E194" s="17">
        <f t="shared" si="9"/>
        <v>65919</v>
      </c>
      <c r="F194" s="17">
        <f t="shared" ca="1" si="1"/>
        <v>2016</v>
      </c>
      <c r="G194" s="17">
        <f t="shared" ca="1" si="10"/>
        <v>10920</v>
      </c>
      <c r="H194" s="3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-60000</v>
      </c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5" customHeight="1" x14ac:dyDescent="0.3">
      <c r="A195" s="17" t="s">
        <v>635</v>
      </c>
      <c r="B195" s="17">
        <f t="shared" si="11"/>
        <v>5</v>
      </c>
      <c r="C195" s="17">
        <f t="shared" si="12"/>
        <v>64</v>
      </c>
      <c r="D195" s="17"/>
      <c r="E195" s="17">
        <f t="shared" si="9"/>
        <v>65919</v>
      </c>
      <c r="F195" s="17">
        <f t="shared" ca="1" si="1"/>
        <v>2016</v>
      </c>
      <c r="G195" s="17">
        <f t="shared" ca="1" si="10"/>
        <v>10921</v>
      </c>
      <c r="H195" s="3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429000</v>
      </c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5" customHeight="1" x14ac:dyDescent="0.3">
      <c r="A196" s="17" t="s">
        <v>635</v>
      </c>
      <c r="B196" s="17">
        <f t="shared" si="11"/>
        <v>5</v>
      </c>
      <c r="C196" s="17">
        <f t="shared" si="12"/>
        <v>65</v>
      </c>
      <c r="D196" s="17"/>
      <c r="E196" s="17">
        <f t="shared" ref="E196:E259" si="13">plan_id</f>
        <v>65919</v>
      </c>
      <c r="F196" s="17">
        <f t="shared" ca="1" si="1"/>
        <v>2016</v>
      </c>
      <c r="G196" s="17">
        <f t="shared" ref="G196:G259" ca="1" si="14">VLOOKUP(INDIRECT(CHAR(39)&amp;$A196&amp;CHAR(39)&amp;"!r2c"&amp;$C196,0),variables,2,0)</f>
        <v>10922</v>
      </c>
      <c r="H196" s="3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5" customHeight="1" x14ac:dyDescent="0.3">
      <c r="A197" s="17" t="s">
        <v>635</v>
      </c>
      <c r="B197" s="17">
        <f t="shared" si="11"/>
        <v>5</v>
      </c>
      <c r="C197" s="17">
        <f t="shared" si="12"/>
        <v>66</v>
      </c>
      <c r="D197" s="17"/>
      <c r="E197" s="17">
        <f t="shared" si="13"/>
        <v>65919</v>
      </c>
      <c r="F197" s="17">
        <f t="shared" ca="1" si="1"/>
        <v>2016</v>
      </c>
      <c r="G197" s="17">
        <f t="shared" ca="1" si="14"/>
        <v>10860</v>
      </c>
      <c r="H197" s="3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1110626000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5" customHeight="1" x14ac:dyDescent="0.3">
      <c r="A198" s="17" t="s">
        <v>635</v>
      </c>
      <c r="B198" s="17">
        <f t="shared" si="11"/>
        <v>5</v>
      </c>
      <c r="C198" s="17">
        <f t="shared" si="12"/>
        <v>67</v>
      </c>
      <c r="D198" s="17"/>
      <c r="E198" s="17">
        <f t="shared" si="13"/>
        <v>65919</v>
      </c>
      <c r="F198" s="17">
        <f t="shared" ca="1" si="1"/>
        <v>2016</v>
      </c>
      <c r="G198" s="17">
        <f t="shared" ca="1" si="14"/>
        <v>10923</v>
      </c>
      <c r="H198" s="3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69316000</v>
      </c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5" customHeight="1" x14ac:dyDescent="0.3">
      <c r="A199" s="17" t="s">
        <v>635</v>
      </c>
      <c r="B199" s="17">
        <f t="shared" si="11"/>
        <v>6</v>
      </c>
      <c r="C199" s="17">
        <f t="shared" si="12"/>
        <v>3</v>
      </c>
      <c r="D199" s="17"/>
      <c r="E199" s="17">
        <f t="shared" si="13"/>
        <v>65919</v>
      </c>
      <c r="F199" s="17">
        <f t="shared" ca="1" si="1"/>
        <v>2017</v>
      </c>
      <c r="G199" s="17">
        <f t="shared" ca="1" si="14"/>
        <v>10861</v>
      </c>
      <c r="H199" s="2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5" customHeight="1" x14ac:dyDescent="0.3">
      <c r="A200" s="17" t="s">
        <v>635</v>
      </c>
      <c r="B200" s="17">
        <f t="shared" si="11"/>
        <v>6</v>
      </c>
      <c r="C200" s="17">
        <f t="shared" si="12"/>
        <v>4</v>
      </c>
      <c r="D200" s="17"/>
      <c r="E200" s="17">
        <f t="shared" si="13"/>
        <v>65919</v>
      </c>
      <c r="F200" s="17">
        <f t="shared" ca="1" si="1"/>
        <v>2017</v>
      </c>
      <c r="G200" s="17">
        <f t="shared" ca="1" si="14"/>
        <v>10862</v>
      </c>
      <c r="H200" s="2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5" customHeight="1" x14ac:dyDescent="0.3">
      <c r="A201" s="17" t="s">
        <v>635</v>
      </c>
      <c r="B201" s="17">
        <f t="shared" si="11"/>
        <v>6</v>
      </c>
      <c r="C201" s="17">
        <f t="shared" si="12"/>
        <v>5</v>
      </c>
      <c r="D201" s="17"/>
      <c r="E201" s="17">
        <f t="shared" si="13"/>
        <v>65919</v>
      </c>
      <c r="F201" s="17">
        <f t="shared" ca="1" si="1"/>
        <v>2017</v>
      </c>
      <c r="G201" s="17">
        <f t="shared" ca="1" si="14"/>
        <v>10863</v>
      </c>
      <c r="H201" s="2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5" customHeight="1" x14ac:dyDescent="0.3">
      <c r="A202" s="17" t="s">
        <v>635</v>
      </c>
      <c r="B202" s="17">
        <f t="shared" si="11"/>
        <v>6</v>
      </c>
      <c r="C202" s="17">
        <f t="shared" si="12"/>
        <v>6</v>
      </c>
      <c r="D202" s="17"/>
      <c r="E202" s="17">
        <f t="shared" si="13"/>
        <v>65919</v>
      </c>
      <c r="F202" s="17">
        <f t="shared" ca="1" si="1"/>
        <v>2017</v>
      </c>
      <c r="G202" s="17">
        <f t="shared" ca="1" si="14"/>
        <v>10864</v>
      </c>
      <c r="H202" s="3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1114</v>
      </c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5" customHeight="1" x14ac:dyDescent="0.3">
      <c r="A203" s="17" t="s">
        <v>635</v>
      </c>
      <c r="B203" s="17">
        <f t="shared" si="11"/>
        <v>6</v>
      </c>
      <c r="C203" s="17">
        <f t="shared" si="12"/>
        <v>7</v>
      </c>
      <c r="D203" s="17"/>
      <c r="E203" s="17">
        <f t="shared" si="13"/>
        <v>65919</v>
      </c>
      <c r="F203" s="17">
        <f t="shared" ca="1" si="1"/>
        <v>2017</v>
      </c>
      <c r="G203" s="17">
        <f t="shared" ca="1" si="14"/>
        <v>10865</v>
      </c>
      <c r="H203" s="3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106</v>
      </c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5" customHeight="1" x14ac:dyDescent="0.3">
      <c r="A204" s="17" t="s">
        <v>635</v>
      </c>
      <c r="B204" s="17">
        <f t="shared" si="11"/>
        <v>6</v>
      </c>
      <c r="C204" s="17">
        <f t="shared" si="12"/>
        <v>8</v>
      </c>
      <c r="D204" s="17"/>
      <c r="E204" s="17">
        <f t="shared" si="13"/>
        <v>65919</v>
      </c>
      <c r="F204" s="17">
        <f t="shared" ca="1" si="1"/>
        <v>2017</v>
      </c>
      <c r="G204" s="17">
        <f t="shared" ca="1" si="14"/>
        <v>10866</v>
      </c>
      <c r="H204" s="3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5" customHeight="1" x14ac:dyDescent="0.3">
      <c r="A205" s="17" t="s">
        <v>635</v>
      </c>
      <c r="B205" s="17">
        <f t="shared" si="11"/>
        <v>6</v>
      </c>
      <c r="C205" s="17">
        <f t="shared" si="12"/>
        <v>9</v>
      </c>
      <c r="D205" s="17"/>
      <c r="E205" s="17">
        <f t="shared" si="13"/>
        <v>65919</v>
      </c>
      <c r="F205" s="17">
        <f t="shared" ca="1" si="1"/>
        <v>2017</v>
      </c>
      <c r="G205" s="17">
        <f t="shared" ca="1" si="14"/>
        <v>10867</v>
      </c>
      <c r="H205" s="3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992</v>
      </c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5" customHeight="1" x14ac:dyDescent="0.3">
      <c r="A206" s="17" t="s">
        <v>635</v>
      </c>
      <c r="B206" s="17">
        <f t="shared" si="11"/>
        <v>6</v>
      </c>
      <c r="C206" s="17">
        <f t="shared" si="12"/>
        <v>10</v>
      </c>
      <c r="D206" s="17"/>
      <c r="E206" s="17">
        <f t="shared" si="13"/>
        <v>65919</v>
      </c>
      <c r="F206" s="17">
        <f t="shared" ca="1" si="1"/>
        <v>2017</v>
      </c>
      <c r="G206" s="17">
        <f t="shared" ca="1" si="14"/>
        <v>10868</v>
      </c>
      <c r="H206" s="3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2212</v>
      </c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5" customHeight="1" x14ac:dyDescent="0.3">
      <c r="A207" s="17" t="s">
        <v>635</v>
      </c>
      <c r="B207" s="17">
        <f t="shared" si="11"/>
        <v>6</v>
      </c>
      <c r="C207" s="17">
        <f t="shared" si="12"/>
        <v>11</v>
      </c>
      <c r="D207" s="17"/>
      <c r="E207" s="17">
        <f t="shared" si="13"/>
        <v>65919</v>
      </c>
      <c r="F207" s="17">
        <f t="shared" ca="1" si="1"/>
        <v>2017</v>
      </c>
      <c r="G207" s="17">
        <f t="shared" ca="1" si="14"/>
        <v>10869</v>
      </c>
      <c r="H207" s="3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5" customHeight="1" x14ac:dyDescent="0.3">
      <c r="A208" s="17" t="s">
        <v>635</v>
      </c>
      <c r="B208" s="17">
        <f t="shared" si="11"/>
        <v>6</v>
      </c>
      <c r="C208" s="17">
        <f t="shared" si="12"/>
        <v>12</v>
      </c>
      <c r="D208" s="17"/>
      <c r="E208" s="17">
        <f t="shared" si="13"/>
        <v>65919</v>
      </c>
      <c r="F208" s="17">
        <f t="shared" ca="1" si="1"/>
        <v>2017</v>
      </c>
      <c r="G208" s="17">
        <f t="shared" ca="1" si="14"/>
        <v>10870</v>
      </c>
      <c r="H208" s="3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5" customHeight="1" x14ac:dyDescent="0.3">
      <c r="A209" s="17" t="s">
        <v>635</v>
      </c>
      <c r="B209" s="17">
        <f t="shared" si="11"/>
        <v>6</v>
      </c>
      <c r="C209" s="17">
        <f t="shared" si="12"/>
        <v>13</v>
      </c>
      <c r="D209" s="17"/>
      <c r="E209" s="17">
        <f t="shared" si="13"/>
        <v>65919</v>
      </c>
      <c r="F209" s="17">
        <f t="shared" ca="1" si="1"/>
        <v>2017</v>
      </c>
      <c r="G209" s="17">
        <f t="shared" ca="1" si="14"/>
        <v>10871</v>
      </c>
      <c r="H209" s="3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5" customHeight="1" x14ac:dyDescent="0.3">
      <c r="A210" s="17" t="s">
        <v>635</v>
      </c>
      <c r="B210" s="17">
        <f t="shared" si="11"/>
        <v>6</v>
      </c>
      <c r="C210" s="17">
        <f t="shared" si="12"/>
        <v>14</v>
      </c>
      <c r="D210" s="17"/>
      <c r="E210" s="17">
        <f t="shared" si="13"/>
        <v>65919</v>
      </c>
      <c r="F210" s="17">
        <f t="shared" ca="1" si="1"/>
        <v>2017</v>
      </c>
      <c r="G210" s="17">
        <f t="shared" ca="1" si="14"/>
        <v>10872</v>
      </c>
      <c r="H210" s="29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5" customHeight="1" x14ac:dyDescent="0.3">
      <c r="A211" s="17" t="s">
        <v>635</v>
      </c>
      <c r="B211" s="17">
        <f t="shared" si="11"/>
        <v>6</v>
      </c>
      <c r="C211" s="17">
        <f t="shared" si="12"/>
        <v>15</v>
      </c>
      <c r="D211" s="17"/>
      <c r="E211" s="17">
        <f t="shared" si="13"/>
        <v>65919</v>
      </c>
      <c r="F211" s="17">
        <f t="shared" ca="1" si="1"/>
        <v>2017</v>
      </c>
      <c r="G211" s="17">
        <f t="shared" ca="1" si="14"/>
        <v>10873</v>
      </c>
      <c r="H211" s="3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5" customHeight="1" x14ac:dyDescent="0.3">
      <c r="A212" s="17" t="s">
        <v>635</v>
      </c>
      <c r="B212" s="17">
        <f t="shared" si="11"/>
        <v>6</v>
      </c>
      <c r="C212" s="17">
        <f t="shared" si="12"/>
        <v>16</v>
      </c>
      <c r="D212" s="17"/>
      <c r="E212" s="17">
        <f t="shared" si="13"/>
        <v>65919</v>
      </c>
      <c r="F212" s="17">
        <f t="shared" ca="1" si="1"/>
        <v>2017</v>
      </c>
      <c r="G212" s="17">
        <f t="shared" ca="1" si="14"/>
        <v>10874</v>
      </c>
      <c r="H212" s="3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5" customHeight="1" x14ac:dyDescent="0.3">
      <c r="A213" s="17" t="s">
        <v>635</v>
      </c>
      <c r="B213" s="17">
        <f t="shared" si="11"/>
        <v>6</v>
      </c>
      <c r="C213" s="17">
        <f t="shared" si="12"/>
        <v>17</v>
      </c>
      <c r="D213" s="17"/>
      <c r="E213" s="17">
        <f t="shared" si="13"/>
        <v>65919</v>
      </c>
      <c r="F213" s="17">
        <f t="shared" ca="1" si="1"/>
        <v>2017</v>
      </c>
      <c r="G213" s="17">
        <f t="shared" ca="1" si="14"/>
        <v>10875</v>
      </c>
      <c r="H213" s="3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1269109000</v>
      </c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5" customHeight="1" x14ac:dyDescent="0.3">
      <c r="A214" s="17" t="s">
        <v>635</v>
      </c>
      <c r="B214" s="17">
        <f t="shared" si="11"/>
        <v>6</v>
      </c>
      <c r="C214" s="17">
        <f t="shared" si="12"/>
        <v>18</v>
      </c>
      <c r="D214" s="17"/>
      <c r="E214" s="17">
        <f t="shared" si="13"/>
        <v>65919</v>
      </c>
      <c r="F214" s="17">
        <f t="shared" ca="1" si="1"/>
        <v>2017</v>
      </c>
      <c r="G214" s="17">
        <f t="shared" ca="1" si="14"/>
        <v>10876</v>
      </c>
      <c r="H214" s="3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1210839000</v>
      </c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5" customHeight="1" x14ac:dyDescent="0.3">
      <c r="A215" s="17" t="s">
        <v>635</v>
      </c>
      <c r="B215" s="17">
        <f t="shared" si="11"/>
        <v>6</v>
      </c>
      <c r="C215" s="17">
        <f t="shared" si="12"/>
        <v>19</v>
      </c>
      <c r="D215" s="17"/>
      <c r="E215" s="17">
        <f t="shared" si="13"/>
        <v>65919</v>
      </c>
      <c r="F215" s="17">
        <f t="shared" ca="1" si="1"/>
        <v>2017</v>
      </c>
      <c r="G215" s="17">
        <f t="shared" ca="1" si="14"/>
        <v>10877</v>
      </c>
      <c r="H215" s="3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58270000</v>
      </c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5" customHeight="1" x14ac:dyDescent="0.3">
      <c r="A216" s="17" t="s">
        <v>635</v>
      </c>
      <c r="B216" s="17">
        <f t="shared" si="11"/>
        <v>6</v>
      </c>
      <c r="C216" s="17">
        <f t="shared" si="12"/>
        <v>20</v>
      </c>
      <c r="D216" s="17"/>
      <c r="E216" s="17">
        <f t="shared" si="13"/>
        <v>65919</v>
      </c>
      <c r="F216" s="17">
        <f t="shared" ca="1" si="1"/>
        <v>2017</v>
      </c>
      <c r="G216" s="17">
        <f t="shared" ca="1" si="14"/>
        <v>10878</v>
      </c>
      <c r="H216" s="3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0.95399999999999996</v>
      </c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5" customHeight="1" x14ac:dyDescent="0.3">
      <c r="A217" s="17" t="s">
        <v>635</v>
      </c>
      <c r="B217" s="17">
        <f t="shared" si="11"/>
        <v>6</v>
      </c>
      <c r="C217" s="17">
        <f t="shared" si="12"/>
        <v>21</v>
      </c>
      <c r="D217" s="17"/>
      <c r="E217" s="17">
        <f t="shared" si="13"/>
        <v>65919</v>
      </c>
      <c r="F217" s="17">
        <f t="shared" ca="1" si="1"/>
        <v>2017</v>
      </c>
      <c r="G217" s="17">
        <f t="shared" ca="1" si="14"/>
        <v>10879</v>
      </c>
      <c r="H217" s="3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87000000</v>
      </c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5" customHeight="1" x14ac:dyDescent="0.3">
      <c r="A218" s="17" t="s">
        <v>635</v>
      </c>
      <c r="B218" s="17">
        <f t="shared" si="11"/>
        <v>6</v>
      </c>
      <c r="C218" s="17">
        <f t="shared" si="12"/>
        <v>22</v>
      </c>
      <c r="D218" s="17"/>
      <c r="E218" s="17">
        <f t="shared" si="13"/>
        <v>65919</v>
      </c>
      <c r="F218" s="17">
        <f t="shared" ca="1" si="1"/>
        <v>2017</v>
      </c>
      <c r="G218" s="17">
        <f t="shared" ca="1" si="14"/>
        <v>10880</v>
      </c>
      <c r="H218" s="3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5" customHeight="1" x14ac:dyDescent="0.3">
      <c r="A219" s="17" t="s">
        <v>635</v>
      </c>
      <c r="B219" s="17">
        <f t="shared" si="11"/>
        <v>6</v>
      </c>
      <c r="C219" s="17">
        <f t="shared" si="12"/>
        <v>23</v>
      </c>
      <c r="D219" s="17"/>
      <c r="E219" s="17">
        <f t="shared" si="13"/>
        <v>65919</v>
      </c>
      <c r="F219" s="17">
        <f t="shared" ca="1" si="1"/>
        <v>2017</v>
      </c>
      <c r="G219" s="17">
        <f t="shared" ca="1" si="14"/>
        <v>10881</v>
      </c>
      <c r="H219" s="3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5" customHeight="1" x14ac:dyDescent="0.3">
      <c r="A220" s="17" t="s">
        <v>635</v>
      </c>
      <c r="B220" s="17">
        <f t="shared" si="11"/>
        <v>6</v>
      </c>
      <c r="C220" s="17">
        <f t="shared" si="12"/>
        <v>24</v>
      </c>
      <c r="D220" s="17"/>
      <c r="E220" s="17">
        <f t="shared" si="13"/>
        <v>65919</v>
      </c>
      <c r="F220" s="17">
        <f t="shared" ca="1" si="1"/>
        <v>2017</v>
      </c>
      <c r="G220" s="17">
        <f t="shared" ca="1" si="14"/>
        <v>10882</v>
      </c>
      <c r="H220" s="3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5" customHeight="1" x14ac:dyDescent="0.3">
      <c r="A221" s="17" t="s">
        <v>635</v>
      </c>
      <c r="B221" s="17">
        <f t="shared" si="11"/>
        <v>6</v>
      </c>
      <c r="C221" s="17">
        <f t="shared" si="12"/>
        <v>25</v>
      </c>
      <c r="D221" s="17"/>
      <c r="E221" s="17">
        <f t="shared" si="13"/>
        <v>65919</v>
      </c>
      <c r="F221" s="17">
        <f t="shared" ca="1" si="1"/>
        <v>2017</v>
      </c>
      <c r="G221" s="17">
        <f t="shared" ca="1" si="14"/>
        <v>10883</v>
      </c>
      <c r="H221" s="3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9.4011494252873556E-2</v>
      </c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5" customHeight="1" x14ac:dyDescent="0.3">
      <c r="A222" s="17" t="s">
        <v>635</v>
      </c>
      <c r="B222" s="17">
        <f t="shared" si="11"/>
        <v>6</v>
      </c>
      <c r="C222" s="17">
        <f t="shared" si="12"/>
        <v>26</v>
      </c>
      <c r="D222" s="17"/>
      <c r="E222" s="17">
        <f t="shared" si="13"/>
        <v>65919</v>
      </c>
      <c r="F222" s="17">
        <f t="shared" ca="1" si="1"/>
        <v>2017</v>
      </c>
      <c r="G222" s="17">
        <f t="shared" ca="1" si="14"/>
        <v>10884</v>
      </c>
      <c r="H222" s="3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8.7206896551724145E-2</v>
      </c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5" customHeight="1" x14ac:dyDescent="0.3">
      <c r="A223" s="17" t="s">
        <v>635</v>
      </c>
      <c r="B223" s="17">
        <f t="shared" si="11"/>
        <v>6</v>
      </c>
      <c r="C223" s="17">
        <f t="shared" si="12"/>
        <v>27</v>
      </c>
      <c r="D223" s="17"/>
      <c r="E223" s="17">
        <f t="shared" si="13"/>
        <v>65919</v>
      </c>
      <c r="F223" s="17">
        <f t="shared" ca="1" si="1"/>
        <v>2017</v>
      </c>
      <c r="G223" s="17">
        <f t="shared" ca="1" si="14"/>
        <v>10885</v>
      </c>
      <c r="H223" s="3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8179000</v>
      </c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5" customHeight="1" x14ac:dyDescent="0.3">
      <c r="A224" s="17" t="s">
        <v>635</v>
      </c>
      <c r="B224" s="17">
        <f t="shared" si="11"/>
        <v>6</v>
      </c>
      <c r="C224" s="17">
        <f t="shared" si="12"/>
        <v>28</v>
      </c>
      <c r="D224" s="17"/>
      <c r="E224" s="17">
        <f t="shared" si="13"/>
        <v>65919</v>
      </c>
      <c r="F224" s="17">
        <f t="shared" ca="1" si="1"/>
        <v>2017</v>
      </c>
      <c r="G224" s="17">
        <f t="shared" ca="1" si="14"/>
        <v>10886</v>
      </c>
      <c r="H224" s="3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7587000</v>
      </c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5" customHeight="1" x14ac:dyDescent="0.3">
      <c r="A225" s="17" t="s">
        <v>635</v>
      </c>
      <c r="B225" s="17">
        <f t="shared" si="11"/>
        <v>6</v>
      </c>
      <c r="C225" s="17">
        <f t="shared" si="12"/>
        <v>29</v>
      </c>
      <c r="D225" s="17"/>
      <c r="E225" s="17">
        <f t="shared" si="13"/>
        <v>65919</v>
      </c>
      <c r="F225" s="17">
        <f t="shared" ca="1" si="1"/>
        <v>2017</v>
      </c>
      <c r="G225" s="17">
        <f t="shared" ca="1" si="14"/>
        <v>10887</v>
      </c>
      <c r="H225" s="3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592000</v>
      </c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5" customHeight="1" x14ac:dyDescent="0.3">
      <c r="A226" s="17" t="s">
        <v>635</v>
      </c>
      <c r="B226" s="17">
        <f t="shared" si="11"/>
        <v>6</v>
      </c>
      <c r="C226" s="17">
        <f t="shared" si="12"/>
        <v>30</v>
      </c>
      <c r="D226" s="17"/>
      <c r="E226" s="17">
        <f t="shared" si="13"/>
        <v>65919</v>
      </c>
      <c r="F226" s="17">
        <f t="shared" ca="1" si="1"/>
        <v>2017</v>
      </c>
      <c r="G226" s="17">
        <f t="shared" ca="1" si="14"/>
        <v>10883</v>
      </c>
      <c r="H226" s="3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0.92761951338794468</v>
      </c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5" customHeight="1" x14ac:dyDescent="0.3">
      <c r="A227" s="17" t="s">
        <v>635</v>
      </c>
      <c r="B227" s="17">
        <f t="shared" si="11"/>
        <v>6</v>
      </c>
      <c r="C227" s="17">
        <f t="shared" si="12"/>
        <v>31</v>
      </c>
      <c r="D227" s="17"/>
      <c r="E227" s="17">
        <f t="shared" si="13"/>
        <v>65919</v>
      </c>
      <c r="F227" s="17">
        <f t="shared" ca="1" si="1"/>
        <v>2017</v>
      </c>
      <c r="G227" s="17">
        <f t="shared" ca="1" si="14"/>
        <v>10889</v>
      </c>
      <c r="H227" s="3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18474000</v>
      </c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5" customHeight="1" x14ac:dyDescent="0.3">
      <c r="A228" s="17" t="s">
        <v>635</v>
      </c>
      <c r="B228" s="17">
        <f t="shared" si="11"/>
        <v>6</v>
      </c>
      <c r="C228" s="17">
        <f t="shared" si="12"/>
        <v>32</v>
      </c>
      <c r="D228" s="17"/>
      <c r="E228" s="17">
        <f t="shared" si="13"/>
        <v>65919</v>
      </c>
      <c r="F228" s="17">
        <f t="shared" ca="1" si="1"/>
        <v>2017</v>
      </c>
      <c r="G228" s="17">
        <f t="shared" ca="1" si="14"/>
        <v>10890</v>
      </c>
      <c r="H228" s="3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90560000</v>
      </c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5" customHeight="1" x14ac:dyDescent="0.3">
      <c r="A229" s="17" t="s">
        <v>635</v>
      </c>
      <c r="B229" s="17">
        <f t="shared" si="11"/>
        <v>6</v>
      </c>
      <c r="C229" s="17">
        <f t="shared" si="12"/>
        <v>33</v>
      </c>
      <c r="D229" s="17"/>
      <c r="E229" s="17">
        <f t="shared" si="13"/>
        <v>65919</v>
      </c>
      <c r="F229" s="17">
        <f t="shared" ca="1" si="1"/>
        <v>2017</v>
      </c>
      <c r="G229" s="17">
        <f t="shared" ca="1" si="14"/>
        <v>10891</v>
      </c>
      <c r="H229" s="3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4830000</v>
      </c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5" customHeight="1" x14ac:dyDescent="0.3">
      <c r="A230" s="17" t="s">
        <v>635</v>
      </c>
      <c r="B230" s="17">
        <f t="shared" si="11"/>
        <v>6</v>
      </c>
      <c r="C230" s="17">
        <f t="shared" si="12"/>
        <v>34</v>
      </c>
      <c r="D230" s="17"/>
      <c r="E230" s="17">
        <f t="shared" si="13"/>
        <v>65919</v>
      </c>
      <c r="F230" s="17">
        <f t="shared" ca="1" si="1"/>
        <v>2017</v>
      </c>
      <c r="G230" s="17">
        <f t="shared" ca="1" si="14"/>
        <v>10892</v>
      </c>
      <c r="H230" s="3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5" customHeight="1" x14ac:dyDescent="0.3">
      <c r="A231" s="17" t="s">
        <v>635</v>
      </c>
      <c r="B231" s="17">
        <f t="shared" si="11"/>
        <v>6</v>
      </c>
      <c r="C231" s="17">
        <f t="shared" si="12"/>
        <v>35</v>
      </c>
      <c r="D231" s="17"/>
      <c r="E231" s="17">
        <f t="shared" si="13"/>
        <v>65919</v>
      </c>
      <c r="F231" s="17">
        <f t="shared" ca="1" si="1"/>
        <v>2017</v>
      </c>
      <c r="G231" s="17">
        <f t="shared" ca="1" si="14"/>
        <v>10893</v>
      </c>
      <c r="H231" s="3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5" customHeight="1" x14ac:dyDescent="0.3">
      <c r="A232" s="17" t="s">
        <v>635</v>
      </c>
      <c r="B232" s="17">
        <f t="shared" si="11"/>
        <v>6</v>
      </c>
      <c r="C232" s="17">
        <f t="shared" si="12"/>
        <v>36</v>
      </c>
      <c r="D232" s="17"/>
      <c r="E232" s="17">
        <f t="shared" si="13"/>
        <v>65919</v>
      </c>
      <c r="F232" s="17">
        <f t="shared" ca="1" si="1"/>
        <v>2017</v>
      </c>
      <c r="G232" s="17">
        <f t="shared" ca="1" si="14"/>
        <v>10894</v>
      </c>
      <c r="H232" s="3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-10454000</v>
      </c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5" customHeight="1" x14ac:dyDescent="0.3">
      <c r="A233" s="17" t="s">
        <v>635</v>
      </c>
      <c r="B233" s="17">
        <f t="shared" si="11"/>
        <v>6</v>
      </c>
      <c r="C233" s="17">
        <f t="shared" si="12"/>
        <v>37</v>
      </c>
      <c r="D233" s="17"/>
      <c r="E233" s="17">
        <f t="shared" si="13"/>
        <v>65919</v>
      </c>
      <c r="F233" s="17">
        <f t="shared" ca="1" si="1"/>
        <v>2017</v>
      </c>
      <c r="G233" s="17">
        <f t="shared" ca="1" si="14"/>
        <v>10895</v>
      </c>
      <c r="H233" s="3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5" customHeight="1" x14ac:dyDescent="0.3">
      <c r="A234" s="17" t="s">
        <v>635</v>
      </c>
      <c r="B234" s="17">
        <f t="shared" si="11"/>
        <v>6</v>
      </c>
      <c r="C234" s="17">
        <f t="shared" si="12"/>
        <v>38</v>
      </c>
      <c r="D234" s="17"/>
      <c r="E234" s="17">
        <f t="shared" si="13"/>
        <v>65919</v>
      </c>
      <c r="F234" s="17">
        <f t="shared" ca="1" si="1"/>
        <v>2017</v>
      </c>
      <c r="G234" s="17">
        <f t="shared" ca="1" si="14"/>
        <v>10896</v>
      </c>
      <c r="H234" s="3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5" customHeight="1" x14ac:dyDescent="0.3">
      <c r="A235" s="17" t="s">
        <v>635</v>
      </c>
      <c r="B235" s="17">
        <f t="shared" si="11"/>
        <v>6</v>
      </c>
      <c r="C235" s="17">
        <f t="shared" si="12"/>
        <v>39</v>
      </c>
      <c r="D235" s="17"/>
      <c r="E235" s="17">
        <f t="shared" si="13"/>
        <v>65919</v>
      </c>
      <c r="F235" s="17">
        <f t="shared" ca="1" si="1"/>
        <v>2017</v>
      </c>
      <c r="G235" s="17">
        <f t="shared" ca="1" si="14"/>
        <v>10897</v>
      </c>
      <c r="H235" s="3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53000</v>
      </c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5" customHeight="1" x14ac:dyDescent="0.3">
      <c r="A236" s="17" t="s">
        <v>635</v>
      </c>
      <c r="B236" s="17">
        <f t="shared" si="11"/>
        <v>6</v>
      </c>
      <c r="C236" s="17">
        <f t="shared" si="12"/>
        <v>40</v>
      </c>
      <c r="D236" s="17"/>
      <c r="E236" s="17">
        <f t="shared" si="13"/>
        <v>65919</v>
      </c>
      <c r="F236" s="17">
        <f t="shared" ca="1" si="1"/>
        <v>2017</v>
      </c>
      <c r="G236" s="17">
        <f t="shared" ca="1" si="14"/>
        <v>10898</v>
      </c>
      <c r="H236" s="3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5" customHeight="1" x14ac:dyDescent="0.3">
      <c r="A237" s="17" t="s">
        <v>635</v>
      </c>
      <c r="B237" s="17">
        <f t="shared" si="11"/>
        <v>6</v>
      </c>
      <c r="C237" s="17">
        <f t="shared" si="12"/>
        <v>41</v>
      </c>
      <c r="D237" s="17"/>
      <c r="E237" s="17">
        <f t="shared" si="13"/>
        <v>65919</v>
      </c>
      <c r="F237" s="17">
        <f t="shared" ca="1" si="1"/>
        <v>2017</v>
      </c>
      <c r="G237" s="17">
        <f t="shared" ca="1" si="14"/>
        <v>10899</v>
      </c>
      <c r="H237" s="3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5" customHeight="1" x14ac:dyDescent="0.3">
      <c r="A238" s="17" t="s">
        <v>635</v>
      </c>
      <c r="B238" s="17">
        <f t="shared" si="11"/>
        <v>6</v>
      </c>
      <c r="C238" s="17">
        <f t="shared" si="12"/>
        <v>42</v>
      </c>
      <c r="D238" s="17"/>
      <c r="E238" s="17">
        <f t="shared" si="13"/>
        <v>65919</v>
      </c>
      <c r="F238" s="17">
        <f t="shared" ca="1" si="1"/>
        <v>2017</v>
      </c>
      <c r="G238" s="17">
        <f t="shared" ca="1" si="14"/>
        <v>11006</v>
      </c>
      <c r="H238" s="3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5" customHeight="1" x14ac:dyDescent="0.3">
      <c r="A239" s="17" t="s">
        <v>635</v>
      </c>
      <c r="B239" s="17">
        <f t="shared" si="11"/>
        <v>6</v>
      </c>
      <c r="C239" s="17">
        <f t="shared" si="12"/>
        <v>43</v>
      </c>
      <c r="D239" s="17"/>
      <c r="E239" s="17">
        <f t="shared" si="13"/>
        <v>65919</v>
      </c>
      <c r="F239" s="17">
        <f t="shared" ca="1" si="1"/>
        <v>2017</v>
      </c>
      <c r="G239" s="17">
        <f t="shared" ca="1" si="14"/>
        <v>10900</v>
      </c>
      <c r="H239" s="3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5" customHeight="1" x14ac:dyDescent="0.3">
      <c r="A240" s="17" t="s">
        <v>635</v>
      </c>
      <c r="B240" s="17">
        <f t="shared" si="11"/>
        <v>6</v>
      </c>
      <c r="C240" s="17">
        <f t="shared" si="12"/>
        <v>44</v>
      </c>
      <c r="D240" s="17"/>
      <c r="E240" s="17">
        <f t="shared" si="13"/>
        <v>65919</v>
      </c>
      <c r="F240" s="17">
        <f t="shared" ca="1" si="1"/>
        <v>2017</v>
      </c>
      <c r="G240" s="17">
        <f t="shared" ca="1" si="14"/>
        <v>10901</v>
      </c>
      <c r="H240" s="3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5" customHeight="1" x14ac:dyDescent="0.3">
      <c r="A241" s="17" t="s">
        <v>635</v>
      </c>
      <c r="B241" s="17">
        <f t="shared" si="11"/>
        <v>6</v>
      </c>
      <c r="C241" s="17">
        <f t="shared" si="12"/>
        <v>45</v>
      </c>
      <c r="D241" s="17"/>
      <c r="E241" s="17">
        <f t="shared" si="13"/>
        <v>65919</v>
      </c>
      <c r="F241" s="17">
        <f t="shared" ca="1" si="1"/>
        <v>2017</v>
      </c>
      <c r="G241" s="17">
        <f t="shared" ca="1" si="14"/>
        <v>10902</v>
      </c>
      <c r="H241" s="3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5" customHeight="1" x14ac:dyDescent="0.3">
      <c r="A242" s="17" t="s">
        <v>635</v>
      </c>
      <c r="B242" s="17">
        <f t="shared" si="11"/>
        <v>6</v>
      </c>
      <c r="C242" s="17">
        <f t="shared" si="12"/>
        <v>46</v>
      </c>
      <c r="D242" s="17"/>
      <c r="E242" s="17">
        <f t="shared" si="13"/>
        <v>65919</v>
      </c>
      <c r="F242" s="17">
        <f t="shared" ca="1" si="1"/>
        <v>2017</v>
      </c>
      <c r="G242" s="17">
        <f t="shared" ca="1" si="14"/>
        <v>10903</v>
      </c>
      <c r="H242" s="3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5" customHeight="1" x14ac:dyDescent="0.3">
      <c r="A243" s="17" t="s">
        <v>635</v>
      </c>
      <c r="B243" s="17">
        <f t="shared" si="11"/>
        <v>6</v>
      </c>
      <c r="C243" s="17">
        <f t="shared" si="12"/>
        <v>47</v>
      </c>
      <c r="D243" s="17"/>
      <c r="E243" s="17">
        <f t="shared" si="13"/>
        <v>65919</v>
      </c>
      <c r="F243" s="17">
        <f t="shared" ca="1" si="1"/>
        <v>2017</v>
      </c>
      <c r="G243" s="17">
        <f t="shared" ca="1" si="14"/>
        <v>10904</v>
      </c>
      <c r="H243" s="3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239856000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5" customHeight="1" x14ac:dyDescent="0.3">
      <c r="A244" s="17" t="s">
        <v>635</v>
      </c>
      <c r="B244" s="17">
        <f t="shared" si="11"/>
        <v>6</v>
      </c>
      <c r="C244" s="17">
        <f t="shared" si="12"/>
        <v>48</v>
      </c>
      <c r="D244" s="17"/>
      <c r="E244" s="17">
        <f t="shared" si="13"/>
        <v>65919</v>
      </c>
      <c r="F244" s="17">
        <f t="shared" ca="1" si="1"/>
        <v>2017</v>
      </c>
      <c r="G244" s="17">
        <f t="shared" ca="1" si="14"/>
        <v>10905</v>
      </c>
      <c r="H244" s="3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58270000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5" customHeight="1" x14ac:dyDescent="0.3">
      <c r="A245" s="17" t="s">
        <v>635</v>
      </c>
      <c r="B245" s="17">
        <f t="shared" si="11"/>
        <v>6</v>
      </c>
      <c r="C245" s="17">
        <f t="shared" si="12"/>
        <v>49</v>
      </c>
      <c r="D245" s="17"/>
      <c r="E245" s="17">
        <f t="shared" si="13"/>
        <v>65919</v>
      </c>
      <c r="F245" s="17">
        <f t="shared" ca="1" si="1"/>
        <v>2017</v>
      </c>
      <c r="G245" s="17">
        <f t="shared" ca="1" si="14"/>
        <v>10906</v>
      </c>
      <c r="H245" s="3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-89098000</v>
      </c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5" customHeight="1" x14ac:dyDescent="0.3">
      <c r="A246" s="17" t="s">
        <v>635</v>
      </c>
      <c r="B246" s="17">
        <f t="shared" si="11"/>
        <v>6</v>
      </c>
      <c r="C246" s="17">
        <f t="shared" si="12"/>
        <v>50</v>
      </c>
      <c r="D246" s="17"/>
      <c r="E246" s="17">
        <f t="shared" si="13"/>
        <v>65919</v>
      </c>
      <c r="F246" s="17">
        <f t="shared" ca="1" si="1"/>
        <v>2017</v>
      </c>
      <c r="G246" s="17">
        <f t="shared" ca="1" si="14"/>
        <v>10907</v>
      </c>
      <c r="H246" s="2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5" customHeight="1" x14ac:dyDescent="0.3">
      <c r="A247" s="17" t="s">
        <v>635</v>
      </c>
      <c r="B247" s="17">
        <f t="shared" si="11"/>
        <v>6</v>
      </c>
      <c r="C247" s="17">
        <f t="shared" si="12"/>
        <v>51</v>
      </c>
      <c r="D247" s="17"/>
      <c r="E247" s="17">
        <f t="shared" si="13"/>
        <v>65919</v>
      </c>
      <c r="F247" s="17">
        <f t="shared" ca="1" si="1"/>
        <v>2017</v>
      </c>
      <c r="G247" s="17">
        <f t="shared" ca="1" si="14"/>
        <v>10860</v>
      </c>
      <c r="H247" s="3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1167443000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5" customHeight="1" x14ac:dyDescent="0.3">
      <c r="A248" s="17" t="s">
        <v>635</v>
      </c>
      <c r="B248" s="17">
        <f t="shared" si="11"/>
        <v>6</v>
      </c>
      <c r="C248" s="17">
        <f t="shared" si="12"/>
        <v>52</v>
      </c>
      <c r="D248" s="17"/>
      <c r="E248" s="17">
        <f t="shared" si="13"/>
        <v>65919</v>
      </c>
      <c r="F248" s="17">
        <f t="shared" ca="1" si="1"/>
        <v>2017</v>
      </c>
      <c r="G248" s="17">
        <f t="shared" ca="1" si="14"/>
        <v>10909</v>
      </c>
      <c r="H248" s="3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18474000</v>
      </c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5" customHeight="1" x14ac:dyDescent="0.3">
      <c r="A249" s="17" t="s">
        <v>635</v>
      </c>
      <c r="B249" s="17">
        <f t="shared" si="11"/>
        <v>6</v>
      </c>
      <c r="C249" s="17">
        <f t="shared" si="12"/>
        <v>53</v>
      </c>
      <c r="D249" s="17"/>
      <c r="E249" s="17">
        <f t="shared" si="13"/>
        <v>65919</v>
      </c>
      <c r="F249" s="17">
        <f t="shared" ca="1" si="1"/>
        <v>2017</v>
      </c>
      <c r="G249" s="17">
        <f t="shared" ca="1" si="14"/>
        <v>10910</v>
      </c>
      <c r="H249" s="3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90560000</v>
      </c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5" customHeight="1" x14ac:dyDescent="0.3">
      <c r="A250" s="17" t="s">
        <v>635</v>
      </c>
      <c r="B250" s="17">
        <f t="shared" si="11"/>
        <v>6</v>
      </c>
      <c r="C250" s="17">
        <f t="shared" si="12"/>
        <v>54</v>
      </c>
      <c r="D250" s="17"/>
      <c r="E250" s="17">
        <f t="shared" si="13"/>
        <v>65919</v>
      </c>
      <c r="F250" s="17">
        <f t="shared" ca="1" si="1"/>
        <v>2017</v>
      </c>
      <c r="G250" s="17">
        <f t="shared" ca="1" si="14"/>
        <v>10911</v>
      </c>
      <c r="H250" s="3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4830000</v>
      </c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5" customHeight="1" x14ac:dyDescent="0.3">
      <c r="A251" s="17" t="s">
        <v>635</v>
      </c>
      <c r="B251" s="17">
        <f t="shared" si="11"/>
        <v>6</v>
      </c>
      <c r="C251" s="17">
        <f t="shared" si="12"/>
        <v>55</v>
      </c>
      <c r="D251" s="17"/>
      <c r="E251" s="17">
        <f t="shared" si="13"/>
        <v>65919</v>
      </c>
      <c r="F251" s="17">
        <f t="shared" ca="1" si="1"/>
        <v>2017</v>
      </c>
      <c r="G251" s="17">
        <f t="shared" ca="1" si="14"/>
        <v>10912</v>
      </c>
      <c r="H251" s="3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23702000</v>
      </c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5" customHeight="1" x14ac:dyDescent="0.3">
      <c r="A252" s="17" t="s">
        <v>635</v>
      </c>
      <c r="B252" s="17">
        <f t="shared" si="11"/>
        <v>6</v>
      </c>
      <c r="C252" s="17">
        <f t="shared" si="12"/>
        <v>56</v>
      </c>
      <c r="D252" s="17"/>
      <c r="E252" s="17">
        <f t="shared" si="13"/>
        <v>65919</v>
      </c>
      <c r="F252" s="17">
        <f t="shared" ca="1" si="1"/>
        <v>2017</v>
      </c>
      <c r="G252" s="17">
        <f t="shared" ca="1" si="14"/>
        <v>10913</v>
      </c>
      <c r="H252" s="3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20921000</v>
      </c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5" customHeight="1" x14ac:dyDescent="0.3">
      <c r="A253" s="17" t="s">
        <v>635</v>
      </c>
      <c r="B253" s="17">
        <f t="shared" si="11"/>
        <v>6</v>
      </c>
      <c r="C253" s="17">
        <f t="shared" si="12"/>
        <v>57</v>
      </c>
      <c r="D253" s="17"/>
      <c r="E253" s="17">
        <f t="shared" si="13"/>
        <v>65919</v>
      </c>
      <c r="F253" s="17">
        <f t="shared" ca="1" si="1"/>
        <v>2017</v>
      </c>
      <c r="G253" s="17">
        <f t="shared" ca="1" si="14"/>
        <v>10914</v>
      </c>
      <c r="H253" s="3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7587000</v>
      </c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5" customHeight="1" x14ac:dyDescent="0.3">
      <c r="A254" s="17" t="s">
        <v>635</v>
      </c>
      <c r="B254" s="17">
        <f t="shared" si="11"/>
        <v>6</v>
      </c>
      <c r="C254" s="17">
        <f t="shared" si="12"/>
        <v>58</v>
      </c>
      <c r="D254" s="17"/>
      <c r="E254" s="17">
        <f t="shared" si="13"/>
        <v>65919</v>
      </c>
      <c r="F254" s="17">
        <f t="shared" ca="1" si="1"/>
        <v>2017</v>
      </c>
      <c r="G254" s="17">
        <f t="shared" ca="1" si="14"/>
        <v>10915</v>
      </c>
      <c r="H254" s="3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10454000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5" customHeight="1" x14ac:dyDescent="0.3">
      <c r="A255" s="17" t="s">
        <v>635</v>
      </c>
      <c r="B255" s="17">
        <f t="shared" si="11"/>
        <v>6</v>
      </c>
      <c r="C255" s="17">
        <f t="shared" si="12"/>
        <v>59</v>
      </c>
      <c r="D255" s="17"/>
      <c r="E255" s="17">
        <f t="shared" si="13"/>
        <v>65919</v>
      </c>
      <c r="F255" s="17">
        <f t="shared" ca="1" si="1"/>
        <v>2017</v>
      </c>
      <c r="G255" s="17">
        <f t="shared" ca="1" si="14"/>
        <v>10916</v>
      </c>
      <c r="H255" s="3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151021000</v>
      </c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5" customHeight="1" x14ac:dyDescent="0.3">
      <c r="A256" s="17" t="s">
        <v>635</v>
      </c>
      <c r="B256" s="17">
        <f t="shared" si="11"/>
        <v>6</v>
      </c>
      <c r="C256" s="17">
        <f t="shared" si="12"/>
        <v>60</v>
      </c>
      <c r="D256" s="17"/>
      <c r="E256" s="17">
        <f t="shared" si="13"/>
        <v>65919</v>
      </c>
      <c r="F256" s="17">
        <f t="shared" ca="1" si="1"/>
        <v>2017</v>
      </c>
      <c r="G256" s="17">
        <f t="shared" ca="1" si="14"/>
        <v>10917</v>
      </c>
      <c r="H256" s="3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-56821000</v>
      </c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5" customHeight="1" x14ac:dyDescent="0.3">
      <c r="A257" s="17" t="s">
        <v>635</v>
      </c>
      <c r="B257" s="17">
        <f t="shared" si="11"/>
        <v>6</v>
      </c>
      <c r="C257" s="17">
        <f t="shared" si="12"/>
        <v>61</v>
      </c>
      <c r="D257" s="17"/>
      <c r="E257" s="17">
        <f t="shared" si="13"/>
        <v>65919</v>
      </c>
      <c r="F257" s="17">
        <f t="shared" ca="1" si="1"/>
        <v>2017</v>
      </c>
      <c r="G257" s="17">
        <f t="shared" ca="1" si="14"/>
        <v>10918</v>
      </c>
      <c r="H257" s="3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5" customHeight="1" x14ac:dyDescent="0.3">
      <c r="A258" s="17" t="s">
        <v>635</v>
      </c>
      <c r="B258" s="17">
        <f t="shared" si="11"/>
        <v>6</v>
      </c>
      <c r="C258" s="17">
        <f t="shared" si="12"/>
        <v>62</v>
      </c>
      <c r="D258" s="17"/>
      <c r="E258" s="17">
        <f t="shared" si="13"/>
        <v>65919</v>
      </c>
      <c r="F258" s="17">
        <f t="shared" ca="1" si="1"/>
        <v>2017</v>
      </c>
      <c r="G258" s="17">
        <f t="shared" ca="1" si="14"/>
        <v>10919</v>
      </c>
      <c r="H258" s="3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-56821000</v>
      </c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5" customHeight="1" x14ac:dyDescent="0.3">
      <c r="A259" s="17" t="s">
        <v>635</v>
      </c>
      <c r="B259" s="17">
        <f t="shared" si="11"/>
        <v>6</v>
      </c>
      <c r="C259" s="17">
        <f t="shared" si="12"/>
        <v>63</v>
      </c>
      <c r="D259" s="17"/>
      <c r="E259" s="17">
        <f t="shared" si="13"/>
        <v>65919</v>
      </c>
      <c r="F259" s="17">
        <f t="shared" ca="1" si="1"/>
        <v>2017</v>
      </c>
      <c r="G259" s="17">
        <f t="shared" ca="1" si="14"/>
        <v>10920</v>
      </c>
      <c r="H259" s="3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-53000</v>
      </c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5" customHeight="1" x14ac:dyDescent="0.3">
      <c r="A260" s="17" t="s">
        <v>635</v>
      </c>
      <c r="B260" s="17">
        <f t="shared" si="11"/>
        <v>6</v>
      </c>
      <c r="C260" s="17">
        <f t="shared" si="12"/>
        <v>64</v>
      </c>
      <c r="D260" s="17"/>
      <c r="E260" s="17">
        <f t="shared" ref="E260:E323" si="15">plan_id</f>
        <v>65919</v>
      </c>
      <c r="F260" s="17">
        <f t="shared" ca="1" si="1"/>
        <v>2017</v>
      </c>
      <c r="G260" s="17">
        <f t="shared" ref="G260:G323" ca="1" si="16">VLOOKUP(INDIRECT(CHAR(39)&amp;$A260&amp;CHAR(39)&amp;"!r2c"&amp;$C260,0),variables,2,0)</f>
        <v>10921</v>
      </c>
      <c r="H260" s="3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524000</v>
      </c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5" customHeight="1" x14ac:dyDescent="0.3">
      <c r="A261" s="17" t="s">
        <v>635</v>
      </c>
      <c r="B261" s="17">
        <f t="shared" si="11"/>
        <v>6</v>
      </c>
      <c r="C261" s="17">
        <f t="shared" si="12"/>
        <v>65</v>
      </c>
      <c r="D261" s="17"/>
      <c r="E261" s="17">
        <f t="shared" si="15"/>
        <v>65919</v>
      </c>
      <c r="F261" s="17">
        <f t="shared" ca="1" si="1"/>
        <v>2017</v>
      </c>
      <c r="G261" s="17">
        <f t="shared" ca="1" si="16"/>
        <v>10922</v>
      </c>
      <c r="H261" s="3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5" customHeight="1" x14ac:dyDescent="0.3">
      <c r="A262" s="17" t="s">
        <v>635</v>
      </c>
      <c r="B262" s="17">
        <f t="shared" si="11"/>
        <v>6</v>
      </c>
      <c r="C262" s="17">
        <f t="shared" si="12"/>
        <v>66</v>
      </c>
      <c r="D262" s="17"/>
      <c r="E262" s="17">
        <f t="shared" si="15"/>
        <v>65919</v>
      </c>
      <c r="F262" s="17">
        <f t="shared" ca="1" si="1"/>
        <v>2017</v>
      </c>
      <c r="G262" s="17">
        <f t="shared" ca="1" si="16"/>
        <v>10860</v>
      </c>
      <c r="H262" s="3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1098127000</v>
      </c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5" customHeight="1" x14ac:dyDescent="0.3">
      <c r="A263" s="17" t="s">
        <v>635</v>
      </c>
      <c r="B263" s="17">
        <f t="shared" si="11"/>
        <v>6</v>
      </c>
      <c r="C263" s="17">
        <f t="shared" si="12"/>
        <v>67</v>
      </c>
      <c r="D263" s="17"/>
      <c r="E263" s="17">
        <f t="shared" si="15"/>
        <v>65919</v>
      </c>
      <c r="F263" s="17">
        <f t="shared" ca="1" si="1"/>
        <v>2017</v>
      </c>
      <c r="G263" s="17">
        <f t="shared" ca="1" si="16"/>
        <v>10923</v>
      </c>
      <c r="H263" s="3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58270000</v>
      </c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5" customHeight="1" x14ac:dyDescent="0.3">
      <c r="A264" s="17" t="s">
        <v>635</v>
      </c>
      <c r="B264" s="17">
        <f t="shared" si="11"/>
        <v>7</v>
      </c>
      <c r="C264" s="17">
        <f t="shared" si="12"/>
        <v>3</v>
      </c>
      <c r="D264" s="17"/>
      <c r="E264" s="17">
        <f t="shared" si="15"/>
        <v>65919</v>
      </c>
      <c r="F264" s="17">
        <f t="shared" ca="1" si="1"/>
        <v>2018</v>
      </c>
      <c r="G264" s="17">
        <f t="shared" ca="1" si="16"/>
        <v>10861</v>
      </c>
      <c r="H264" s="2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5" customHeight="1" x14ac:dyDescent="0.3">
      <c r="A265" s="17" t="s">
        <v>635</v>
      </c>
      <c r="B265" s="17">
        <f t="shared" si="11"/>
        <v>7</v>
      </c>
      <c r="C265" s="17">
        <f t="shared" si="12"/>
        <v>4</v>
      </c>
      <c r="D265" s="17"/>
      <c r="E265" s="17">
        <f t="shared" si="15"/>
        <v>65919</v>
      </c>
      <c r="F265" s="17">
        <f t="shared" ca="1" si="1"/>
        <v>2018</v>
      </c>
      <c r="G265" s="17">
        <f t="shared" ca="1" si="16"/>
        <v>10862</v>
      </c>
      <c r="H265" s="2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5" customHeight="1" x14ac:dyDescent="0.3">
      <c r="A266" s="17" t="s">
        <v>635</v>
      </c>
      <c r="B266" s="17">
        <f t="shared" si="11"/>
        <v>7</v>
      </c>
      <c r="C266" s="17">
        <f t="shared" si="12"/>
        <v>5</v>
      </c>
      <c r="D266" s="17"/>
      <c r="E266" s="17">
        <f t="shared" si="15"/>
        <v>65919</v>
      </c>
      <c r="F266" s="17">
        <f t="shared" ca="1" si="1"/>
        <v>2018</v>
      </c>
      <c r="G266" s="17">
        <f t="shared" ca="1" si="16"/>
        <v>10863</v>
      </c>
      <c r="H266" s="2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5" customHeight="1" x14ac:dyDescent="0.3">
      <c r="A267" s="17" t="s">
        <v>635</v>
      </c>
      <c r="B267" s="17">
        <f t="shared" si="11"/>
        <v>7</v>
      </c>
      <c r="C267" s="17">
        <f t="shared" si="12"/>
        <v>6</v>
      </c>
      <c r="D267" s="17"/>
      <c r="E267" s="17">
        <f t="shared" si="15"/>
        <v>65919</v>
      </c>
      <c r="F267" s="17">
        <f t="shared" ca="1" si="1"/>
        <v>2018</v>
      </c>
      <c r="G267" s="17">
        <f t="shared" ca="1" si="16"/>
        <v>10864</v>
      </c>
      <c r="H267" s="3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1136</v>
      </c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5" customHeight="1" x14ac:dyDescent="0.3">
      <c r="A268" s="17" t="s">
        <v>635</v>
      </c>
      <c r="B268" s="17">
        <f t="shared" si="11"/>
        <v>7</v>
      </c>
      <c r="C268" s="17">
        <f t="shared" si="12"/>
        <v>7</v>
      </c>
      <c r="D268" s="17"/>
      <c r="E268" s="17">
        <f t="shared" si="15"/>
        <v>65919</v>
      </c>
      <c r="F268" s="17">
        <f t="shared" ca="1" si="1"/>
        <v>2018</v>
      </c>
      <c r="G268" s="17">
        <f t="shared" ca="1" si="16"/>
        <v>10865</v>
      </c>
      <c r="H268" s="3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105</v>
      </c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5" customHeight="1" x14ac:dyDescent="0.3">
      <c r="A269" s="17" t="s">
        <v>635</v>
      </c>
      <c r="B269" s="17">
        <f t="shared" si="11"/>
        <v>7</v>
      </c>
      <c r="C269" s="17">
        <f t="shared" si="12"/>
        <v>8</v>
      </c>
      <c r="D269" s="17"/>
      <c r="E269" s="17">
        <f t="shared" si="15"/>
        <v>65919</v>
      </c>
      <c r="F269" s="17">
        <f t="shared" ca="1" si="1"/>
        <v>2018</v>
      </c>
      <c r="G269" s="17">
        <f t="shared" ca="1" si="16"/>
        <v>10866</v>
      </c>
      <c r="H269" s="3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5" customHeight="1" x14ac:dyDescent="0.3">
      <c r="A270" s="17" t="s">
        <v>635</v>
      </c>
      <c r="B270" s="17">
        <f t="shared" si="11"/>
        <v>7</v>
      </c>
      <c r="C270" s="17">
        <f t="shared" si="12"/>
        <v>9</v>
      </c>
      <c r="D270" s="17"/>
      <c r="E270" s="17">
        <f t="shared" si="15"/>
        <v>65919</v>
      </c>
      <c r="F270" s="17">
        <f t="shared" ca="1" si="1"/>
        <v>2018</v>
      </c>
      <c r="G270" s="17">
        <f t="shared" ca="1" si="16"/>
        <v>10867</v>
      </c>
      <c r="H270" s="3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1041</v>
      </c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5" customHeight="1" x14ac:dyDescent="0.3">
      <c r="A271" s="17" t="s">
        <v>635</v>
      </c>
      <c r="B271" s="17">
        <f t="shared" si="11"/>
        <v>7</v>
      </c>
      <c r="C271" s="17">
        <f t="shared" si="12"/>
        <v>10</v>
      </c>
      <c r="D271" s="17"/>
      <c r="E271" s="17">
        <f t="shared" si="15"/>
        <v>65919</v>
      </c>
      <c r="F271" s="17">
        <f t="shared" ca="1" si="1"/>
        <v>2018</v>
      </c>
      <c r="G271" s="17">
        <f t="shared" ca="1" si="16"/>
        <v>10868</v>
      </c>
      <c r="H271" s="3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2282</v>
      </c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5" customHeight="1" x14ac:dyDescent="0.3">
      <c r="A272" s="17" t="s">
        <v>635</v>
      </c>
      <c r="B272" s="17">
        <f t="shared" si="11"/>
        <v>7</v>
      </c>
      <c r="C272" s="17">
        <f t="shared" si="12"/>
        <v>11</v>
      </c>
      <c r="D272" s="17"/>
      <c r="E272" s="17">
        <f t="shared" si="15"/>
        <v>65919</v>
      </c>
      <c r="F272" s="17">
        <f t="shared" ca="1" si="1"/>
        <v>2018</v>
      </c>
      <c r="G272" s="17">
        <f t="shared" ca="1" si="16"/>
        <v>10869</v>
      </c>
      <c r="H272" s="3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7.3999999999999996E-2</v>
      </c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5" customHeight="1" x14ac:dyDescent="0.3">
      <c r="A273" s="17" t="s">
        <v>635</v>
      </c>
      <c r="B273" s="17">
        <f t="shared" si="11"/>
        <v>7</v>
      </c>
      <c r="C273" s="17">
        <f t="shared" si="12"/>
        <v>12</v>
      </c>
      <c r="D273" s="17"/>
      <c r="E273" s="17">
        <f t="shared" si="15"/>
        <v>65919</v>
      </c>
      <c r="F273" s="17">
        <f t="shared" ca="1" si="1"/>
        <v>2018</v>
      </c>
      <c r="G273" s="17">
        <f t="shared" ca="1" si="16"/>
        <v>10870</v>
      </c>
      <c r="H273" s="3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5" customHeight="1" x14ac:dyDescent="0.3">
      <c r="A274" s="17" t="s">
        <v>635</v>
      </c>
      <c r="B274" s="17">
        <f t="shared" si="11"/>
        <v>7</v>
      </c>
      <c r="C274" s="17">
        <f t="shared" si="12"/>
        <v>13</v>
      </c>
      <c r="D274" s="17"/>
      <c r="E274" s="17">
        <f t="shared" si="15"/>
        <v>65919</v>
      </c>
      <c r="F274" s="17">
        <f t="shared" ca="1" si="1"/>
        <v>2018</v>
      </c>
      <c r="G274" s="17">
        <f t="shared" ca="1" si="16"/>
        <v>10871</v>
      </c>
      <c r="H274" s="3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5" customHeight="1" x14ac:dyDescent="0.3">
      <c r="A275" s="17" t="s">
        <v>635</v>
      </c>
      <c r="B275" s="17">
        <f t="shared" si="11"/>
        <v>7</v>
      </c>
      <c r="C275" s="17">
        <f t="shared" si="12"/>
        <v>14</v>
      </c>
      <c r="D275" s="17"/>
      <c r="E275" s="17">
        <f t="shared" si="15"/>
        <v>65919</v>
      </c>
      <c r="F275" s="17">
        <f t="shared" ca="1" si="1"/>
        <v>2018</v>
      </c>
      <c r="G275" s="17">
        <f t="shared" ca="1" si="16"/>
        <v>10872</v>
      </c>
      <c r="H275" s="29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5" customHeight="1" x14ac:dyDescent="0.3">
      <c r="A276" s="17" t="s">
        <v>635</v>
      </c>
      <c r="B276" s="17">
        <f t="shared" si="11"/>
        <v>7</v>
      </c>
      <c r="C276" s="17">
        <f t="shared" si="12"/>
        <v>15</v>
      </c>
      <c r="D276" s="17"/>
      <c r="E276" s="17">
        <f t="shared" si="15"/>
        <v>65919</v>
      </c>
      <c r="F276" s="17">
        <f t="shared" ca="1" si="1"/>
        <v>2018</v>
      </c>
      <c r="G276" s="17">
        <f t="shared" ca="1" si="16"/>
        <v>10873</v>
      </c>
      <c r="H276" s="3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5" customHeight="1" x14ac:dyDescent="0.3">
      <c r="A277" s="17" t="s">
        <v>635</v>
      </c>
      <c r="B277" s="17">
        <f t="shared" si="11"/>
        <v>7</v>
      </c>
      <c r="C277" s="17">
        <f t="shared" si="12"/>
        <v>16</v>
      </c>
      <c r="D277" s="17"/>
      <c r="E277" s="17">
        <f t="shared" si="15"/>
        <v>65919</v>
      </c>
      <c r="F277" s="17">
        <f t="shared" ca="1" si="1"/>
        <v>2018</v>
      </c>
      <c r="G277" s="17">
        <f t="shared" ca="1" si="16"/>
        <v>10874</v>
      </c>
      <c r="H277" s="3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7.3999999999999996E-2</v>
      </c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5" customHeight="1" x14ac:dyDescent="0.3">
      <c r="A278" s="17" t="s">
        <v>635</v>
      </c>
      <c r="B278" s="17">
        <f t="shared" si="11"/>
        <v>7</v>
      </c>
      <c r="C278" s="17">
        <f t="shared" si="12"/>
        <v>17</v>
      </c>
      <c r="D278" s="17"/>
      <c r="E278" s="17">
        <f t="shared" si="15"/>
        <v>65919</v>
      </c>
      <c r="F278" s="17">
        <f t="shared" ca="1" si="1"/>
        <v>2018</v>
      </c>
      <c r="G278" s="17">
        <f t="shared" ca="1" si="16"/>
        <v>10875</v>
      </c>
      <c r="H278" s="3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1314734000</v>
      </c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5" customHeight="1" x14ac:dyDescent="0.3">
      <c r="A279" s="17" t="s">
        <v>635</v>
      </c>
      <c r="B279" s="17">
        <f t="shared" si="11"/>
        <v>7</v>
      </c>
      <c r="C279" s="17">
        <f t="shared" si="12"/>
        <v>18</v>
      </c>
      <c r="D279" s="17"/>
      <c r="E279" s="17">
        <f t="shared" si="15"/>
        <v>65919</v>
      </c>
      <c r="F279" s="17">
        <f t="shared" ca="1" si="1"/>
        <v>2018</v>
      </c>
      <c r="G279" s="17">
        <f t="shared" ca="1" si="16"/>
        <v>10876</v>
      </c>
      <c r="H279" s="3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1289446000</v>
      </c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5" customHeight="1" x14ac:dyDescent="0.3">
      <c r="A280" s="17" t="s">
        <v>635</v>
      </c>
      <c r="B280" s="17">
        <f t="shared" si="11"/>
        <v>7</v>
      </c>
      <c r="C280" s="17">
        <f t="shared" si="12"/>
        <v>19</v>
      </c>
      <c r="D280" s="17"/>
      <c r="E280" s="17">
        <f t="shared" si="15"/>
        <v>65919</v>
      </c>
      <c r="F280" s="17">
        <f t="shared" ca="1" si="1"/>
        <v>2018</v>
      </c>
      <c r="G280" s="17">
        <f t="shared" ca="1" si="16"/>
        <v>10877</v>
      </c>
      <c r="H280" s="3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25288000</v>
      </c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5" customHeight="1" x14ac:dyDescent="0.3">
      <c r="A281" s="17" t="s">
        <v>635</v>
      </c>
      <c r="B281" s="17">
        <f t="shared" si="11"/>
        <v>7</v>
      </c>
      <c r="C281" s="17">
        <f t="shared" si="12"/>
        <v>20</v>
      </c>
      <c r="D281" s="17"/>
      <c r="E281" s="17">
        <f t="shared" si="15"/>
        <v>65919</v>
      </c>
      <c r="F281" s="17">
        <f t="shared" ca="1" si="1"/>
        <v>2018</v>
      </c>
      <c r="G281" s="17">
        <f t="shared" ca="1" si="16"/>
        <v>10878</v>
      </c>
      <c r="H281" s="3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0.98080000000000001</v>
      </c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5" customHeight="1" x14ac:dyDescent="0.3">
      <c r="A282" s="17" t="s">
        <v>635</v>
      </c>
      <c r="B282" s="17">
        <f t="shared" si="11"/>
        <v>7</v>
      </c>
      <c r="C282" s="17">
        <f t="shared" si="12"/>
        <v>21</v>
      </c>
      <c r="D282" s="17"/>
      <c r="E282" s="17">
        <f t="shared" si="15"/>
        <v>65919</v>
      </c>
      <c r="F282" s="17">
        <f t="shared" ca="1" si="1"/>
        <v>2018</v>
      </c>
      <c r="G282" s="17">
        <f t="shared" ca="1" si="16"/>
        <v>10879</v>
      </c>
      <c r="H282" s="3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93000000</v>
      </c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5" customHeight="1" x14ac:dyDescent="0.3">
      <c r="A283" s="17" t="s">
        <v>635</v>
      </c>
      <c r="B283" s="17">
        <f t="shared" si="11"/>
        <v>7</v>
      </c>
      <c r="C283" s="17">
        <f t="shared" si="12"/>
        <v>22</v>
      </c>
      <c r="D283" s="17"/>
      <c r="E283" s="17">
        <f t="shared" si="15"/>
        <v>65919</v>
      </c>
      <c r="F283" s="17">
        <f t="shared" ca="1" si="1"/>
        <v>2018</v>
      </c>
      <c r="G283" s="17">
        <f t="shared" ca="1" si="16"/>
        <v>10880</v>
      </c>
      <c r="H283" s="3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5" customHeight="1" x14ac:dyDescent="0.3">
      <c r="A284" s="17" t="s">
        <v>635</v>
      </c>
      <c r="B284" s="17">
        <f t="shared" si="11"/>
        <v>7</v>
      </c>
      <c r="C284" s="17">
        <f t="shared" si="12"/>
        <v>23</v>
      </c>
      <c r="D284" s="17"/>
      <c r="E284" s="17">
        <f t="shared" si="15"/>
        <v>65919</v>
      </c>
      <c r="F284" s="17">
        <f t="shared" ca="1" si="1"/>
        <v>2018</v>
      </c>
      <c r="G284" s="17">
        <f t="shared" ca="1" si="16"/>
        <v>10881</v>
      </c>
      <c r="H284" s="3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5" customHeight="1" x14ac:dyDescent="0.3">
      <c r="A285" s="17" t="s">
        <v>635</v>
      </c>
      <c r="B285" s="17">
        <f t="shared" si="11"/>
        <v>7</v>
      </c>
      <c r="C285" s="17">
        <f t="shared" si="12"/>
        <v>24</v>
      </c>
      <c r="D285" s="17"/>
      <c r="E285" s="17">
        <f t="shared" si="15"/>
        <v>65919</v>
      </c>
      <c r="F285" s="17">
        <f t="shared" ca="1" si="1"/>
        <v>2018</v>
      </c>
      <c r="G285" s="17">
        <f t="shared" ca="1" si="16"/>
        <v>10882</v>
      </c>
      <c r="H285" s="3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5" customHeight="1" x14ac:dyDescent="0.3">
      <c r="A286" s="17" t="s">
        <v>635</v>
      </c>
      <c r="B286" s="17">
        <f t="shared" si="11"/>
        <v>7</v>
      </c>
      <c r="C286" s="17">
        <f t="shared" si="12"/>
        <v>25</v>
      </c>
      <c r="D286" s="17"/>
      <c r="E286" s="17">
        <f t="shared" si="15"/>
        <v>65919</v>
      </c>
      <c r="F286" s="17">
        <f t="shared" ca="1" si="1"/>
        <v>2018</v>
      </c>
      <c r="G286" s="17">
        <f t="shared" ca="1" si="16"/>
        <v>10883</v>
      </c>
      <c r="H286" s="3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0.17901075268817204</v>
      </c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5" customHeight="1" x14ac:dyDescent="0.3">
      <c r="A287" s="17" t="s">
        <v>635</v>
      </c>
      <c r="B287" s="17">
        <f t="shared" si="11"/>
        <v>7</v>
      </c>
      <c r="C287" s="17">
        <f t="shared" si="12"/>
        <v>26</v>
      </c>
      <c r="D287" s="17"/>
      <c r="E287" s="17">
        <f t="shared" si="15"/>
        <v>65919</v>
      </c>
      <c r="F287" s="17">
        <f t="shared" ca="1" si="1"/>
        <v>2018</v>
      </c>
      <c r="G287" s="17">
        <f t="shared" ca="1" si="16"/>
        <v>10884</v>
      </c>
      <c r="H287" s="3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0.15272043010752689</v>
      </c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5" customHeight="1" x14ac:dyDescent="0.3">
      <c r="A288" s="17" t="s">
        <v>635</v>
      </c>
      <c r="B288" s="17">
        <f t="shared" si="11"/>
        <v>7</v>
      </c>
      <c r="C288" s="17">
        <f t="shared" si="12"/>
        <v>27</v>
      </c>
      <c r="D288" s="17"/>
      <c r="E288" s="17">
        <f t="shared" si="15"/>
        <v>65919</v>
      </c>
      <c r="F288" s="17">
        <f t="shared" ca="1" si="1"/>
        <v>2018</v>
      </c>
      <c r="G288" s="17">
        <f t="shared" ca="1" si="16"/>
        <v>10885</v>
      </c>
      <c r="H288" s="3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16648000</v>
      </c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5" customHeight="1" x14ac:dyDescent="0.3">
      <c r="A289" s="17" t="s">
        <v>635</v>
      </c>
      <c r="B289" s="17">
        <f t="shared" si="11"/>
        <v>7</v>
      </c>
      <c r="C289" s="17">
        <f t="shared" si="12"/>
        <v>28</v>
      </c>
      <c r="D289" s="17"/>
      <c r="E289" s="17">
        <f t="shared" si="15"/>
        <v>65919</v>
      </c>
      <c r="F289" s="17">
        <f t="shared" ca="1" si="1"/>
        <v>2018</v>
      </c>
      <c r="G289" s="17">
        <f t="shared" ca="1" si="16"/>
        <v>10886</v>
      </c>
      <c r="H289" s="3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14203000</v>
      </c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5" customHeight="1" x14ac:dyDescent="0.3">
      <c r="A290" s="17" t="s">
        <v>635</v>
      </c>
      <c r="B290" s="17">
        <f t="shared" si="11"/>
        <v>7</v>
      </c>
      <c r="C290" s="17">
        <f t="shared" si="12"/>
        <v>29</v>
      </c>
      <c r="D290" s="17"/>
      <c r="E290" s="17">
        <f t="shared" si="15"/>
        <v>65919</v>
      </c>
      <c r="F290" s="17">
        <f t="shared" ca="1" si="1"/>
        <v>2018</v>
      </c>
      <c r="G290" s="17">
        <f t="shared" ca="1" si="16"/>
        <v>10887</v>
      </c>
      <c r="H290" s="3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2445000</v>
      </c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5" customHeight="1" x14ac:dyDescent="0.3">
      <c r="A291" s="17" t="s">
        <v>635</v>
      </c>
      <c r="B291" s="17">
        <f t="shared" si="11"/>
        <v>7</v>
      </c>
      <c r="C291" s="17">
        <f t="shared" si="12"/>
        <v>30</v>
      </c>
      <c r="D291" s="17"/>
      <c r="E291" s="17">
        <f t="shared" si="15"/>
        <v>65919</v>
      </c>
      <c r="F291" s="17">
        <f t="shared" ca="1" si="1"/>
        <v>2018</v>
      </c>
      <c r="G291" s="17">
        <f t="shared" ca="1" si="16"/>
        <v>10883</v>
      </c>
      <c r="H291" s="3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0.85313551177318592</v>
      </c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5" customHeight="1" x14ac:dyDescent="0.3">
      <c r="A292" s="17" t="s">
        <v>635</v>
      </c>
      <c r="B292" s="17">
        <f t="shared" si="11"/>
        <v>7</v>
      </c>
      <c r="C292" s="17">
        <f t="shared" si="12"/>
        <v>31</v>
      </c>
      <c r="D292" s="17"/>
      <c r="E292" s="17">
        <f t="shared" si="15"/>
        <v>65919</v>
      </c>
      <c r="F292" s="17">
        <f t="shared" ca="1" si="1"/>
        <v>2018</v>
      </c>
      <c r="G292" s="17">
        <f t="shared" ca="1" si="16"/>
        <v>10889</v>
      </c>
      <c r="H292" s="3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21083000</v>
      </c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5" customHeight="1" x14ac:dyDescent="0.3">
      <c r="A293" s="17" t="s">
        <v>635</v>
      </c>
      <c r="B293" s="17">
        <f t="shared" si="11"/>
        <v>7</v>
      </c>
      <c r="C293" s="17">
        <f t="shared" si="12"/>
        <v>32</v>
      </c>
      <c r="D293" s="17"/>
      <c r="E293" s="17">
        <f t="shared" si="15"/>
        <v>65919</v>
      </c>
      <c r="F293" s="17">
        <f t="shared" ca="1" si="1"/>
        <v>2018</v>
      </c>
      <c r="G293" s="17">
        <f t="shared" ca="1" si="16"/>
        <v>10890</v>
      </c>
      <c r="H293" s="3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94569000</v>
      </c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5" customHeight="1" x14ac:dyDescent="0.3">
      <c r="A294" s="17" t="s">
        <v>635</v>
      </c>
      <c r="B294" s="17">
        <f t="shared" si="11"/>
        <v>7</v>
      </c>
      <c r="C294" s="17">
        <f t="shared" si="12"/>
        <v>33</v>
      </c>
      <c r="D294" s="17"/>
      <c r="E294" s="17">
        <f t="shared" si="15"/>
        <v>65919</v>
      </c>
      <c r="F294" s="17">
        <f t="shared" ca="1" si="1"/>
        <v>2018</v>
      </c>
      <c r="G294" s="17">
        <f t="shared" ca="1" si="16"/>
        <v>10891</v>
      </c>
      <c r="H294" s="3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5" customHeight="1" x14ac:dyDescent="0.3">
      <c r="A295" s="17" t="s">
        <v>635</v>
      </c>
      <c r="B295" s="17">
        <f t="shared" si="11"/>
        <v>7</v>
      </c>
      <c r="C295" s="17">
        <f t="shared" si="12"/>
        <v>34</v>
      </c>
      <c r="D295" s="17"/>
      <c r="E295" s="17">
        <f t="shared" si="15"/>
        <v>65919</v>
      </c>
      <c r="F295" s="17">
        <f t="shared" ca="1" si="1"/>
        <v>2018</v>
      </c>
      <c r="G295" s="17">
        <f t="shared" ca="1" si="16"/>
        <v>10892</v>
      </c>
      <c r="H295" s="3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5" customHeight="1" x14ac:dyDescent="0.3">
      <c r="A296" s="17" t="s">
        <v>635</v>
      </c>
      <c r="B296" s="17">
        <f t="shared" si="11"/>
        <v>7</v>
      </c>
      <c r="C296" s="17">
        <f t="shared" si="12"/>
        <v>35</v>
      </c>
      <c r="D296" s="17"/>
      <c r="E296" s="17">
        <f t="shared" si="15"/>
        <v>65919</v>
      </c>
      <c r="F296" s="17">
        <f t="shared" ca="1" si="1"/>
        <v>2018</v>
      </c>
      <c r="G296" s="17">
        <f t="shared" ca="1" si="16"/>
        <v>10893</v>
      </c>
      <c r="H296" s="3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5" customHeight="1" x14ac:dyDescent="0.3">
      <c r="A297" s="17" t="s">
        <v>635</v>
      </c>
      <c r="B297" s="17">
        <f t="shared" si="11"/>
        <v>7</v>
      </c>
      <c r="C297" s="17">
        <f t="shared" si="12"/>
        <v>36</v>
      </c>
      <c r="D297" s="17"/>
      <c r="E297" s="17">
        <f t="shared" si="15"/>
        <v>65919</v>
      </c>
      <c r="F297" s="17">
        <f t="shared" ca="1" si="1"/>
        <v>2018</v>
      </c>
      <c r="G297" s="17">
        <f t="shared" ca="1" si="16"/>
        <v>10894</v>
      </c>
      <c r="H297" s="3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-9922000</v>
      </c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5" customHeight="1" x14ac:dyDescent="0.3">
      <c r="A298" s="17" t="s">
        <v>635</v>
      </c>
      <c r="B298" s="17">
        <f t="shared" si="11"/>
        <v>7</v>
      </c>
      <c r="C298" s="17">
        <f t="shared" si="12"/>
        <v>37</v>
      </c>
      <c r="D298" s="17"/>
      <c r="E298" s="17">
        <f t="shared" si="15"/>
        <v>65919</v>
      </c>
      <c r="F298" s="17">
        <f t="shared" ca="1" si="1"/>
        <v>2018</v>
      </c>
      <c r="G298" s="17">
        <f t="shared" ca="1" si="16"/>
        <v>10895</v>
      </c>
      <c r="H298" s="2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5" customHeight="1" x14ac:dyDescent="0.3">
      <c r="A299" s="17" t="s">
        <v>635</v>
      </c>
      <c r="B299" s="17">
        <f t="shared" si="11"/>
        <v>7</v>
      </c>
      <c r="C299" s="17">
        <f t="shared" si="12"/>
        <v>38</v>
      </c>
      <c r="D299" s="17"/>
      <c r="E299" s="17">
        <f t="shared" si="15"/>
        <v>65919</v>
      </c>
      <c r="F299" s="17">
        <f t="shared" ca="1" si="1"/>
        <v>2018</v>
      </c>
      <c r="G299" s="17">
        <f t="shared" ca="1" si="16"/>
        <v>10896</v>
      </c>
      <c r="H299" s="2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5" customHeight="1" x14ac:dyDescent="0.3">
      <c r="A300" s="17" t="s">
        <v>635</v>
      </c>
      <c r="B300" s="17">
        <f t="shared" si="11"/>
        <v>7</v>
      </c>
      <c r="C300" s="17">
        <f t="shared" si="12"/>
        <v>39</v>
      </c>
      <c r="D300" s="17"/>
      <c r="E300" s="17">
        <f t="shared" si="15"/>
        <v>65919</v>
      </c>
      <c r="F300" s="17">
        <f t="shared" ca="1" si="1"/>
        <v>2018</v>
      </c>
      <c r="G300" s="17">
        <f t="shared" ca="1" si="16"/>
        <v>10897</v>
      </c>
      <c r="H300" s="3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131000</v>
      </c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5" customHeight="1" x14ac:dyDescent="0.3">
      <c r="A301" s="17" t="s">
        <v>635</v>
      </c>
      <c r="B301" s="17">
        <f t="shared" si="11"/>
        <v>7</v>
      </c>
      <c r="C301" s="17">
        <f t="shared" si="12"/>
        <v>40</v>
      </c>
      <c r="D301" s="17"/>
      <c r="E301" s="17">
        <f t="shared" si="15"/>
        <v>65919</v>
      </c>
      <c r="F301" s="17">
        <f t="shared" ca="1" si="1"/>
        <v>2018</v>
      </c>
      <c r="G301" s="17">
        <f t="shared" ca="1" si="16"/>
        <v>10898</v>
      </c>
      <c r="H301" s="2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5" customHeight="1" x14ac:dyDescent="0.3">
      <c r="A302" s="17" t="s">
        <v>635</v>
      </c>
      <c r="B302" s="17">
        <f t="shared" si="11"/>
        <v>7</v>
      </c>
      <c r="C302" s="17">
        <f t="shared" si="12"/>
        <v>41</v>
      </c>
      <c r="D302" s="17"/>
      <c r="E302" s="17">
        <f t="shared" si="15"/>
        <v>65919</v>
      </c>
      <c r="F302" s="17">
        <f t="shared" ca="1" si="1"/>
        <v>2018</v>
      </c>
      <c r="G302" s="17">
        <f t="shared" ca="1" si="16"/>
        <v>10899</v>
      </c>
      <c r="H302" s="2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5" customHeight="1" x14ac:dyDescent="0.3">
      <c r="A303" s="17" t="s">
        <v>635</v>
      </c>
      <c r="B303" s="17">
        <f t="shared" si="11"/>
        <v>7</v>
      </c>
      <c r="C303" s="17">
        <f t="shared" si="12"/>
        <v>42</v>
      </c>
      <c r="D303" s="17"/>
      <c r="E303" s="17">
        <f t="shared" si="15"/>
        <v>65919</v>
      </c>
      <c r="F303" s="17">
        <f t="shared" ca="1" si="1"/>
        <v>2018</v>
      </c>
      <c r="G303" s="17">
        <f t="shared" ca="1" si="16"/>
        <v>11006</v>
      </c>
      <c r="H303" s="3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5" customHeight="1" x14ac:dyDescent="0.3">
      <c r="A304" s="17" t="s">
        <v>635</v>
      </c>
      <c r="B304" s="17">
        <f t="shared" si="11"/>
        <v>7</v>
      </c>
      <c r="C304" s="17">
        <f t="shared" si="12"/>
        <v>43</v>
      </c>
      <c r="D304" s="17"/>
      <c r="E304" s="17">
        <f t="shared" si="15"/>
        <v>65919</v>
      </c>
      <c r="F304" s="17">
        <f t="shared" ca="1" si="1"/>
        <v>2018</v>
      </c>
      <c r="G304" s="17">
        <f t="shared" ca="1" si="16"/>
        <v>10900</v>
      </c>
      <c r="H304" s="3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5" customHeight="1" x14ac:dyDescent="0.3">
      <c r="A305" s="17" t="s">
        <v>635</v>
      </c>
      <c r="B305" s="17">
        <f t="shared" si="11"/>
        <v>7</v>
      </c>
      <c r="C305" s="17">
        <f t="shared" si="12"/>
        <v>44</v>
      </c>
      <c r="D305" s="17"/>
      <c r="E305" s="17">
        <f t="shared" si="15"/>
        <v>65919</v>
      </c>
      <c r="F305" s="17">
        <f t="shared" ca="1" si="1"/>
        <v>2018</v>
      </c>
      <c r="G305" s="17">
        <f t="shared" ca="1" si="16"/>
        <v>10901</v>
      </c>
      <c r="H305" s="3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6.4000000000000001E-2</v>
      </c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5" customHeight="1" x14ac:dyDescent="0.3">
      <c r="A306" s="17" t="s">
        <v>635</v>
      </c>
      <c r="B306" s="17">
        <f t="shared" si="11"/>
        <v>7</v>
      </c>
      <c r="C306" s="17">
        <f t="shared" si="12"/>
        <v>45</v>
      </c>
      <c r="D306" s="17"/>
      <c r="E306" s="17">
        <f t="shared" si="15"/>
        <v>65919</v>
      </c>
      <c r="F306" s="17">
        <f t="shared" ca="1" si="1"/>
        <v>2018</v>
      </c>
      <c r="G306" s="17">
        <f t="shared" ca="1" si="16"/>
        <v>10902</v>
      </c>
      <c r="H306" s="3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7.3999999999999996E-2</v>
      </c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5" customHeight="1" x14ac:dyDescent="0.3">
      <c r="A307" s="17" t="s">
        <v>635</v>
      </c>
      <c r="B307" s="17">
        <f t="shared" si="11"/>
        <v>7</v>
      </c>
      <c r="C307" s="17">
        <f t="shared" si="12"/>
        <v>46</v>
      </c>
      <c r="D307" s="17"/>
      <c r="E307" s="17">
        <f t="shared" si="15"/>
        <v>65919</v>
      </c>
      <c r="F307" s="17">
        <f t="shared" ca="1" si="1"/>
        <v>2018</v>
      </c>
      <c r="G307" s="17">
        <f t="shared" ca="1" si="16"/>
        <v>10903</v>
      </c>
      <c r="H307" s="3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8.4000000000000005E-2</v>
      </c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5" customHeight="1" x14ac:dyDescent="0.3">
      <c r="A308" s="17" t="s">
        <v>635</v>
      </c>
      <c r="B308" s="17">
        <f t="shared" si="11"/>
        <v>7</v>
      </c>
      <c r="C308" s="17">
        <f t="shared" si="12"/>
        <v>47</v>
      </c>
      <c r="D308" s="17"/>
      <c r="E308" s="17">
        <f t="shared" si="15"/>
        <v>65919</v>
      </c>
      <c r="F308" s="17">
        <f t="shared" ca="1" si="1"/>
        <v>2018</v>
      </c>
      <c r="G308" s="17">
        <f t="shared" ca="1" si="16"/>
        <v>10904</v>
      </c>
      <c r="H308" s="3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212814000</v>
      </c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5" customHeight="1" x14ac:dyDescent="0.3">
      <c r="A309" s="17" t="s">
        <v>635</v>
      </c>
      <c r="B309" s="17">
        <f t="shared" si="11"/>
        <v>7</v>
      </c>
      <c r="C309" s="17">
        <f t="shared" si="12"/>
        <v>48</v>
      </c>
      <c r="D309" s="17"/>
      <c r="E309" s="17">
        <f t="shared" si="15"/>
        <v>65919</v>
      </c>
      <c r="F309" s="17">
        <f t="shared" ca="1" si="1"/>
        <v>2018</v>
      </c>
      <c r="G309" s="17">
        <f t="shared" ca="1" si="16"/>
        <v>10905</v>
      </c>
      <c r="H309" s="3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25288000</v>
      </c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5" customHeight="1" x14ac:dyDescent="0.3">
      <c r="A310" s="17" t="s">
        <v>635</v>
      </c>
      <c r="B310" s="17">
        <f t="shared" si="11"/>
        <v>7</v>
      </c>
      <c r="C310" s="17">
        <f t="shared" si="12"/>
        <v>49</v>
      </c>
      <c r="D310" s="17"/>
      <c r="E310" s="17">
        <f t="shared" si="15"/>
        <v>65919</v>
      </c>
      <c r="F310" s="17">
        <f t="shared" ca="1" si="1"/>
        <v>2018</v>
      </c>
      <c r="G310" s="17">
        <f t="shared" ca="1" si="16"/>
        <v>10906</v>
      </c>
      <c r="H310" s="3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-127041000</v>
      </c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5" customHeight="1" x14ac:dyDescent="0.3">
      <c r="A311" s="17" t="s">
        <v>635</v>
      </c>
      <c r="B311" s="17">
        <f t="shared" si="11"/>
        <v>7</v>
      </c>
      <c r="C311" s="17">
        <f t="shared" si="12"/>
        <v>50</v>
      </c>
      <c r="D311" s="17"/>
      <c r="E311" s="17">
        <f t="shared" si="15"/>
        <v>65919</v>
      </c>
      <c r="F311" s="17">
        <f t="shared" ca="1" si="1"/>
        <v>2018</v>
      </c>
      <c r="G311" s="17">
        <f t="shared" ca="1" si="16"/>
        <v>10907</v>
      </c>
      <c r="H311" s="3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5" customHeight="1" x14ac:dyDescent="0.3">
      <c r="A312" s="17" t="s">
        <v>635</v>
      </c>
      <c r="B312" s="17">
        <f t="shared" si="11"/>
        <v>7</v>
      </c>
      <c r="C312" s="17">
        <f t="shared" si="12"/>
        <v>51</v>
      </c>
      <c r="D312" s="17"/>
      <c r="E312" s="17">
        <f t="shared" si="15"/>
        <v>65919</v>
      </c>
      <c r="F312" s="17">
        <f t="shared" ca="1" si="1"/>
        <v>2018</v>
      </c>
      <c r="G312" s="17">
        <f t="shared" ca="1" si="16"/>
        <v>10860</v>
      </c>
      <c r="H312" s="3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1269109000</v>
      </c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5" customHeight="1" x14ac:dyDescent="0.3">
      <c r="A313" s="17" t="s">
        <v>635</v>
      </c>
      <c r="B313" s="17">
        <f t="shared" si="11"/>
        <v>7</v>
      </c>
      <c r="C313" s="17">
        <f t="shared" si="12"/>
        <v>52</v>
      </c>
      <c r="D313" s="17"/>
      <c r="E313" s="17">
        <f t="shared" si="15"/>
        <v>65919</v>
      </c>
      <c r="F313" s="17">
        <f t="shared" ca="1" si="1"/>
        <v>2018</v>
      </c>
      <c r="G313" s="17">
        <f t="shared" ca="1" si="16"/>
        <v>10909</v>
      </c>
      <c r="H313" s="3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21083000</v>
      </c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5" customHeight="1" x14ac:dyDescent="0.3">
      <c r="A314" s="17" t="s">
        <v>635</v>
      </c>
      <c r="B314" s="17">
        <f t="shared" si="11"/>
        <v>7</v>
      </c>
      <c r="C314" s="17">
        <f t="shared" si="12"/>
        <v>53</v>
      </c>
      <c r="D314" s="17"/>
      <c r="E314" s="17">
        <f t="shared" si="15"/>
        <v>65919</v>
      </c>
      <c r="F314" s="17">
        <f t="shared" ca="1" si="1"/>
        <v>2018</v>
      </c>
      <c r="G314" s="17">
        <f t="shared" ca="1" si="16"/>
        <v>10910</v>
      </c>
      <c r="H314" s="3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94569000</v>
      </c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5" customHeight="1" x14ac:dyDescent="0.3">
      <c r="A315" s="17" t="s">
        <v>635</v>
      </c>
      <c r="B315" s="17">
        <f t="shared" si="11"/>
        <v>7</v>
      </c>
      <c r="C315" s="17">
        <f t="shared" si="12"/>
        <v>54</v>
      </c>
      <c r="D315" s="17"/>
      <c r="E315" s="17">
        <f t="shared" si="15"/>
        <v>65919</v>
      </c>
      <c r="F315" s="17">
        <f t="shared" ca="1" si="1"/>
        <v>2018</v>
      </c>
      <c r="G315" s="17">
        <f t="shared" ca="1" si="16"/>
        <v>10911</v>
      </c>
      <c r="H315" s="3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5" customHeight="1" x14ac:dyDescent="0.3">
      <c r="A316" s="17" t="s">
        <v>635</v>
      </c>
      <c r="B316" s="17">
        <f t="shared" si="11"/>
        <v>7</v>
      </c>
      <c r="C316" s="17">
        <f t="shared" si="12"/>
        <v>55</v>
      </c>
      <c r="D316" s="17"/>
      <c r="E316" s="17">
        <f t="shared" si="15"/>
        <v>65919</v>
      </c>
      <c r="F316" s="17">
        <f t="shared" ca="1" si="1"/>
        <v>2018</v>
      </c>
      <c r="G316" s="17">
        <f t="shared" ca="1" si="16"/>
        <v>10912</v>
      </c>
      <c r="H316" s="3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13974000</v>
      </c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5" customHeight="1" x14ac:dyDescent="0.3">
      <c r="A317" s="17" t="s">
        <v>635</v>
      </c>
      <c r="B317" s="17">
        <f t="shared" si="11"/>
        <v>7</v>
      </c>
      <c r="C317" s="17">
        <f t="shared" si="12"/>
        <v>56</v>
      </c>
      <c r="D317" s="17"/>
      <c r="E317" s="17">
        <f t="shared" si="15"/>
        <v>65919</v>
      </c>
      <c r="F317" s="17">
        <f t="shared" ca="1" si="1"/>
        <v>2018</v>
      </c>
      <c r="G317" s="17">
        <f t="shared" ca="1" si="16"/>
        <v>10913</v>
      </c>
      <c r="H317" s="3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-24367000</v>
      </c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5" customHeight="1" x14ac:dyDescent="0.3">
      <c r="A318" s="17" t="s">
        <v>635</v>
      </c>
      <c r="B318" s="17">
        <f t="shared" si="11"/>
        <v>7</v>
      </c>
      <c r="C318" s="17">
        <f t="shared" si="12"/>
        <v>57</v>
      </c>
      <c r="D318" s="17"/>
      <c r="E318" s="17">
        <f t="shared" si="15"/>
        <v>65919</v>
      </c>
      <c r="F318" s="17">
        <f t="shared" ca="1" si="1"/>
        <v>2018</v>
      </c>
      <c r="G318" s="17">
        <f t="shared" ca="1" si="16"/>
        <v>10914</v>
      </c>
      <c r="H318" s="3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14203000</v>
      </c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5" customHeight="1" x14ac:dyDescent="0.3">
      <c r="A319" s="17" t="s">
        <v>635</v>
      </c>
      <c r="B319" s="17">
        <f t="shared" si="11"/>
        <v>7</v>
      </c>
      <c r="C319" s="17">
        <f t="shared" si="12"/>
        <v>58</v>
      </c>
      <c r="D319" s="17"/>
      <c r="E319" s="17">
        <f t="shared" si="15"/>
        <v>65919</v>
      </c>
      <c r="F319" s="17">
        <f t="shared" ca="1" si="1"/>
        <v>2018</v>
      </c>
      <c r="G319" s="17">
        <f t="shared" ca="1" si="16"/>
        <v>10915</v>
      </c>
      <c r="H319" s="3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9922000</v>
      </c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5" customHeight="1" x14ac:dyDescent="0.3">
      <c r="A320" s="17" t="s">
        <v>635</v>
      </c>
      <c r="B320" s="17">
        <f t="shared" si="11"/>
        <v>7</v>
      </c>
      <c r="C320" s="17">
        <f t="shared" si="12"/>
        <v>59</v>
      </c>
      <c r="D320" s="17"/>
      <c r="E320" s="17">
        <f t="shared" si="15"/>
        <v>65919</v>
      </c>
      <c r="F320" s="17">
        <f t="shared" ca="1" si="1"/>
        <v>2018</v>
      </c>
      <c r="G320" s="17">
        <f t="shared" ca="1" si="16"/>
        <v>10916</v>
      </c>
      <c r="H320" s="3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113597000</v>
      </c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5" customHeight="1" x14ac:dyDescent="0.3">
      <c r="A321" s="17" t="s">
        <v>635</v>
      </c>
      <c r="B321" s="17">
        <f t="shared" si="11"/>
        <v>7</v>
      </c>
      <c r="C321" s="17">
        <f t="shared" si="12"/>
        <v>60</v>
      </c>
      <c r="D321" s="17"/>
      <c r="E321" s="17">
        <f t="shared" si="15"/>
        <v>65919</v>
      </c>
      <c r="F321" s="17">
        <f t="shared" ca="1" si="1"/>
        <v>2018</v>
      </c>
      <c r="G321" s="17">
        <f t="shared" ca="1" si="16"/>
        <v>10917</v>
      </c>
      <c r="H321" s="3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-59634000</v>
      </c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5" customHeight="1" x14ac:dyDescent="0.3">
      <c r="A322" s="17" t="s">
        <v>635</v>
      </c>
      <c r="B322" s="17">
        <f t="shared" si="11"/>
        <v>7</v>
      </c>
      <c r="C322" s="17">
        <f t="shared" si="12"/>
        <v>61</v>
      </c>
      <c r="D322" s="17"/>
      <c r="E322" s="17">
        <f t="shared" si="15"/>
        <v>65919</v>
      </c>
      <c r="F322" s="17">
        <f t="shared" ca="1" si="1"/>
        <v>2018</v>
      </c>
      <c r="G322" s="17">
        <f t="shared" ca="1" si="16"/>
        <v>10918</v>
      </c>
      <c r="H322" s="3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5" customHeight="1" x14ac:dyDescent="0.3">
      <c r="A323" s="17" t="s">
        <v>635</v>
      </c>
      <c r="B323" s="17">
        <f t="shared" si="11"/>
        <v>7</v>
      </c>
      <c r="C323" s="17">
        <f t="shared" si="12"/>
        <v>62</v>
      </c>
      <c r="D323" s="17"/>
      <c r="E323" s="17">
        <f t="shared" si="15"/>
        <v>65919</v>
      </c>
      <c r="F323" s="17">
        <f t="shared" ca="1" si="1"/>
        <v>2018</v>
      </c>
      <c r="G323" s="17">
        <f t="shared" ca="1" si="16"/>
        <v>10919</v>
      </c>
      <c r="H323" s="3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-59634000</v>
      </c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5" customHeight="1" x14ac:dyDescent="0.3">
      <c r="A324" s="17" t="s">
        <v>635</v>
      </c>
      <c r="B324" s="17">
        <f t="shared" si="11"/>
        <v>7</v>
      </c>
      <c r="C324" s="17">
        <f t="shared" si="12"/>
        <v>63</v>
      </c>
      <c r="D324" s="17"/>
      <c r="E324" s="17">
        <f t="shared" ref="E324:E387" si="17">plan_id</f>
        <v>65919</v>
      </c>
      <c r="F324" s="17">
        <f t="shared" ca="1" si="1"/>
        <v>2018</v>
      </c>
      <c r="G324" s="17">
        <f t="shared" ref="G324:G387" ca="1" si="18">VLOOKUP(INDIRECT(CHAR(39)&amp;$A324&amp;CHAR(39)&amp;"!r2c"&amp;$C324,0),variables,2,0)</f>
        <v>10920</v>
      </c>
      <c r="H324" s="3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-131000</v>
      </c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5" customHeight="1" x14ac:dyDescent="0.3">
      <c r="A325" s="17" t="s">
        <v>635</v>
      </c>
      <c r="B325" s="17">
        <f t="shared" si="11"/>
        <v>7</v>
      </c>
      <c r="C325" s="17">
        <f t="shared" si="12"/>
        <v>64</v>
      </c>
      <c r="D325" s="17"/>
      <c r="E325" s="17">
        <f t="shared" si="17"/>
        <v>65919</v>
      </c>
      <c r="F325" s="17">
        <f t="shared" ca="1" si="1"/>
        <v>2018</v>
      </c>
      <c r="G325" s="17">
        <f t="shared" ca="1" si="18"/>
        <v>10921</v>
      </c>
      <c r="H325" s="3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650000</v>
      </c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5" customHeight="1" x14ac:dyDescent="0.3">
      <c r="A326" s="17" t="s">
        <v>635</v>
      </c>
      <c r="B326" s="17">
        <f t="shared" si="11"/>
        <v>7</v>
      </c>
      <c r="C326" s="17">
        <f t="shared" si="12"/>
        <v>65</v>
      </c>
      <c r="D326" s="17"/>
      <c r="E326" s="17">
        <f t="shared" si="17"/>
        <v>65919</v>
      </c>
      <c r="F326" s="17">
        <f t="shared" ca="1" si="1"/>
        <v>2018</v>
      </c>
      <c r="G326" s="17">
        <f t="shared" ca="1" si="18"/>
        <v>10922</v>
      </c>
      <c r="H326" s="3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5" customHeight="1" x14ac:dyDescent="0.3">
      <c r="A327" s="17" t="s">
        <v>635</v>
      </c>
      <c r="B327" s="17">
        <f t="shared" si="11"/>
        <v>7</v>
      </c>
      <c r="C327" s="17">
        <f t="shared" si="12"/>
        <v>66</v>
      </c>
      <c r="D327" s="17"/>
      <c r="E327" s="17">
        <f t="shared" si="17"/>
        <v>65919</v>
      </c>
      <c r="F327" s="17">
        <f t="shared" ca="1" si="1"/>
        <v>2018</v>
      </c>
      <c r="G327" s="17">
        <f t="shared" ca="1" si="18"/>
        <v>10860</v>
      </c>
      <c r="H327" s="3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1210839000</v>
      </c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5" customHeight="1" x14ac:dyDescent="0.3">
      <c r="A328" s="17" t="s">
        <v>635</v>
      </c>
      <c r="B328" s="17">
        <f t="shared" si="11"/>
        <v>7</v>
      </c>
      <c r="C328" s="17">
        <f t="shared" si="12"/>
        <v>67</v>
      </c>
      <c r="D328" s="17"/>
      <c r="E328" s="17">
        <f t="shared" si="17"/>
        <v>65919</v>
      </c>
      <c r="F328" s="17">
        <f t="shared" ca="1" si="1"/>
        <v>2018</v>
      </c>
      <c r="G328" s="17">
        <f t="shared" ca="1" si="18"/>
        <v>10923</v>
      </c>
      <c r="H328" s="3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25288000</v>
      </c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5" customHeight="1" x14ac:dyDescent="0.3">
      <c r="A329" s="17" t="s">
        <v>635</v>
      </c>
      <c r="B329" s="17">
        <f t="shared" si="11"/>
        <v>8</v>
      </c>
      <c r="C329" s="17">
        <f t="shared" si="12"/>
        <v>3</v>
      </c>
      <c r="D329" s="17"/>
      <c r="E329" s="17">
        <f t="shared" si="17"/>
        <v>65919</v>
      </c>
      <c r="F329" s="17">
        <f t="shared" ca="1" si="1"/>
        <v>2019</v>
      </c>
      <c r="G329" s="17">
        <f t="shared" ca="1" si="18"/>
        <v>10861</v>
      </c>
      <c r="H329" s="2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5" customHeight="1" x14ac:dyDescent="0.3">
      <c r="A330" s="17" t="s">
        <v>635</v>
      </c>
      <c r="B330" s="17">
        <f t="shared" si="11"/>
        <v>8</v>
      </c>
      <c r="C330" s="17">
        <f t="shared" si="12"/>
        <v>4</v>
      </c>
      <c r="D330" s="17"/>
      <c r="E330" s="17">
        <f t="shared" si="17"/>
        <v>65919</v>
      </c>
      <c r="F330" s="17">
        <f t="shared" ca="1" si="1"/>
        <v>2019</v>
      </c>
      <c r="G330" s="17">
        <f t="shared" ca="1" si="18"/>
        <v>10862</v>
      </c>
      <c r="H330" s="2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5" customHeight="1" x14ac:dyDescent="0.3">
      <c r="A331" s="17" t="s">
        <v>635</v>
      </c>
      <c r="B331" s="17">
        <f t="shared" si="11"/>
        <v>8</v>
      </c>
      <c r="C331" s="17">
        <f t="shared" si="12"/>
        <v>5</v>
      </c>
      <c r="D331" s="17"/>
      <c r="E331" s="17">
        <f t="shared" si="17"/>
        <v>65919</v>
      </c>
      <c r="F331" s="17">
        <f t="shared" ca="1" si="1"/>
        <v>2019</v>
      </c>
      <c r="G331" s="17">
        <f t="shared" ca="1" si="18"/>
        <v>10863</v>
      </c>
      <c r="H331" s="2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5" customHeight="1" x14ac:dyDescent="0.3">
      <c r="A332" s="17" t="s">
        <v>635</v>
      </c>
      <c r="B332" s="17">
        <f t="shared" si="11"/>
        <v>8</v>
      </c>
      <c r="C332" s="17">
        <f t="shared" si="12"/>
        <v>6</v>
      </c>
      <c r="D332" s="17"/>
      <c r="E332" s="17">
        <f t="shared" si="17"/>
        <v>65919</v>
      </c>
      <c r="F332" s="17">
        <f t="shared" ca="1" si="1"/>
        <v>2019</v>
      </c>
      <c r="G332" s="17">
        <f t="shared" ca="1" si="18"/>
        <v>10864</v>
      </c>
      <c r="H332" s="3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1181</v>
      </c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5" customHeight="1" x14ac:dyDescent="0.3">
      <c r="A333" s="17" t="s">
        <v>635</v>
      </c>
      <c r="B333" s="17">
        <f t="shared" si="11"/>
        <v>8</v>
      </c>
      <c r="C333" s="17">
        <f t="shared" si="12"/>
        <v>7</v>
      </c>
      <c r="D333" s="17"/>
      <c r="E333" s="17">
        <f t="shared" si="17"/>
        <v>65919</v>
      </c>
      <c r="F333" s="17">
        <f t="shared" ca="1" si="1"/>
        <v>2019</v>
      </c>
      <c r="G333" s="17">
        <f t="shared" ca="1" si="18"/>
        <v>10865</v>
      </c>
      <c r="H333" s="3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106</v>
      </c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5" customHeight="1" x14ac:dyDescent="0.3">
      <c r="A334" s="17" t="s">
        <v>635</v>
      </c>
      <c r="B334" s="17">
        <f t="shared" si="11"/>
        <v>8</v>
      </c>
      <c r="C334" s="17">
        <f t="shared" si="12"/>
        <v>8</v>
      </c>
      <c r="D334" s="17"/>
      <c r="E334" s="17">
        <f t="shared" si="17"/>
        <v>65919</v>
      </c>
      <c r="F334" s="17">
        <f t="shared" ca="1" si="1"/>
        <v>2019</v>
      </c>
      <c r="G334" s="17">
        <f t="shared" ca="1" si="18"/>
        <v>10866</v>
      </c>
      <c r="H334" s="3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5" customHeight="1" x14ac:dyDescent="0.3">
      <c r="A335" s="17" t="s">
        <v>635</v>
      </c>
      <c r="B335" s="17">
        <f t="shared" si="11"/>
        <v>8</v>
      </c>
      <c r="C335" s="17">
        <f t="shared" si="12"/>
        <v>9</v>
      </c>
      <c r="D335" s="17"/>
      <c r="E335" s="17">
        <f t="shared" si="17"/>
        <v>65919</v>
      </c>
      <c r="F335" s="17">
        <f t="shared" ca="1" si="1"/>
        <v>2019</v>
      </c>
      <c r="G335" s="17">
        <f t="shared" ca="1" si="18"/>
        <v>10867</v>
      </c>
      <c r="H335" s="3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1043</v>
      </c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5" customHeight="1" x14ac:dyDescent="0.3">
      <c r="A336" s="17" t="s">
        <v>635</v>
      </c>
      <c r="B336" s="17">
        <f t="shared" si="11"/>
        <v>8</v>
      </c>
      <c r="C336" s="17">
        <f t="shared" si="12"/>
        <v>10</v>
      </c>
      <c r="D336" s="17"/>
      <c r="E336" s="17">
        <f t="shared" si="17"/>
        <v>65919</v>
      </c>
      <c r="F336" s="17">
        <f t="shared" ca="1" si="1"/>
        <v>2019</v>
      </c>
      <c r="G336" s="17">
        <f t="shared" ca="1" si="18"/>
        <v>10868</v>
      </c>
      <c r="H336" s="3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2330</v>
      </c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5" customHeight="1" x14ac:dyDescent="0.3">
      <c r="A337" s="17" t="s">
        <v>635</v>
      </c>
      <c r="B337" s="17">
        <f t="shared" si="11"/>
        <v>8</v>
      </c>
      <c r="C337" s="17">
        <f t="shared" si="12"/>
        <v>11</v>
      </c>
      <c r="D337" s="17"/>
      <c r="E337" s="17">
        <f t="shared" si="17"/>
        <v>65919</v>
      </c>
      <c r="F337" s="17">
        <f t="shared" ca="1" si="1"/>
        <v>2019</v>
      </c>
      <c r="G337" s="17">
        <f t="shared" ca="1" si="18"/>
        <v>10869</v>
      </c>
      <c r="H337" s="3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7.3999999999999996E-2</v>
      </c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5" customHeight="1" x14ac:dyDescent="0.3">
      <c r="A338" s="17" t="s">
        <v>635</v>
      </c>
      <c r="B338" s="17">
        <f t="shared" si="11"/>
        <v>8</v>
      </c>
      <c r="C338" s="17">
        <f t="shared" si="12"/>
        <v>12</v>
      </c>
      <c r="D338" s="17"/>
      <c r="E338" s="17">
        <f t="shared" si="17"/>
        <v>65919</v>
      </c>
      <c r="F338" s="17">
        <f t="shared" ca="1" si="1"/>
        <v>2019</v>
      </c>
      <c r="G338" s="17">
        <f t="shared" ca="1" si="18"/>
        <v>10870</v>
      </c>
      <c r="H338" s="3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5" customHeight="1" x14ac:dyDescent="0.3">
      <c r="A339" s="17" t="s">
        <v>635</v>
      </c>
      <c r="B339" s="17">
        <f t="shared" si="11"/>
        <v>8</v>
      </c>
      <c r="C339" s="17">
        <f t="shared" si="12"/>
        <v>13</v>
      </c>
      <c r="D339" s="17"/>
      <c r="E339" s="17">
        <f t="shared" si="17"/>
        <v>65919</v>
      </c>
      <c r="F339" s="17">
        <f t="shared" ca="1" si="1"/>
        <v>2019</v>
      </c>
      <c r="G339" s="17">
        <f t="shared" ca="1" si="18"/>
        <v>10871</v>
      </c>
      <c r="H339" s="3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5" customHeight="1" x14ac:dyDescent="0.3">
      <c r="A340" s="17" t="s">
        <v>635</v>
      </c>
      <c r="B340" s="17">
        <f t="shared" si="11"/>
        <v>8</v>
      </c>
      <c r="C340" s="17">
        <f t="shared" si="12"/>
        <v>14</v>
      </c>
      <c r="D340" s="17"/>
      <c r="E340" s="17">
        <f t="shared" si="17"/>
        <v>65919</v>
      </c>
      <c r="F340" s="17">
        <f t="shared" ca="1" si="1"/>
        <v>2019</v>
      </c>
      <c r="G340" s="17">
        <f t="shared" ca="1" si="18"/>
        <v>10872</v>
      </c>
      <c r="H340" s="29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5" customHeight="1" x14ac:dyDescent="0.3">
      <c r="A341" s="17" t="s">
        <v>635</v>
      </c>
      <c r="B341" s="17">
        <f t="shared" si="11"/>
        <v>8</v>
      </c>
      <c r="C341" s="17">
        <f t="shared" si="12"/>
        <v>15</v>
      </c>
      <c r="D341" s="17"/>
      <c r="E341" s="17">
        <f t="shared" si="17"/>
        <v>65919</v>
      </c>
      <c r="F341" s="17">
        <f t="shared" ca="1" si="1"/>
        <v>2019</v>
      </c>
      <c r="G341" s="17">
        <f t="shared" ca="1" si="18"/>
        <v>10873</v>
      </c>
      <c r="H341" s="3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7.3999999999999996E-2</v>
      </c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5" customHeight="1" x14ac:dyDescent="0.3">
      <c r="A342" s="17" t="s">
        <v>635</v>
      </c>
      <c r="B342" s="17">
        <f t="shared" si="11"/>
        <v>8</v>
      </c>
      <c r="C342" s="17">
        <f t="shared" si="12"/>
        <v>16</v>
      </c>
      <c r="D342" s="17"/>
      <c r="E342" s="17">
        <f t="shared" si="17"/>
        <v>65919</v>
      </c>
      <c r="F342" s="17">
        <f t="shared" ca="1" si="1"/>
        <v>2019</v>
      </c>
      <c r="G342" s="17">
        <f t="shared" ca="1" si="18"/>
        <v>10874</v>
      </c>
      <c r="H342" s="3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7.3999999999999996E-2</v>
      </c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5" customHeight="1" x14ac:dyDescent="0.3">
      <c r="A343" s="17" t="s">
        <v>635</v>
      </c>
      <c r="B343" s="17">
        <f t="shared" si="11"/>
        <v>8</v>
      </c>
      <c r="C343" s="17">
        <f t="shared" si="12"/>
        <v>17</v>
      </c>
      <c r="D343" s="17"/>
      <c r="E343" s="17">
        <f t="shared" si="17"/>
        <v>65919</v>
      </c>
      <c r="F343" s="17">
        <f t="shared" ca="1" si="1"/>
        <v>2019</v>
      </c>
      <c r="G343" s="17">
        <f t="shared" ca="1" si="18"/>
        <v>10875</v>
      </c>
      <c r="H343" s="3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1373918000</v>
      </c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5" customHeight="1" x14ac:dyDescent="0.3">
      <c r="A344" s="17" t="s">
        <v>635</v>
      </c>
      <c r="B344" s="17">
        <f t="shared" si="11"/>
        <v>8</v>
      </c>
      <c r="C344" s="17">
        <f t="shared" si="12"/>
        <v>18</v>
      </c>
      <c r="D344" s="17"/>
      <c r="E344" s="17">
        <f t="shared" si="17"/>
        <v>65919</v>
      </c>
      <c r="F344" s="17">
        <f t="shared" ca="1" si="1"/>
        <v>2019</v>
      </c>
      <c r="G344" s="17">
        <f t="shared" ca="1" si="18"/>
        <v>10876</v>
      </c>
      <c r="H344" s="3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1362281000</v>
      </c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5" customHeight="1" x14ac:dyDescent="0.3">
      <c r="A345" s="17" t="s">
        <v>635</v>
      </c>
      <c r="B345" s="17">
        <f t="shared" si="11"/>
        <v>8</v>
      </c>
      <c r="C345" s="17">
        <f t="shared" si="12"/>
        <v>19</v>
      </c>
      <c r="D345" s="17"/>
      <c r="E345" s="17">
        <f t="shared" si="17"/>
        <v>65919</v>
      </c>
      <c r="F345" s="17">
        <f t="shared" ca="1" si="1"/>
        <v>2019</v>
      </c>
      <c r="G345" s="17">
        <f t="shared" ca="1" si="18"/>
        <v>10877</v>
      </c>
      <c r="H345" s="3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11637000</v>
      </c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5" customHeight="1" x14ac:dyDescent="0.3">
      <c r="A346" s="17" t="s">
        <v>635</v>
      </c>
      <c r="B346" s="17">
        <f t="shared" si="11"/>
        <v>8</v>
      </c>
      <c r="C346" s="17">
        <f t="shared" si="12"/>
        <v>20</v>
      </c>
      <c r="D346" s="17"/>
      <c r="E346" s="17">
        <f t="shared" si="17"/>
        <v>65919</v>
      </c>
      <c r="F346" s="17">
        <f t="shared" ca="1" si="1"/>
        <v>2019</v>
      </c>
      <c r="G346" s="17">
        <f t="shared" ca="1" si="18"/>
        <v>10878</v>
      </c>
      <c r="H346" s="3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0.99150000000000005</v>
      </c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5" customHeight="1" x14ac:dyDescent="0.3">
      <c r="A347" s="17" t="s">
        <v>635</v>
      </c>
      <c r="B347" s="17">
        <f t="shared" si="11"/>
        <v>8</v>
      </c>
      <c r="C347" s="17">
        <f t="shared" si="12"/>
        <v>21</v>
      </c>
      <c r="D347" s="17"/>
      <c r="E347" s="17">
        <f t="shared" si="17"/>
        <v>65919</v>
      </c>
      <c r="F347" s="17">
        <f t="shared" ca="1" si="1"/>
        <v>2019</v>
      </c>
      <c r="G347" s="17">
        <f t="shared" ca="1" si="18"/>
        <v>10879</v>
      </c>
      <c r="H347" s="3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109000000</v>
      </c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5" customHeight="1" x14ac:dyDescent="0.3">
      <c r="A348" s="17" t="s">
        <v>635</v>
      </c>
      <c r="B348" s="17">
        <f t="shared" si="11"/>
        <v>8</v>
      </c>
      <c r="C348" s="17">
        <f t="shared" si="12"/>
        <v>22</v>
      </c>
      <c r="D348" s="17"/>
      <c r="E348" s="17">
        <f t="shared" si="17"/>
        <v>65919</v>
      </c>
      <c r="F348" s="17">
        <f t="shared" ca="1" si="1"/>
        <v>2019</v>
      </c>
      <c r="G348" s="17">
        <f t="shared" ca="1" si="18"/>
        <v>10880</v>
      </c>
      <c r="H348" s="3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5" customHeight="1" x14ac:dyDescent="0.3">
      <c r="A349" s="17" t="s">
        <v>635</v>
      </c>
      <c r="B349" s="17">
        <f t="shared" si="11"/>
        <v>8</v>
      </c>
      <c r="C349" s="17">
        <f t="shared" si="12"/>
        <v>23</v>
      </c>
      <c r="D349" s="17"/>
      <c r="E349" s="17">
        <f t="shared" si="17"/>
        <v>65919</v>
      </c>
      <c r="F349" s="17">
        <f t="shared" ca="1" si="1"/>
        <v>2019</v>
      </c>
      <c r="G349" s="17">
        <f t="shared" ca="1" si="18"/>
        <v>10881</v>
      </c>
      <c r="H349" s="3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5" customHeight="1" x14ac:dyDescent="0.3">
      <c r="A350" s="17" t="s">
        <v>635</v>
      </c>
      <c r="B350" s="17">
        <f t="shared" si="11"/>
        <v>8</v>
      </c>
      <c r="C350" s="17">
        <f t="shared" si="12"/>
        <v>24</v>
      </c>
      <c r="D350" s="17"/>
      <c r="E350" s="17">
        <f t="shared" si="17"/>
        <v>65919</v>
      </c>
      <c r="F350" s="17">
        <f t="shared" ca="1" si="1"/>
        <v>2019</v>
      </c>
      <c r="G350" s="17">
        <f t="shared" ca="1" si="18"/>
        <v>10882</v>
      </c>
      <c r="H350" s="3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5" customHeight="1" x14ac:dyDescent="0.3">
      <c r="A351" s="17" t="s">
        <v>635</v>
      </c>
      <c r="B351" s="17">
        <f t="shared" si="11"/>
        <v>8</v>
      </c>
      <c r="C351" s="17">
        <f t="shared" si="12"/>
        <v>25</v>
      </c>
      <c r="D351" s="17"/>
      <c r="E351" s="17">
        <f t="shared" si="17"/>
        <v>65919</v>
      </c>
      <c r="F351" s="17">
        <f t="shared" ca="1" si="1"/>
        <v>2019</v>
      </c>
      <c r="G351" s="17">
        <f t="shared" ca="1" si="18"/>
        <v>10883</v>
      </c>
      <c r="H351" s="3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0.15614678899082568</v>
      </c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5" customHeight="1" x14ac:dyDescent="0.3">
      <c r="A352" s="17" t="s">
        <v>635</v>
      </c>
      <c r="B352" s="17">
        <f t="shared" si="11"/>
        <v>8</v>
      </c>
      <c r="C352" s="17">
        <f t="shared" si="12"/>
        <v>26</v>
      </c>
      <c r="D352" s="17"/>
      <c r="E352" s="17">
        <f t="shared" si="17"/>
        <v>65919</v>
      </c>
      <c r="F352" s="17">
        <f t="shared" ca="1" si="1"/>
        <v>2019</v>
      </c>
      <c r="G352" s="17">
        <f t="shared" ca="1" si="18"/>
        <v>10884</v>
      </c>
      <c r="H352" s="3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0.13486238532110092</v>
      </c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5" customHeight="1" x14ac:dyDescent="0.3">
      <c r="A353" s="17" t="s">
        <v>635</v>
      </c>
      <c r="B353" s="17">
        <f t="shared" si="11"/>
        <v>8</v>
      </c>
      <c r="C353" s="17">
        <f t="shared" si="12"/>
        <v>27</v>
      </c>
      <c r="D353" s="17"/>
      <c r="E353" s="17">
        <f t="shared" si="17"/>
        <v>65919</v>
      </c>
      <c r="F353" s="17">
        <f t="shared" ca="1" si="1"/>
        <v>2019</v>
      </c>
      <c r="G353" s="17">
        <f t="shared" ca="1" si="18"/>
        <v>10885</v>
      </c>
      <c r="H353" s="3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17020000</v>
      </c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5" customHeight="1" x14ac:dyDescent="0.3">
      <c r="A354" s="17" t="s">
        <v>635</v>
      </c>
      <c r="B354" s="17">
        <f t="shared" si="11"/>
        <v>8</v>
      </c>
      <c r="C354" s="17">
        <f t="shared" si="12"/>
        <v>28</v>
      </c>
      <c r="D354" s="17"/>
      <c r="E354" s="17">
        <f t="shared" si="17"/>
        <v>65919</v>
      </c>
      <c r="F354" s="17">
        <f t="shared" ca="1" si="1"/>
        <v>2019</v>
      </c>
      <c r="G354" s="17">
        <f t="shared" ca="1" si="18"/>
        <v>10886</v>
      </c>
      <c r="H354" s="3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14700000</v>
      </c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5" customHeight="1" x14ac:dyDescent="0.3">
      <c r="A355" s="17" t="s">
        <v>635</v>
      </c>
      <c r="B355" s="17">
        <f t="shared" si="11"/>
        <v>8</v>
      </c>
      <c r="C355" s="17">
        <f t="shared" si="12"/>
        <v>29</v>
      </c>
      <c r="D355" s="17"/>
      <c r="E355" s="17">
        <f t="shared" si="17"/>
        <v>65919</v>
      </c>
      <c r="F355" s="17">
        <f t="shared" ca="1" si="1"/>
        <v>2019</v>
      </c>
      <c r="G355" s="17">
        <f t="shared" ca="1" si="18"/>
        <v>10887</v>
      </c>
      <c r="H355" s="3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2320000</v>
      </c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5" customHeight="1" x14ac:dyDescent="0.3">
      <c r="A356" s="17" t="s">
        <v>635</v>
      </c>
      <c r="B356" s="17">
        <f t="shared" si="11"/>
        <v>8</v>
      </c>
      <c r="C356" s="17">
        <f t="shared" si="12"/>
        <v>30</v>
      </c>
      <c r="D356" s="17"/>
      <c r="E356" s="17">
        <f t="shared" si="17"/>
        <v>65919</v>
      </c>
      <c r="F356" s="17">
        <f t="shared" ca="1" si="1"/>
        <v>2019</v>
      </c>
      <c r="G356" s="17">
        <f t="shared" ca="1" si="18"/>
        <v>10883</v>
      </c>
      <c r="H356" s="3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0.86368977673325498</v>
      </c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5" customHeight="1" x14ac:dyDescent="0.3">
      <c r="A357" s="17" t="s">
        <v>635</v>
      </c>
      <c r="B357" s="17">
        <f t="shared" si="11"/>
        <v>8</v>
      </c>
      <c r="C357" s="17">
        <f t="shared" si="12"/>
        <v>31</v>
      </c>
      <c r="D357" s="17"/>
      <c r="E357" s="17">
        <f t="shared" si="17"/>
        <v>65919</v>
      </c>
      <c r="F357" s="17">
        <f t="shared" ca="1" si="1"/>
        <v>2019</v>
      </c>
      <c r="G357" s="17">
        <f t="shared" ca="1" si="18"/>
        <v>10889</v>
      </c>
      <c r="H357" s="3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22671000</v>
      </c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5" customHeight="1" x14ac:dyDescent="0.3">
      <c r="A358" s="17" t="s">
        <v>635</v>
      </c>
      <c r="B358" s="17">
        <f t="shared" si="11"/>
        <v>8</v>
      </c>
      <c r="C358" s="17">
        <f t="shared" si="12"/>
        <v>32</v>
      </c>
      <c r="D358" s="17"/>
      <c r="E358" s="17">
        <f t="shared" si="17"/>
        <v>65919</v>
      </c>
      <c r="F358" s="17">
        <f t="shared" ca="1" si="1"/>
        <v>2019</v>
      </c>
      <c r="G358" s="17">
        <f t="shared" ca="1" si="18"/>
        <v>10890</v>
      </c>
      <c r="H358" s="3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96629000</v>
      </c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5" customHeight="1" x14ac:dyDescent="0.3">
      <c r="A359" s="17" t="s">
        <v>635</v>
      </c>
      <c r="B359" s="17">
        <f t="shared" si="11"/>
        <v>8</v>
      </c>
      <c r="C359" s="17">
        <f t="shared" si="12"/>
        <v>33</v>
      </c>
      <c r="D359" s="17"/>
      <c r="E359" s="17">
        <f t="shared" si="17"/>
        <v>65919</v>
      </c>
      <c r="F359" s="17">
        <f t="shared" ca="1" si="1"/>
        <v>2019</v>
      </c>
      <c r="G359" s="17">
        <f t="shared" ca="1" si="18"/>
        <v>10891</v>
      </c>
      <c r="H359" s="3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5" customHeight="1" x14ac:dyDescent="0.3">
      <c r="A360" s="17" t="s">
        <v>635</v>
      </c>
      <c r="B360" s="17">
        <f t="shared" si="11"/>
        <v>8</v>
      </c>
      <c r="C360" s="17">
        <f t="shared" si="12"/>
        <v>34</v>
      </c>
      <c r="D360" s="17"/>
      <c r="E360" s="17">
        <f t="shared" si="17"/>
        <v>65919</v>
      </c>
      <c r="F360" s="17">
        <f t="shared" ca="1" si="1"/>
        <v>2019</v>
      </c>
      <c r="G360" s="17">
        <f t="shared" ca="1" si="18"/>
        <v>10892</v>
      </c>
      <c r="H360" s="3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5" customHeight="1" x14ac:dyDescent="0.3">
      <c r="A361" s="17" t="s">
        <v>635</v>
      </c>
      <c r="B361" s="17">
        <f t="shared" si="11"/>
        <v>8</v>
      </c>
      <c r="C361" s="17">
        <f t="shared" si="12"/>
        <v>35</v>
      </c>
      <c r="D361" s="17"/>
      <c r="E361" s="17">
        <f t="shared" si="17"/>
        <v>65919</v>
      </c>
      <c r="F361" s="17">
        <f t="shared" ca="1" si="1"/>
        <v>2019</v>
      </c>
      <c r="G361" s="17">
        <f t="shared" ca="1" si="18"/>
        <v>10893</v>
      </c>
      <c r="H361" s="3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5" customHeight="1" x14ac:dyDescent="0.3">
      <c r="A362" s="17" t="s">
        <v>635</v>
      </c>
      <c r="B362" s="17">
        <f t="shared" si="11"/>
        <v>8</v>
      </c>
      <c r="C362" s="17">
        <f t="shared" si="12"/>
        <v>36</v>
      </c>
      <c r="D362" s="17"/>
      <c r="E362" s="17">
        <f t="shared" si="17"/>
        <v>65919</v>
      </c>
      <c r="F362" s="17">
        <f t="shared" ca="1" si="1"/>
        <v>2019</v>
      </c>
      <c r="G362" s="17">
        <f t="shared" ca="1" si="18"/>
        <v>10894</v>
      </c>
      <c r="H362" s="3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-10744000</v>
      </c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5" customHeight="1" x14ac:dyDescent="0.3">
      <c r="A363" s="17" t="s">
        <v>635</v>
      </c>
      <c r="B363" s="17">
        <f t="shared" si="11"/>
        <v>8</v>
      </c>
      <c r="C363" s="17">
        <f t="shared" si="12"/>
        <v>37</v>
      </c>
      <c r="D363" s="17"/>
      <c r="E363" s="17">
        <f t="shared" si="17"/>
        <v>65919</v>
      </c>
      <c r="F363" s="17">
        <f t="shared" ca="1" si="1"/>
        <v>2019</v>
      </c>
      <c r="G363" s="17">
        <f t="shared" ca="1" si="18"/>
        <v>10895</v>
      </c>
      <c r="H363" s="2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5" customHeight="1" x14ac:dyDescent="0.3">
      <c r="A364" s="17" t="s">
        <v>635</v>
      </c>
      <c r="B364" s="17">
        <f t="shared" si="11"/>
        <v>8</v>
      </c>
      <c r="C364" s="17">
        <f t="shared" si="12"/>
        <v>38</v>
      </c>
      <c r="D364" s="17"/>
      <c r="E364" s="17">
        <f t="shared" si="17"/>
        <v>65919</v>
      </c>
      <c r="F364" s="17">
        <f t="shared" ca="1" si="1"/>
        <v>2019</v>
      </c>
      <c r="G364" s="17">
        <f t="shared" ca="1" si="18"/>
        <v>10896</v>
      </c>
      <c r="H364" s="2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5" customHeight="1" x14ac:dyDescent="0.3">
      <c r="A365" s="17" t="s">
        <v>635</v>
      </c>
      <c r="B365" s="17">
        <f t="shared" si="11"/>
        <v>8</v>
      </c>
      <c r="C365" s="17">
        <f t="shared" si="12"/>
        <v>39</v>
      </c>
      <c r="D365" s="17"/>
      <c r="E365" s="17">
        <f t="shared" si="17"/>
        <v>65919</v>
      </c>
      <c r="F365" s="17">
        <f t="shared" ca="1" si="1"/>
        <v>2019</v>
      </c>
      <c r="G365" s="17">
        <f t="shared" ca="1" si="18"/>
        <v>10897</v>
      </c>
      <c r="H365" s="3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131000</v>
      </c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5" customHeight="1" x14ac:dyDescent="0.3">
      <c r="A366" s="17" t="s">
        <v>635</v>
      </c>
      <c r="B366" s="17">
        <f t="shared" si="11"/>
        <v>8</v>
      </c>
      <c r="C366" s="17">
        <f t="shared" si="12"/>
        <v>40</v>
      </c>
      <c r="D366" s="17"/>
      <c r="E366" s="17">
        <f t="shared" si="17"/>
        <v>65919</v>
      </c>
      <c r="F366" s="17">
        <f t="shared" ca="1" si="1"/>
        <v>2019</v>
      </c>
      <c r="G366" s="17">
        <f t="shared" ca="1" si="18"/>
        <v>10898</v>
      </c>
      <c r="H366" s="2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5" customHeight="1" x14ac:dyDescent="0.3">
      <c r="A367" s="17" t="s">
        <v>635</v>
      </c>
      <c r="B367" s="17">
        <f t="shared" si="11"/>
        <v>8</v>
      </c>
      <c r="C367" s="17">
        <f t="shared" si="12"/>
        <v>41</v>
      </c>
      <c r="D367" s="17"/>
      <c r="E367" s="17">
        <f t="shared" si="17"/>
        <v>65919</v>
      </c>
      <c r="F367" s="17">
        <f t="shared" ca="1" si="1"/>
        <v>2019</v>
      </c>
      <c r="G367" s="17">
        <f t="shared" ca="1" si="18"/>
        <v>10899</v>
      </c>
      <c r="H367" s="2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5" customHeight="1" x14ac:dyDescent="0.3">
      <c r="A368" s="17" t="s">
        <v>635</v>
      </c>
      <c r="B368" s="17">
        <f t="shared" si="11"/>
        <v>8</v>
      </c>
      <c r="C368" s="17">
        <f t="shared" si="12"/>
        <v>42</v>
      </c>
      <c r="D368" s="17"/>
      <c r="E368" s="17">
        <f t="shared" si="17"/>
        <v>65919</v>
      </c>
      <c r="F368" s="17">
        <f t="shared" ca="1" si="1"/>
        <v>2019</v>
      </c>
      <c r="G368" s="17">
        <f t="shared" ca="1" si="18"/>
        <v>11006</v>
      </c>
      <c r="H368" s="3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5" customHeight="1" x14ac:dyDescent="0.3">
      <c r="A369" s="17" t="s">
        <v>635</v>
      </c>
      <c r="B369" s="17">
        <f t="shared" si="11"/>
        <v>8</v>
      </c>
      <c r="C369" s="17">
        <f t="shared" si="12"/>
        <v>43</v>
      </c>
      <c r="D369" s="17"/>
      <c r="E369" s="17">
        <f t="shared" si="17"/>
        <v>65919</v>
      </c>
      <c r="F369" s="17">
        <f t="shared" ca="1" si="1"/>
        <v>2019</v>
      </c>
      <c r="G369" s="17">
        <f t="shared" ca="1" si="18"/>
        <v>10900</v>
      </c>
      <c r="H369" s="3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5" customHeight="1" x14ac:dyDescent="0.3">
      <c r="A370" s="17" t="s">
        <v>635</v>
      </c>
      <c r="B370" s="17">
        <f t="shared" si="11"/>
        <v>8</v>
      </c>
      <c r="C370" s="17">
        <f t="shared" si="12"/>
        <v>44</v>
      </c>
      <c r="D370" s="17"/>
      <c r="E370" s="17">
        <f t="shared" si="17"/>
        <v>65919</v>
      </c>
      <c r="F370" s="17">
        <f t="shared" ca="1" si="1"/>
        <v>2019</v>
      </c>
      <c r="G370" s="17">
        <f t="shared" ca="1" si="18"/>
        <v>10901</v>
      </c>
      <c r="H370" s="3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6.4000000000000001E-2</v>
      </c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5" customHeight="1" x14ac:dyDescent="0.3">
      <c r="A371" s="17" t="s">
        <v>635</v>
      </c>
      <c r="B371" s="17">
        <f t="shared" si="11"/>
        <v>8</v>
      </c>
      <c r="C371" s="17">
        <f t="shared" si="12"/>
        <v>45</v>
      </c>
      <c r="D371" s="17"/>
      <c r="E371" s="17">
        <f t="shared" si="17"/>
        <v>65919</v>
      </c>
      <c r="F371" s="17">
        <f t="shared" ca="1" si="1"/>
        <v>2019</v>
      </c>
      <c r="G371" s="17">
        <f t="shared" ca="1" si="18"/>
        <v>10902</v>
      </c>
      <c r="H371" s="3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7.3999999999999996E-2</v>
      </c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5" customHeight="1" x14ac:dyDescent="0.3">
      <c r="A372" s="17" t="s">
        <v>635</v>
      </c>
      <c r="B372" s="17">
        <f t="shared" si="11"/>
        <v>8</v>
      </c>
      <c r="C372" s="17">
        <f t="shared" si="12"/>
        <v>46</v>
      </c>
      <c r="D372" s="17"/>
      <c r="E372" s="17">
        <f t="shared" si="17"/>
        <v>65919</v>
      </c>
      <c r="F372" s="17">
        <f t="shared" ca="1" si="1"/>
        <v>2019</v>
      </c>
      <c r="G372" s="17">
        <f t="shared" ca="1" si="18"/>
        <v>10903</v>
      </c>
      <c r="H372" s="3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8.4000000000000005E-2</v>
      </c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5" customHeight="1" x14ac:dyDescent="0.3">
      <c r="A373" s="17" t="s">
        <v>635</v>
      </c>
      <c r="B373" s="17">
        <f t="shared" si="11"/>
        <v>8</v>
      </c>
      <c r="C373" s="17">
        <f t="shared" si="12"/>
        <v>47</v>
      </c>
      <c r="D373" s="17"/>
      <c r="E373" s="17">
        <f t="shared" si="17"/>
        <v>65919</v>
      </c>
      <c r="F373" s="17">
        <f t="shared" ca="1" si="1"/>
        <v>2019</v>
      </c>
      <c r="G373" s="17">
        <f t="shared" ca="1" si="18"/>
        <v>10904</v>
      </c>
      <c r="H373" s="3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206668000</v>
      </c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5" customHeight="1" x14ac:dyDescent="0.3">
      <c r="A374" s="17" t="s">
        <v>635</v>
      </c>
      <c r="B374" s="17">
        <f t="shared" si="11"/>
        <v>8</v>
      </c>
      <c r="C374" s="17">
        <f t="shared" si="12"/>
        <v>48</v>
      </c>
      <c r="D374" s="17"/>
      <c r="E374" s="17">
        <f t="shared" si="17"/>
        <v>65919</v>
      </c>
      <c r="F374" s="17">
        <f t="shared" ca="1" si="1"/>
        <v>2019</v>
      </c>
      <c r="G374" s="17">
        <f t="shared" ca="1" si="18"/>
        <v>10905</v>
      </c>
      <c r="H374" s="3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11637000</v>
      </c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5" customHeight="1" x14ac:dyDescent="0.3">
      <c r="A375" s="17" t="s">
        <v>635</v>
      </c>
      <c r="B375" s="17">
        <f t="shared" si="11"/>
        <v>8</v>
      </c>
      <c r="C375" s="17">
        <f t="shared" si="12"/>
        <v>49</v>
      </c>
      <c r="D375" s="17"/>
      <c r="E375" s="17">
        <f t="shared" si="17"/>
        <v>65919</v>
      </c>
      <c r="F375" s="17">
        <f t="shared" ca="1" si="1"/>
        <v>2019</v>
      </c>
      <c r="G375" s="17">
        <f t="shared" ca="1" si="18"/>
        <v>10906</v>
      </c>
      <c r="H375" s="3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-146886000</v>
      </c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5" customHeight="1" x14ac:dyDescent="0.3">
      <c r="A376" s="17" t="s">
        <v>635</v>
      </c>
      <c r="B376" s="17">
        <f t="shared" si="11"/>
        <v>8</v>
      </c>
      <c r="C376" s="17">
        <f t="shared" si="12"/>
        <v>50</v>
      </c>
      <c r="D376" s="17"/>
      <c r="E376" s="17">
        <f t="shared" si="17"/>
        <v>65919</v>
      </c>
      <c r="F376" s="17">
        <f t="shared" ca="1" si="1"/>
        <v>2019</v>
      </c>
      <c r="G376" s="17">
        <f t="shared" ca="1" si="18"/>
        <v>10907</v>
      </c>
      <c r="H376" s="3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5" customHeight="1" x14ac:dyDescent="0.3">
      <c r="A377" s="17" t="s">
        <v>635</v>
      </c>
      <c r="B377" s="17">
        <f t="shared" si="11"/>
        <v>8</v>
      </c>
      <c r="C377" s="17">
        <f t="shared" si="12"/>
        <v>51</v>
      </c>
      <c r="D377" s="17"/>
      <c r="E377" s="17">
        <f t="shared" si="17"/>
        <v>65919</v>
      </c>
      <c r="F377" s="17">
        <f t="shared" ca="1" si="1"/>
        <v>2019</v>
      </c>
      <c r="G377" s="17">
        <f t="shared" ca="1" si="18"/>
        <v>10860</v>
      </c>
      <c r="H377" s="3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1314734000</v>
      </c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5" customHeight="1" x14ac:dyDescent="0.3">
      <c r="A378" s="17" t="s">
        <v>635</v>
      </c>
      <c r="B378" s="17">
        <f t="shared" si="11"/>
        <v>8</v>
      </c>
      <c r="C378" s="17">
        <f t="shared" si="12"/>
        <v>52</v>
      </c>
      <c r="D378" s="17"/>
      <c r="E378" s="17">
        <f t="shared" si="17"/>
        <v>65919</v>
      </c>
      <c r="F378" s="17">
        <f t="shared" ca="1" si="1"/>
        <v>2019</v>
      </c>
      <c r="G378" s="17">
        <f t="shared" ca="1" si="18"/>
        <v>10909</v>
      </c>
      <c r="H378" s="3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22671000</v>
      </c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5" customHeight="1" x14ac:dyDescent="0.3">
      <c r="A379" s="17" t="s">
        <v>635</v>
      </c>
      <c r="B379" s="17">
        <f t="shared" si="11"/>
        <v>8</v>
      </c>
      <c r="C379" s="17">
        <f t="shared" si="12"/>
        <v>53</v>
      </c>
      <c r="D379" s="17"/>
      <c r="E379" s="17">
        <f t="shared" si="17"/>
        <v>65919</v>
      </c>
      <c r="F379" s="17">
        <f t="shared" ca="1" si="1"/>
        <v>2019</v>
      </c>
      <c r="G379" s="17">
        <f t="shared" ca="1" si="18"/>
        <v>10910</v>
      </c>
      <c r="H379" s="3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96629000</v>
      </c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5" customHeight="1" x14ac:dyDescent="0.3">
      <c r="A380" s="17" t="s">
        <v>635</v>
      </c>
      <c r="B380" s="17">
        <f t="shared" si="11"/>
        <v>8</v>
      </c>
      <c r="C380" s="17">
        <f t="shared" si="12"/>
        <v>54</v>
      </c>
      <c r="D380" s="17"/>
      <c r="E380" s="17">
        <f t="shared" si="17"/>
        <v>65919</v>
      </c>
      <c r="F380" s="17">
        <f t="shared" ca="1" si="1"/>
        <v>2019</v>
      </c>
      <c r="G380" s="17">
        <f t="shared" ca="1" si="18"/>
        <v>10911</v>
      </c>
      <c r="H380" s="3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5" customHeight="1" x14ac:dyDescent="0.3">
      <c r="A381" s="17" t="s">
        <v>635</v>
      </c>
      <c r="B381" s="17">
        <f t="shared" si="11"/>
        <v>8</v>
      </c>
      <c r="C381" s="17">
        <f t="shared" si="12"/>
        <v>55</v>
      </c>
      <c r="D381" s="17"/>
      <c r="E381" s="17">
        <f t="shared" si="17"/>
        <v>65919</v>
      </c>
      <c r="F381" s="17">
        <f t="shared" ca="1" si="1"/>
        <v>2019</v>
      </c>
      <c r="G381" s="17">
        <f t="shared" ca="1" si="18"/>
        <v>10912</v>
      </c>
      <c r="H381" s="3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4254000</v>
      </c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5" customHeight="1" x14ac:dyDescent="0.3">
      <c r="A382" s="17" t="s">
        <v>635</v>
      </c>
      <c r="B382" s="17">
        <f t="shared" si="11"/>
        <v>8</v>
      </c>
      <c r="C382" s="17">
        <f t="shared" si="12"/>
        <v>56</v>
      </c>
      <c r="D382" s="17"/>
      <c r="E382" s="17">
        <f t="shared" si="17"/>
        <v>65919</v>
      </c>
      <c r="F382" s="17">
        <f t="shared" ca="1" si="1"/>
        <v>2019</v>
      </c>
      <c r="G382" s="17">
        <f t="shared" ca="1" si="18"/>
        <v>10913</v>
      </c>
      <c r="H382" s="3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5" customHeight="1" x14ac:dyDescent="0.3">
      <c r="A383" s="17" t="s">
        <v>635</v>
      </c>
      <c r="B383" s="17">
        <f t="shared" si="11"/>
        <v>8</v>
      </c>
      <c r="C383" s="17">
        <f t="shared" si="12"/>
        <v>57</v>
      </c>
      <c r="D383" s="17"/>
      <c r="E383" s="17">
        <f t="shared" si="17"/>
        <v>65919</v>
      </c>
      <c r="F383" s="17">
        <f t="shared" ca="1" si="1"/>
        <v>2019</v>
      </c>
      <c r="G383" s="17">
        <f t="shared" ca="1" si="18"/>
        <v>10914</v>
      </c>
      <c r="H383" s="3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14700000</v>
      </c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5" customHeight="1" x14ac:dyDescent="0.3">
      <c r="A384" s="17" t="s">
        <v>635</v>
      </c>
      <c r="B384" s="17">
        <f t="shared" si="11"/>
        <v>8</v>
      </c>
      <c r="C384" s="17">
        <f t="shared" si="12"/>
        <v>58</v>
      </c>
      <c r="D384" s="17"/>
      <c r="E384" s="17">
        <f t="shared" si="17"/>
        <v>65919</v>
      </c>
      <c r="F384" s="17">
        <f t="shared" ca="1" si="1"/>
        <v>2019</v>
      </c>
      <c r="G384" s="17">
        <f t="shared" ca="1" si="18"/>
        <v>10915</v>
      </c>
      <c r="H384" s="3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10744000</v>
      </c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5" customHeight="1" x14ac:dyDescent="0.3">
      <c r="A385" s="17" t="s">
        <v>635</v>
      </c>
      <c r="B385" s="17">
        <f t="shared" si="11"/>
        <v>8</v>
      </c>
      <c r="C385" s="17">
        <f t="shared" si="12"/>
        <v>59</v>
      </c>
      <c r="D385" s="17"/>
      <c r="E385" s="17">
        <f t="shared" si="17"/>
        <v>65919</v>
      </c>
      <c r="F385" s="17">
        <f t="shared" ca="1" si="1"/>
        <v>2019</v>
      </c>
      <c r="G385" s="17">
        <f t="shared" ca="1" si="18"/>
        <v>10916</v>
      </c>
      <c r="H385" s="3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111123000</v>
      </c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5" customHeight="1" x14ac:dyDescent="0.3">
      <c r="A386" s="17" t="s">
        <v>635</v>
      </c>
      <c r="B386" s="17">
        <f t="shared" si="11"/>
        <v>8</v>
      </c>
      <c r="C386" s="17">
        <f t="shared" si="12"/>
        <v>60</v>
      </c>
      <c r="D386" s="17"/>
      <c r="E386" s="17">
        <f t="shared" si="17"/>
        <v>65919</v>
      </c>
      <c r="F386" s="17">
        <f t="shared" ca="1" si="1"/>
        <v>2019</v>
      </c>
      <c r="G386" s="17">
        <f t="shared" ca="1" si="18"/>
        <v>10917</v>
      </c>
      <c r="H386" s="3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-64370000</v>
      </c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5" customHeight="1" x14ac:dyDescent="0.3">
      <c r="A387" s="17" t="s">
        <v>635</v>
      </c>
      <c r="B387" s="17">
        <f t="shared" si="11"/>
        <v>8</v>
      </c>
      <c r="C387" s="17">
        <f t="shared" si="12"/>
        <v>61</v>
      </c>
      <c r="D387" s="17"/>
      <c r="E387" s="17">
        <f t="shared" si="17"/>
        <v>65919</v>
      </c>
      <c r="F387" s="17">
        <f t="shared" ca="1" si="1"/>
        <v>2019</v>
      </c>
      <c r="G387" s="17">
        <f t="shared" ca="1" si="18"/>
        <v>10918</v>
      </c>
      <c r="H387" s="3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5" customHeight="1" x14ac:dyDescent="0.3">
      <c r="A388" s="17" t="s">
        <v>635</v>
      </c>
      <c r="B388" s="17">
        <f t="shared" si="11"/>
        <v>8</v>
      </c>
      <c r="C388" s="17">
        <f t="shared" si="12"/>
        <v>62</v>
      </c>
      <c r="D388" s="17"/>
      <c r="E388" s="17">
        <f t="shared" ref="E388:E451" si="19">plan_id</f>
        <v>65919</v>
      </c>
      <c r="F388" s="17">
        <f t="shared" ca="1" si="1"/>
        <v>2019</v>
      </c>
      <c r="G388" s="17">
        <f t="shared" ref="G388:G451" ca="1" si="20">VLOOKUP(INDIRECT(CHAR(39)&amp;$A388&amp;CHAR(39)&amp;"!r2c"&amp;$C388,0),variables,2,0)</f>
        <v>10919</v>
      </c>
      <c r="H388" s="3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-64370000</v>
      </c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5" customHeight="1" x14ac:dyDescent="0.3">
      <c r="A389" s="17" t="s">
        <v>635</v>
      </c>
      <c r="B389" s="17">
        <f t="shared" si="11"/>
        <v>8</v>
      </c>
      <c r="C389" s="17">
        <f t="shared" si="12"/>
        <v>63</v>
      </c>
      <c r="D389" s="17"/>
      <c r="E389" s="17">
        <f t="shared" si="19"/>
        <v>65919</v>
      </c>
      <c r="F389" s="17">
        <f t="shared" ca="1" si="1"/>
        <v>2019</v>
      </c>
      <c r="G389" s="17">
        <f t="shared" ca="1" si="20"/>
        <v>10920</v>
      </c>
      <c r="H389" s="3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-131000</v>
      </c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5" customHeight="1" x14ac:dyDescent="0.3">
      <c r="A390" s="17" t="s">
        <v>635</v>
      </c>
      <c r="B390" s="17">
        <f t="shared" si="11"/>
        <v>8</v>
      </c>
      <c r="C390" s="17">
        <f t="shared" si="12"/>
        <v>64</v>
      </c>
      <c r="D390" s="17"/>
      <c r="E390" s="17">
        <f t="shared" si="19"/>
        <v>65919</v>
      </c>
      <c r="F390" s="17">
        <f t="shared" ca="1" si="1"/>
        <v>2019</v>
      </c>
      <c r="G390" s="17">
        <f t="shared" ca="1" si="20"/>
        <v>10921</v>
      </c>
      <c r="H390" s="3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769000</v>
      </c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5" customHeight="1" x14ac:dyDescent="0.3">
      <c r="A391" s="17" t="s">
        <v>635</v>
      </c>
      <c r="B391" s="17">
        <f t="shared" si="11"/>
        <v>8</v>
      </c>
      <c r="C391" s="17">
        <f t="shared" si="12"/>
        <v>65</v>
      </c>
      <c r="D391" s="17"/>
      <c r="E391" s="17">
        <f t="shared" si="19"/>
        <v>65919</v>
      </c>
      <c r="F391" s="17">
        <f t="shared" ca="1" si="1"/>
        <v>2019</v>
      </c>
      <c r="G391" s="17">
        <f t="shared" ca="1" si="20"/>
        <v>10922</v>
      </c>
      <c r="H391" s="3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5" customHeight="1" x14ac:dyDescent="0.3">
      <c r="A392" s="17" t="s">
        <v>635</v>
      </c>
      <c r="B392" s="17">
        <f t="shared" si="11"/>
        <v>8</v>
      </c>
      <c r="C392" s="17">
        <f t="shared" si="12"/>
        <v>66</v>
      </c>
      <c r="D392" s="17"/>
      <c r="E392" s="17">
        <f t="shared" si="19"/>
        <v>65919</v>
      </c>
      <c r="F392" s="17">
        <f t="shared" ca="1" si="1"/>
        <v>2019</v>
      </c>
      <c r="G392" s="17">
        <f t="shared" ca="1" si="20"/>
        <v>10860</v>
      </c>
      <c r="H392" s="3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1289446000</v>
      </c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5" customHeight="1" x14ac:dyDescent="0.3">
      <c r="A393" s="17" t="s">
        <v>635</v>
      </c>
      <c r="B393" s="17">
        <f t="shared" si="11"/>
        <v>8</v>
      </c>
      <c r="C393" s="17">
        <f t="shared" si="12"/>
        <v>67</v>
      </c>
      <c r="D393" s="17"/>
      <c r="E393" s="17">
        <f t="shared" si="19"/>
        <v>65919</v>
      </c>
      <c r="F393" s="17">
        <f t="shared" ca="1" si="1"/>
        <v>2019</v>
      </c>
      <c r="G393" s="17">
        <f t="shared" ca="1" si="20"/>
        <v>10923</v>
      </c>
      <c r="H393" s="3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11637000</v>
      </c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5" customHeight="1" x14ac:dyDescent="0.3">
      <c r="A394" s="17" t="s">
        <v>644</v>
      </c>
      <c r="B394" s="17">
        <v>4</v>
      </c>
      <c r="C394" s="17">
        <v>3</v>
      </c>
      <c r="D394" s="17"/>
      <c r="E394" s="17">
        <f t="shared" si="19"/>
        <v>65919</v>
      </c>
      <c r="F394" s="17">
        <f t="shared" ca="1" si="1"/>
        <v>2001</v>
      </c>
      <c r="G394" s="17">
        <f t="shared" ca="1" si="20"/>
        <v>10703</v>
      </c>
      <c r="H394" s="29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</v>
      </c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5" customHeight="1" x14ac:dyDescent="0.3">
      <c r="A395" s="17" t="s">
        <v>644</v>
      </c>
      <c r="B395" s="17">
        <f t="shared" ref="B395:B484" si="21">B394</f>
        <v>4</v>
      </c>
      <c r="C395" s="17">
        <f t="shared" ref="C395:C484" si="22">C394+1</f>
        <v>4</v>
      </c>
      <c r="D395" s="17"/>
      <c r="E395" s="17">
        <f t="shared" si="19"/>
        <v>65919</v>
      </c>
      <c r="F395" s="17">
        <f t="shared" ca="1" si="1"/>
        <v>2001</v>
      </c>
      <c r="G395" s="17">
        <f t="shared" ca="1" si="20"/>
        <v>10845</v>
      </c>
      <c r="H395" s="2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The Office Of The State Actuary</v>
      </c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5" customHeight="1" x14ac:dyDescent="0.3">
      <c r="A396" s="17" t="s">
        <v>644</v>
      </c>
      <c r="B396" s="17">
        <f t="shared" si="21"/>
        <v>4</v>
      </c>
      <c r="C396" s="17">
        <f t="shared" si="22"/>
        <v>5</v>
      </c>
      <c r="D396" s="17"/>
      <c r="E396" s="17">
        <f t="shared" si="19"/>
        <v>65919</v>
      </c>
      <c r="F396" s="17">
        <f t="shared" ca="1" si="1"/>
        <v>2001</v>
      </c>
      <c r="G396" s="17">
        <f t="shared" ca="1" si="20"/>
        <v>10924</v>
      </c>
      <c r="H396" s="31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0</v>
      </c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5" customHeight="1" x14ac:dyDescent="0.3">
      <c r="A397" s="17" t="s">
        <v>644</v>
      </c>
      <c r="B397" s="17">
        <f t="shared" si="21"/>
        <v>4</v>
      </c>
      <c r="C397" s="17">
        <f t="shared" si="22"/>
        <v>6</v>
      </c>
      <c r="D397" s="17"/>
      <c r="E397" s="17">
        <f t="shared" si="19"/>
        <v>65919</v>
      </c>
      <c r="F397" s="17">
        <f t="shared" ca="1" si="1"/>
        <v>2001</v>
      </c>
      <c r="G397" s="17">
        <f t="shared" ca="1" si="20"/>
        <v>10925</v>
      </c>
      <c r="H397" s="3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0</v>
      </c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5" customHeight="1" x14ac:dyDescent="0.3">
      <c r="A398" s="17" t="s">
        <v>644</v>
      </c>
      <c r="B398" s="17">
        <f t="shared" si="21"/>
        <v>4</v>
      </c>
      <c r="C398" s="17">
        <f t="shared" si="22"/>
        <v>7</v>
      </c>
      <c r="D398" s="17"/>
      <c r="E398" s="17">
        <f t="shared" si="19"/>
        <v>65919</v>
      </c>
      <c r="F398" s="17">
        <f t="shared" ca="1" si="1"/>
        <v>2001</v>
      </c>
      <c r="G398" s="17">
        <f t="shared" ca="1" si="20"/>
        <v>10926</v>
      </c>
      <c r="H398" s="3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5" customHeight="1" x14ac:dyDescent="0.3">
      <c r="A399" s="17" t="s">
        <v>644</v>
      </c>
      <c r="B399" s="17">
        <f t="shared" si="21"/>
        <v>4</v>
      </c>
      <c r="C399" s="17">
        <f t="shared" si="22"/>
        <v>8</v>
      </c>
      <c r="D399" s="17"/>
      <c r="E399" s="17">
        <f t="shared" si="19"/>
        <v>65919</v>
      </c>
      <c r="F399" s="17">
        <f t="shared" ca="1" si="1"/>
        <v>2001</v>
      </c>
      <c r="G399" s="17">
        <f t="shared" ca="1" si="20"/>
        <v>10704</v>
      </c>
      <c r="H399" s="3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5" customHeight="1" x14ac:dyDescent="0.3">
      <c r="A400" s="17" t="s">
        <v>644</v>
      </c>
      <c r="B400" s="17">
        <f t="shared" si="21"/>
        <v>4</v>
      </c>
      <c r="C400" s="17">
        <f t="shared" si="22"/>
        <v>9</v>
      </c>
      <c r="D400" s="17"/>
      <c r="E400" s="17">
        <f t="shared" si="19"/>
        <v>65919</v>
      </c>
      <c r="F400" s="17">
        <f t="shared" ca="1" si="1"/>
        <v>2001</v>
      </c>
      <c r="G400" s="17">
        <f t="shared" ca="1" si="20"/>
        <v>10928</v>
      </c>
      <c r="H400" s="3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0</v>
      </c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5" customHeight="1" x14ac:dyDescent="0.3">
      <c r="A401" s="17" t="s">
        <v>644</v>
      </c>
      <c r="B401" s="17">
        <f t="shared" si="21"/>
        <v>4</v>
      </c>
      <c r="C401" s="17">
        <f t="shared" si="22"/>
        <v>10</v>
      </c>
      <c r="D401" s="17"/>
      <c r="E401" s="17">
        <f t="shared" si="19"/>
        <v>65919</v>
      </c>
      <c r="F401" s="17">
        <f t="shared" ca="1" si="1"/>
        <v>2001</v>
      </c>
      <c r="G401" s="17">
        <f t="shared" ca="1" si="20"/>
        <v>10929</v>
      </c>
      <c r="H401" s="3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0</v>
      </c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5" customHeight="1" x14ac:dyDescent="0.3">
      <c r="A402" s="17" t="s">
        <v>644</v>
      </c>
      <c r="B402" s="17">
        <f t="shared" si="21"/>
        <v>4</v>
      </c>
      <c r="C402" s="17">
        <f t="shared" si="22"/>
        <v>11</v>
      </c>
      <c r="D402" s="17"/>
      <c r="E402" s="17">
        <f t="shared" si="19"/>
        <v>65919</v>
      </c>
      <c r="F402" s="17">
        <f t="shared" ca="1" si="1"/>
        <v>2001</v>
      </c>
      <c r="G402" s="17">
        <f t="shared" ca="1" si="20"/>
        <v>10930</v>
      </c>
      <c r="H402" s="2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0</v>
      </c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5" customHeight="1" x14ac:dyDescent="0.3">
      <c r="A403" s="17" t="s">
        <v>644</v>
      </c>
      <c r="B403" s="17">
        <f t="shared" si="21"/>
        <v>4</v>
      </c>
      <c r="C403" s="17">
        <f t="shared" si="22"/>
        <v>12</v>
      </c>
      <c r="D403" s="17"/>
      <c r="E403" s="17">
        <f t="shared" si="19"/>
        <v>65919</v>
      </c>
      <c r="F403" s="17">
        <f t="shared" ca="1" si="1"/>
        <v>2001</v>
      </c>
      <c r="G403" s="17">
        <f t="shared" ca="1" si="20"/>
        <v>10705</v>
      </c>
      <c r="H403" s="3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5" customHeight="1" x14ac:dyDescent="0.3">
      <c r="A404" s="17" t="s">
        <v>644</v>
      </c>
      <c r="B404" s="17">
        <f t="shared" si="21"/>
        <v>4</v>
      </c>
      <c r="C404" s="17">
        <f t="shared" si="22"/>
        <v>13</v>
      </c>
      <c r="D404" s="17"/>
      <c r="E404" s="17">
        <f t="shared" si="19"/>
        <v>65919</v>
      </c>
      <c r="F404" s="17">
        <f t="shared" ca="1" si="1"/>
        <v>2001</v>
      </c>
      <c r="G404" s="17">
        <f t="shared" ca="1" si="20"/>
        <v>10842</v>
      </c>
      <c r="H404" s="3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5" customHeight="1" x14ac:dyDescent="0.3">
      <c r="A405" s="17" t="s">
        <v>644</v>
      </c>
      <c r="B405" s="17">
        <f t="shared" si="21"/>
        <v>4</v>
      </c>
      <c r="C405" s="17">
        <f t="shared" si="22"/>
        <v>14</v>
      </c>
      <c r="D405" s="17"/>
      <c r="E405" s="17">
        <f t="shared" si="19"/>
        <v>65919</v>
      </c>
      <c r="F405" s="17">
        <f t="shared" ca="1" si="1"/>
        <v>2001</v>
      </c>
      <c r="G405" s="17">
        <f t="shared" ca="1" si="20"/>
        <v>10843</v>
      </c>
      <c r="H405" s="3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5" customHeight="1" x14ac:dyDescent="0.3">
      <c r="A406" s="17" t="s">
        <v>644</v>
      </c>
      <c r="B406" s="17">
        <f t="shared" si="21"/>
        <v>4</v>
      </c>
      <c r="C406" s="17">
        <f t="shared" si="22"/>
        <v>15</v>
      </c>
      <c r="D406" s="17"/>
      <c r="E406" s="17">
        <f t="shared" si="19"/>
        <v>65919</v>
      </c>
      <c r="F406" s="17">
        <f t="shared" ca="1" si="1"/>
        <v>2001</v>
      </c>
      <c r="G406" s="17">
        <f t="shared" ca="1" si="20"/>
        <v>10931</v>
      </c>
      <c r="H406" s="3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0</v>
      </c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5" customHeight="1" x14ac:dyDescent="0.3">
      <c r="A407" s="17" t="s">
        <v>644</v>
      </c>
      <c r="B407" s="17">
        <f t="shared" si="21"/>
        <v>4</v>
      </c>
      <c r="C407" s="17">
        <f t="shared" si="22"/>
        <v>16</v>
      </c>
      <c r="D407" s="17"/>
      <c r="E407" s="17">
        <f t="shared" si="19"/>
        <v>65919</v>
      </c>
      <c r="F407" s="17">
        <f t="shared" ca="1" si="1"/>
        <v>2001</v>
      </c>
      <c r="G407" s="17">
        <f t="shared" ca="1" si="20"/>
        <v>10932</v>
      </c>
      <c r="H407" s="3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0</v>
      </c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5" customHeight="1" x14ac:dyDescent="0.3">
      <c r="A408" s="17" t="s">
        <v>644</v>
      </c>
      <c r="B408" s="17">
        <f t="shared" si="21"/>
        <v>4</v>
      </c>
      <c r="C408" s="17">
        <f t="shared" si="22"/>
        <v>17</v>
      </c>
      <c r="D408" s="17"/>
      <c r="E408" s="17">
        <f t="shared" si="19"/>
        <v>65919</v>
      </c>
      <c r="F408" s="17">
        <f t="shared" ca="1" si="1"/>
        <v>2001</v>
      </c>
      <c r="G408" s="17">
        <f t="shared" ca="1" si="20"/>
        <v>10933</v>
      </c>
      <c r="H408" s="3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0</v>
      </c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5" customHeight="1" x14ac:dyDescent="0.3">
      <c r="A409" s="17" t="s">
        <v>644</v>
      </c>
      <c r="B409" s="17">
        <f t="shared" si="21"/>
        <v>4</v>
      </c>
      <c r="C409" s="17">
        <f t="shared" si="22"/>
        <v>18</v>
      </c>
      <c r="D409" s="17"/>
      <c r="E409" s="17">
        <f t="shared" si="19"/>
        <v>65919</v>
      </c>
      <c r="F409" s="17">
        <f t="shared" ca="1" si="1"/>
        <v>2001</v>
      </c>
      <c r="G409" s="17">
        <f t="shared" ca="1" si="20"/>
        <v>10934</v>
      </c>
      <c r="H409" s="3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0</v>
      </c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5" customHeight="1" x14ac:dyDescent="0.3">
      <c r="A410" s="17" t="s">
        <v>644</v>
      </c>
      <c r="B410" s="17">
        <f t="shared" si="21"/>
        <v>4</v>
      </c>
      <c r="C410" s="17">
        <f t="shared" si="22"/>
        <v>19</v>
      </c>
      <c r="D410" s="17"/>
      <c r="E410" s="17">
        <f t="shared" si="19"/>
        <v>65919</v>
      </c>
      <c r="F410" s="17">
        <f t="shared" ca="1" si="1"/>
        <v>2001</v>
      </c>
      <c r="G410" s="17">
        <f t="shared" ca="1" si="20"/>
        <v>10935</v>
      </c>
      <c r="H410" s="2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0</v>
      </c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5" customHeight="1" x14ac:dyDescent="0.3">
      <c r="A411" s="17" t="s">
        <v>644</v>
      </c>
      <c r="B411" s="17">
        <f t="shared" si="21"/>
        <v>4</v>
      </c>
      <c r="C411" s="17">
        <f t="shared" si="22"/>
        <v>20</v>
      </c>
      <c r="D411" s="17"/>
      <c r="E411" s="17">
        <f t="shared" si="19"/>
        <v>65919</v>
      </c>
      <c r="F411" s="17">
        <f t="shared" ca="1" si="1"/>
        <v>2001</v>
      </c>
      <c r="G411" s="17">
        <f t="shared" ca="1" si="20"/>
        <v>10937</v>
      </c>
      <c r="H411" s="3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</v>
      </c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5" customHeight="1" x14ac:dyDescent="0.3">
      <c r="A412" s="17" t="s">
        <v>644</v>
      </c>
      <c r="B412" s="17">
        <f t="shared" si="21"/>
        <v>4</v>
      </c>
      <c r="C412" s="17">
        <f t="shared" si="22"/>
        <v>21</v>
      </c>
      <c r="D412" s="17"/>
      <c r="E412" s="17">
        <f t="shared" si="19"/>
        <v>65919</v>
      </c>
      <c r="F412" s="17">
        <f t="shared" ca="1" si="1"/>
        <v>2001</v>
      </c>
      <c r="G412" s="17">
        <f t="shared" ca="1" si="20"/>
        <v>10938</v>
      </c>
      <c r="H412" s="3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0</v>
      </c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5" customHeight="1" x14ac:dyDescent="0.3">
      <c r="A413" s="17" t="s">
        <v>644</v>
      </c>
      <c r="B413" s="17">
        <f t="shared" si="21"/>
        <v>4</v>
      </c>
      <c r="C413" s="17">
        <f t="shared" si="22"/>
        <v>22</v>
      </c>
      <c r="D413" s="17"/>
      <c r="E413" s="17">
        <f t="shared" si="19"/>
        <v>65919</v>
      </c>
      <c r="F413" s="17">
        <f t="shared" ca="1" si="1"/>
        <v>2001</v>
      </c>
      <c r="G413" s="17">
        <f t="shared" ca="1" si="20"/>
        <v>11007</v>
      </c>
      <c r="H413" s="2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5" customHeight="1" x14ac:dyDescent="0.3">
      <c r="A414" s="17" t="s">
        <v>644</v>
      </c>
      <c r="B414" s="17">
        <f t="shared" si="21"/>
        <v>4</v>
      </c>
      <c r="C414" s="17">
        <f t="shared" si="22"/>
        <v>23</v>
      </c>
      <c r="D414" s="17"/>
      <c r="E414" s="17">
        <f t="shared" si="19"/>
        <v>65919</v>
      </c>
      <c r="F414" s="17">
        <f t="shared" ca="1" si="1"/>
        <v>2001</v>
      </c>
      <c r="G414" s="17">
        <f t="shared" ca="1" si="20"/>
        <v>10941</v>
      </c>
      <c r="H414" s="2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5" customHeight="1" x14ac:dyDescent="0.3">
      <c r="A415" s="17" t="s">
        <v>644</v>
      </c>
      <c r="B415" s="17">
        <f t="shared" si="21"/>
        <v>4</v>
      </c>
      <c r="C415" s="17">
        <f t="shared" si="22"/>
        <v>24</v>
      </c>
      <c r="D415" s="17"/>
      <c r="E415" s="17">
        <f t="shared" si="19"/>
        <v>65919</v>
      </c>
      <c r="F415" s="17">
        <f t="shared" ca="1" si="1"/>
        <v>2001</v>
      </c>
      <c r="G415" s="17">
        <f t="shared" ca="1" si="20"/>
        <v>10942</v>
      </c>
      <c r="H415" s="2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5" customHeight="1" x14ac:dyDescent="0.3">
      <c r="A416" s="17" t="s">
        <v>644</v>
      </c>
      <c r="B416" s="17">
        <f t="shared" si="21"/>
        <v>4</v>
      </c>
      <c r="C416" s="17">
        <f t="shared" si="22"/>
        <v>25</v>
      </c>
      <c r="D416" s="17"/>
      <c r="E416" s="17">
        <f t="shared" si="19"/>
        <v>65919</v>
      </c>
      <c r="F416" s="17">
        <f t="shared" ca="1" si="1"/>
        <v>2001</v>
      </c>
      <c r="G416" s="17">
        <f t="shared" ca="1" si="20"/>
        <v>10701</v>
      </c>
      <c r="H416" s="3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</v>
      </c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5" customHeight="1" x14ac:dyDescent="0.3">
      <c r="A417" s="17" t="s">
        <v>644</v>
      </c>
      <c r="B417" s="17">
        <f t="shared" si="21"/>
        <v>4</v>
      </c>
      <c r="C417" s="17">
        <f t="shared" si="22"/>
        <v>26</v>
      </c>
      <c r="D417" s="17"/>
      <c r="E417" s="17">
        <f t="shared" si="19"/>
        <v>65919</v>
      </c>
      <c r="F417" s="17">
        <f t="shared" ca="1" si="1"/>
        <v>2001</v>
      </c>
      <c r="G417" s="17">
        <f t="shared" ca="1" si="20"/>
        <v>10702</v>
      </c>
      <c r="H417" s="3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</v>
      </c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5" customHeight="1" x14ac:dyDescent="0.3">
      <c r="A418" s="17" t="s">
        <v>644</v>
      </c>
      <c r="B418" s="17">
        <f t="shared" si="21"/>
        <v>4</v>
      </c>
      <c r="C418" s="17">
        <f t="shared" si="22"/>
        <v>27</v>
      </c>
      <c r="D418" s="17"/>
      <c r="E418" s="17">
        <f t="shared" si="19"/>
        <v>65919</v>
      </c>
      <c r="F418" s="17">
        <f t="shared" ca="1" si="1"/>
        <v>2001</v>
      </c>
      <c r="G418" s="17">
        <f t="shared" ca="1" si="20"/>
        <v>10943</v>
      </c>
      <c r="H418" s="3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0</v>
      </c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5" customHeight="1" x14ac:dyDescent="0.3">
      <c r="A419" s="17" t="s">
        <v>644</v>
      </c>
      <c r="B419" s="17">
        <f t="shared" si="21"/>
        <v>4</v>
      </c>
      <c r="C419" s="17">
        <f t="shared" si="22"/>
        <v>28</v>
      </c>
      <c r="D419" s="17"/>
      <c r="E419" s="17">
        <f t="shared" si="19"/>
        <v>65919</v>
      </c>
      <c r="F419" s="17">
        <f t="shared" ca="1" si="1"/>
        <v>2001</v>
      </c>
      <c r="G419" s="17">
        <f t="shared" ca="1" si="20"/>
        <v>10944</v>
      </c>
      <c r="H419" s="31" t="str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No</v>
      </c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5" customHeight="1" x14ac:dyDescent="0.3">
      <c r="A420" s="17" t="s">
        <v>644</v>
      </c>
      <c r="B420" s="17">
        <f t="shared" si="21"/>
        <v>4</v>
      </c>
      <c r="C420" s="17">
        <f t="shared" si="22"/>
        <v>29</v>
      </c>
      <c r="D420" s="17"/>
      <c r="E420" s="17">
        <f t="shared" si="19"/>
        <v>65919</v>
      </c>
      <c r="F420" s="17">
        <f t="shared" ca="1" si="1"/>
        <v>2001</v>
      </c>
      <c r="G420" s="17">
        <f t="shared" ca="1" si="20"/>
        <v>10945</v>
      </c>
      <c r="H420" s="31" t="str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No</v>
      </c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5" customHeight="1" x14ac:dyDescent="0.3">
      <c r="A421" s="17" t="s">
        <v>644</v>
      </c>
      <c r="B421" s="17">
        <f t="shared" si="21"/>
        <v>4</v>
      </c>
      <c r="C421" s="17">
        <f t="shared" si="22"/>
        <v>30</v>
      </c>
      <c r="D421" s="17"/>
      <c r="E421" s="17">
        <f t="shared" si="19"/>
        <v>65919</v>
      </c>
      <c r="F421" s="17">
        <f t="shared" ca="1" si="1"/>
        <v>2001</v>
      </c>
      <c r="G421" s="17">
        <f t="shared" ca="1" si="20"/>
        <v>10947</v>
      </c>
      <c r="H421" s="2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</v>
      </c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5" customHeight="1" x14ac:dyDescent="0.3">
      <c r="A422" s="17" t="s">
        <v>644</v>
      </c>
      <c r="B422" s="17">
        <f t="shared" si="21"/>
        <v>4</v>
      </c>
      <c r="C422" s="17">
        <f t="shared" si="22"/>
        <v>31</v>
      </c>
      <c r="D422" s="17"/>
      <c r="E422" s="17">
        <f t="shared" si="19"/>
        <v>65919</v>
      </c>
      <c r="F422" s="17">
        <f t="shared" ca="1" si="1"/>
        <v>2001</v>
      </c>
      <c r="G422" s="17">
        <f t="shared" ca="1" si="20"/>
        <v>10948</v>
      </c>
      <c r="H422" s="31" t="str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No</v>
      </c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5" customHeight="1" x14ac:dyDescent="0.3">
      <c r="A423" s="17" t="s">
        <v>644</v>
      </c>
      <c r="B423" s="17">
        <f t="shared" si="21"/>
        <v>4</v>
      </c>
      <c r="C423" s="17">
        <f t="shared" si="22"/>
        <v>32</v>
      </c>
      <c r="D423" s="17"/>
      <c r="E423" s="17">
        <f t="shared" si="19"/>
        <v>65919</v>
      </c>
      <c r="F423" s="17">
        <f t="shared" ca="1" si="1"/>
        <v>2001</v>
      </c>
      <c r="G423" s="17">
        <f t="shared" ca="1" si="20"/>
        <v>10949</v>
      </c>
      <c r="H423" s="31" t="str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No</v>
      </c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5" customHeight="1" x14ac:dyDescent="0.3">
      <c r="A424" s="17" t="s">
        <v>644</v>
      </c>
      <c r="B424" s="17">
        <f t="shared" si="21"/>
        <v>4</v>
      </c>
      <c r="C424" s="17">
        <f t="shared" si="22"/>
        <v>33</v>
      </c>
      <c r="D424" s="17"/>
      <c r="E424" s="17">
        <f t="shared" si="19"/>
        <v>65919</v>
      </c>
      <c r="F424" s="17">
        <f t="shared" ca="1" si="1"/>
        <v>2001</v>
      </c>
      <c r="G424" s="17">
        <f t="shared" ca="1" si="20"/>
        <v>10951</v>
      </c>
      <c r="H424" s="31" t="str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No</v>
      </c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5" customHeight="1" x14ac:dyDescent="0.3">
      <c r="A425" s="17" t="s">
        <v>644</v>
      </c>
      <c r="B425" s="17">
        <f t="shared" si="21"/>
        <v>4</v>
      </c>
      <c r="C425" s="17">
        <f t="shared" si="22"/>
        <v>34</v>
      </c>
      <c r="D425" s="17"/>
      <c r="E425" s="17">
        <f t="shared" si="19"/>
        <v>65919</v>
      </c>
      <c r="F425" s="17">
        <f t="shared" ca="1" si="1"/>
        <v>2001</v>
      </c>
      <c r="G425" s="17">
        <f t="shared" ca="1" si="20"/>
        <v>10950</v>
      </c>
      <c r="H425" s="31" t="str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No</v>
      </c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5" customHeight="1" x14ac:dyDescent="0.3">
      <c r="A426" s="17" t="s">
        <v>644</v>
      </c>
      <c r="B426" s="17">
        <f t="shared" si="21"/>
        <v>4</v>
      </c>
      <c r="C426" s="17">
        <f t="shared" si="22"/>
        <v>35</v>
      </c>
      <c r="D426" s="17"/>
      <c r="E426" s="17">
        <f t="shared" si="19"/>
        <v>65919</v>
      </c>
      <c r="F426" s="17">
        <f t="shared" ca="1" si="1"/>
        <v>2001</v>
      </c>
      <c r="G426" s="17">
        <f t="shared" ca="1" si="20"/>
        <v>10954</v>
      </c>
      <c r="H426" s="3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3.5000000000000003E-2</v>
      </c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5" customHeight="1" x14ac:dyDescent="0.3">
      <c r="A427" s="17" t="s">
        <v>644</v>
      </c>
      <c r="B427" s="17">
        <f t="shared" si="21"/>
        <v>4</v>
      </c>
      <c r="C427" s="17">
        <f t="shared" si="22"/>
        <v>36</v>
      </c>
      <c r="D427" s="17"/>
      <c r="E427" s="17">
        <f t="shared" si="19"/>
        <v>65919</v>
      </c>
      <c r="F427" s="17">
        <f t="shared" ca="1" si="1"/>
        <v>2001</v>
      </c>
      <c r="G427" s="17">
        <f t="shared" ca="1" si="20"/>
        <v>10955</v>
      </c>
      <c r="H427" s="3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0.08</v>
      </c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5" customHeight="1" x14ac:dyDescent="0.3">
      <c r="A428" s="17" t="s">
        <v>644</v>
      </c>
      <c r="B428" s="17">
        <f t="shared" si="21"/>
        <v>4</v>
      </c>
      <c r="C428" s="17">
        <f t="shared" si="22"/>
        <v>37</v>
      </c>
      <c r="D428" s="17"/>
      <c r="E428" s="17">
        <f t="shared" si="19"/>
        <v>65919</v>
      </c>
      <c r="F428" s="17">
        <f t="shared" ca="1" si="1"/>
        <v>2001</v>
      </c>
      <c r="G428" s="17">
        <f t="shared" ca="1" si="20"/>
        <v>10956</v>
      </c>
      <c r="H428" s="3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5.6249999999999996E-4</v>
      </c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5" customHeight="1" x14ac:dyDescent="0.3">
      <c r="A429" s="17" t="s">
        <v>644</v>
      </c>
      <c r="B429" s="17">
        <f t="shared" si="21"/>
        <v>4</v>
      </c>
      <c r="C429" s="17">
        <f t="shared" si="22"/>
        <v>38</v>
      </c>
      <c r="D429" s="17"/>
      <c r="E429" s="17">
        <f t="shared" si="19"/>
        <v>65919</v>
      </c>
      <c r="F429" s="17">
        <f t="shared" ca="1" si="1"/>
        <v>2001</v>
      </c>
      <c r="G429" s="17">
        <f t="shared" ca="1" si="20"/>
        <v>10959</v>
      </c>
      <c r="H429" s="3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4.4999999999999998E-2</v>
      </c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5" customHeight="1" x14ac:dyDescent="0.3">
      <c r="A430" s="17" t="s">
        <v>644</v>
      </c>
      <c r="B430" s="17">
        <f t="shared" si="21"/>
        <v>4</v>
      </c>
      <c r="C430" s="17">
        <f t="shared" si="22"/>
        <v>39</v>
      </c>
      <c r="D430" s="17"/>
      <c r="E430" s="17">
        <f t="shared" si="19"/>
        <v>65919</v>
      </c>
      <c r="F430" s="17">
        <f t="shared" ca="1" si="1"/>
        <v>2001</v>
      </c>
      <c r="G430" s="17">
        <f t="shared" ca="1" si="20"/>
        <v>10962</v>
      </c>
      <c r="H430" s="2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5" customHeight="1" x14ac:dyDescent="0.3">
      <c r="A431" s="17" t="s">
        <v>644</v>
      </c>
      <c r="B431" s="17">
        <f t="shared" si="21"/>
        <v>4</v>
      </c>
      <c r="C431" s="17">
        <f t="shared" si="22"/>
        <v>40</v>
      </c>
      <c r="D431" s="17"/>
      <c r="E431" s="17">
        <f t="shared" si="19"/>
        <v>65919</v>
      </c>
      <c r="F431" s="17">
        <f t="shared" ca="1" si="1"/>
        <v>2001</v>
      </c>
      <c r="G431" s="17">
        <f t="shared" ca="1" si="20"/>
        <v>10964</v>
      </c>
      <c r="H431" s="2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5" customHeight="1" x14ac:dyDescent="0.3">
      <c r="A432" s="17" t="s">
        <v>644</v>
      </c>
      <c r="B432" s="17">
        <f t="shared" si="21"/>
        <v>4</v>
      </c>
      <c r="C432" s="17">
        <f t="shared" si="22"/>
        <v>41</v>
      </c>
      <c r="D432" s="17"/>
      <c r="E432" s="17">
        <f t="shared" si="19"/>
        <v>65919</v>
      </c>
      <c r="F432" s="17">
        <f t="shared" ca="1" si="1"/>
        <v>2001</v>
      </c>
      <c r="G432" s="17">
        <f t="shared" ca="1" si="20"/>
        <v>10967</v>
      </c>
      <c r="H432" s="2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5" customHeight="1" x14ac:dyDescent="0.3">
      <c r="A433" s="17" t="s">
        <v>644</v>
      </c>
      <c r="B433" s="17">
        <f t="shared" si="21"/>
        <v>4</v>
      </c>
      <c r="C433" s="17">
        <f t="shared" si="22"/>
        <v>42</v>
      </c>
      <c r="D433" s="17"/>
      <c r="E433" s="17">
        <f t="shared" si="19"/>
        <v>65919</v>
      </c>
      <c r="F433" s="17">
        <f t="shared" ca="1" si="1"/>
        <v>2001</v>
      </c>
      <c r="G433" s="17">
        <f t="shared" ca="1" si="20"/>
        <v>10968</v>
      </c>
      <c r="H433" s="2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5" customHeight="1" x14ac:dyDescent="0.3">
      <c r="A434" s="17" t="s">
        <v>644</v>
      </c>
      <c r="B434" s="17">
        <f t="shared" si="21"/>
        <v>4</v>
      </c>
      <c r="C434" s="17">
        <f t="shared" si="22"/>
        <v>43</v>
      </c>
      <c r="D434" s="17"/>
      <c r="E434" s="17">
        <f t="shared" si="19"/>
        <v>65919</v>
      </c>
      <c r="F434" s="17">
        <f t="shared" ca="1" si="1"/>
        <v>2001</v>
      </c>
      <c r="G434" s="17">
        <f t="shared" ca="1" si="20"/>
        <v>10969</v>
      </c>
      <c r="H434" s="2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5" customHeight="1" x14ac:dyDescent="0.3">
      <c r="A435" s="17" t="s">
        <v>644</v>
      </c>
      <c r="B435" s="17">
        <f t="shared" si="21"/>
        <v>4</v>
      </c>
      <c r="C435" s="17">
        <f t="shared" si="22"/>
        <v>44</v>
      </c>
      <c r="D435" s="17"/>
      <c r="E435" s="17">
        <f t="shared" si="19"/>
        <v>65919</v>
      </c>
      <c r="F435" s="17">
        <f t="shared" ca="1" si="1"/>
        <v>2001</v>
      </c>
      <c r="G435" s="17">
        <f t="shared" ca="1" si="20"/>
        <v>10970</v>
      </c>
      <c r="H435" s="2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</v>
      </c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5" customHeight="1" x14ac:dyDescent="0.3">
      <c r="A436" s="17" t="s">
        <v>644</v>
      </c>
      <c r="B436" s="17">
        <f t="shared" si="21"/>
        <v>4</v>
      </c>
      <c r="C436" s="17">
        <f t="shared" si="22"/>
        <v>45</v>
      </c>
      <c r="D436" s="17"/>
      <c r="E436" s="17">
        <f t="shared" si="19"/>
        <v>65919</v>
      </c>
      <c r="F436" s="17">
        <f t="shared" ca="1" si="1"/>
        <v>2001</v>
      </c>
      <c r="G436" s="17">
        <f t="shared" ca="1" si="20"/>
        <v>10971</v>
      </c>
      <c r="H436" s="2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0</v>
      </c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5" customHeight="1" x14ac:dyDescent="0.3">
      <c r="A437" s="17" t="s">
        <v>644</v>
      </c>
      <c r="B437" s="17">
        <f t="shared" si="21"/>
        <v>4</v>
      </c>
      <c r="C437" s="17">
        <f t="shared" si="22"/>
        <v>46</v>
      </c>
      <c r="D437" s="17"/>
      <c r="E437" s="17">
        <f t="shared" si="19"/>
        <v>65919</v>
      </c>
      <c r="F437" s="17">
        <f t="shared" ca="1" si="1"/>
        <v>2001</v>
      </c>
      <c r="G437" s="17">
        <f t="shared" ca="1" si="20"/>
        <v>10972</v>
      </c>
      <c r="H437" s="2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</v>
      </c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5" customHeight="1" x14ac:dyDescent="0.3">
      <c r="A438" s="17" t="s">
        <v>644</v>
      </c>
      <c r="B438" s="17">
        <f t="shared" si="21"/>
        <v>4</v>
      </c>
      <c r="C438" s="17">
        <f t="shared" si="22"/>
        <v>47</v>
      </c>
      <c r="D438" s="17"/>
      <c r="E438" s="17">
        <f t="shared" si="19"/>
        <v>65919</v>
      </c>
      <c r="F438" s="17">
        <f t="shared" ca="1" si="1"/>
        <v>2001</v>
      </c>
      <c r="G438" s="17">
        <f t="shared" ca="1" si="20"/>
        <v>10973</v>
      </c>
      <c r="H438" s="2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0</v>
      </c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5" customHeight="1" x14ac:dyDescent="0.3">
      <c r="A439" s="17" t="s">
        <v>644</v>
      </c>
      <c r="B439" s="17">
        <f t="shared" si="21"/>
        <v>4</v>
      </c>
      <c r="C439" s="17">
        <f t="shared" si="22"/>
        <v>48</v>
      </c>
      <c r="D439" s="17"/>
      <c r="E439" s="17">
        <f t="shared" si="19"/>
        <v>65919</v>
      </c>
      <c r="F439" s="17">
        <f t="shared" ca="1" si="1"/>
        <v>2001</v>
      </c>
      <c r="G439" s="17">
        <f t="shared" ca="1" si="20"/>
        <v>10975</v>
      </c>
      <c r="H439" s="2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0</v>
      </c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5" customHeight="1" x14ac:dyDescent="0.3">
      <c r="A440" s="17" t="s">
        <v>644</v>
      </c>
      <c r="B440" s="17">
        <f t="shared" si="21"/>
        <v>4</v>
      </c>
      <c r="C440" s="17">
        <f t="shared" si="22"/>
        <v>49</v>
      </c>
      <c r="D440" s="17"/>
      <c r="E440" s="17">
        <f t="shared" si="19"/>
        <v>65919</v>
      </c>
      <c r="F440" s="17">
        <f t="shared" ca="1" si="1"/>
        <v>2001</v>
      </c>
      <c r="G440" s="17">
        <f t="shared" ca="1" si="20"/>
        <v>10976</v>
      </c>
      <c r="H440" s="3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0.08</v>
      </c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5" customHeight="1" x14ac:dyDescent="0.3">
      <c r="A441" s="17" t="s">
        <v>644</v>
      </c>
      <c r="B441" s="17">
        <f t="shared" si="21"/>
        <v>4</v>
      </c>
      <c r="C441" s="17">
        <f t="shared" si="22"/>
        <v>50</v>
      </c>
      <c r="D441" s="17"/>
      <c r="E441" s="17">
        <f t="shared" si="19"/>
        <v>65919</v>
      </c>
      <c r="F441" s="17">
        <f t="shared" ca="1" si="1"/>
        <v>2001</v>
      </c>
      <c r="G441" s="17">
        <f t="shared" ca="1" si="20"/>
        <v>10977</v>
      </c>
      <c r="H441" s="31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No</v>
      </c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5" customHeight="1" x14ac:dyDescent="0.3">
      <c r="A442" s="17" t="s">
        <v>644</v>
      </c>
      <c r="B442" s="17">
        <f t="shared" si="21"/>
        <v>4</v>
      </c>
      <c r="C442" s="17">
        <f t="shared" si="22"/>
        <v>51</v>
      </c>
      <c r="D442" s="17"/>
      <c r="E442" s="17">
        <f t="shared" si="19"/>
        <v>65919</v>
      </c>
      <c r="F442" s="17">
        <f t="shared" ca="1" si="1"/>
        <v>2001</v>
      </c>
      <c r="G442" s="17">
        <f t="shared" ca="1" si="20"/>
        <v>10978</v>
      </c>
      <c r="H442" s="3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0.08</v>
      </c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5" customHeight="1" x14ac:dyDescent="0.3">
      <c r="A443" s="17" t="s">
        <v>644</v>
      </c>
      <c r="B443" s="17">
        <f t="shared" si="21"/>
        <v>4</v>
      </c>
      <c r="C443" s="17">
        <f t="shared" si="22"/>
        <v>52</v>
      </c>
      <c r="D443" s="17"/>
      <c r="E443" s="17">
        <f t="shared" si="19"/>
        <v>65919</v>
      </c>
      <c r="F443" s="17">
        <f t="shared" ca="1" si="1"/>
        <v>2001</v>
      </c>
      <c r="G443" s="17">
        <f t="shared" ca="1" si="20"/>
        <v>10979</v>
      </c>
      <c r="H443" s="2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5" customHeight="1" x14ac:dyDescent="0.3">
      <c r="A444" s="17" t="s">
        <v>644</v>
      </c>
      <c r="B444" s="17">
        <f t="shared" si="21"/>
        <v>4</v>
      </c>
      <c r="C444" s="17">
        <f t="shared" si="22"/>
        <v>53</v>
      </c>
      <c r="D444" s="17"/>
      <c r="E444" s="17">
        <f t="shared" si="19"/>
        <v>65919</v>
      </c>
      <c r="F444" s="17">
        <f t="shared" ca="1" si="1"/>
        <v>2001</v>
      </c>
      <c r="G444" s="17">
        <f t="shared" ca="1" si="20"/>
        <v>10980</v>
      </c>
      <c r="H444" s="3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2.1000000000000001E-2</v>
      </c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5" customHeight="1" x14ac:dyDescent="0.3">
      <c r="A445" s="17" t="s">
        <v>644</v>
      </c>
      <c r="B445" s="17">
        <f t="shared" si="21"/>
        <v>4</v>
      </c>
      <c r="C445" s="17">
        <f t="shared" si="22"/>
        <v>54</v>
      </c>
      <c r="D445" s="17"/>
      <c r="E445" s="17">
        <f t="shared" si="19"/>
        <v>65919</v>
      </c>
      <c r="F445" s="17">
        <f t="shared" ca="1" si="1"/>
        <v>2001</v>
      </c>
      <c r="G445" s="17">
        <f t="shared" ca="1" si="20"/>
        <v>10981</v>
      </c>
      <c r="H445" s="3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-9.6799999999999997E-2</v>
      </c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5" customHeight="1" x14ac:dyDescent="0.3">
      <c r="A446" s="17" t="s">
        <v>644</v>
      </c>
      <c r="B446" s="17">
        <f t="shared" si="21"/>
        <v>4</v>
      </c>
      <c r="C446" s="17">
        <f t="shared" si="22"/>
        <v>55</v>
      </c>
      <c r="D446" s="17"/>
      <c r="E446" s="17">
        <f t="shared" si="19"/>
        <v>65919</v>
      </c>
      <c r="F446" s="17">
        <f t="shared" ca="1" si="1"/>
        <v>2001</v>
      </c>
      <c r="G446" s="17">
        <f t="shared" ca="1" si="20"/>
        <v>10706</v>
      </c>
      <c r="H446" s="3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5" customHeight="1" x14ac:dyDescent="0.3">
      <c r="A447" s="17" t="s">
        <v>644</v>
      </c>
      <c r="B447" s="17">
        <f t="shared" si="21"/>
        <v>4</v>
      </c>
      <c r="C447" s="17">
        <f t="shared" si="22"/>
        <v>56</v>
      </c>
      <c r="D447" s="17"/>
      <c r="E447" s="17">
        <f t="shared" si="19"/>
        <v>65919</v>
      </c>
      <c r="F447" s="17">
        <f t="shared" ca="1" si="1"/>
        <v>2001</v>
      </c>
      <c r="G447" s="17">
        <f t="shared" ca="1" si="20"/>
        <v>10983</v>
      </c>
      <c r="H447" s="2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5" customHeight="1" x14ac:dyDescent="0.3">
      <c r="A448" s="17" t="s">
        <v>644</v>
      </c>
      <c r="B448" s="17">
        <f t="shared" si="21"/>
        <v>4</v>
      </c>
      <c r="C448" s="17">
        <f t="shared" si="22"/>
        <v>57</v>
      </c>
      <c r="D448" s="17"/>
      <c r="E448" s="17">
        <f t="shared" si="19"/>
        <v>65919</v>
      </c>
      <c r="F448" s="17">
        <f t="shared" ca="1" si="1"/>
        <v>2001</v>
      </c>
      <c r="G448" s="17">
        <f t="shared" ca="1" si="20"/>
        <v>10989</v>
      </c>
      <c r="H448" s="3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712000000</v>
      </c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5" customHeight="1" x14ac:dyDescent="0.3">
      <c r="A449" s="17" t="s">
        <v>644</v>
      </c>
      <c r="B449" s="17">
        <f t="shared" si="21"/>
        <v>4</v>
      </c>
      <c r="C449" s="17">
        <f t="shared" si="22"/>
        <v>58</v>
      </c>
      <c r="D449" s="17"/>
      <c r="E449" s="17">
        <f t="shared" si="19"/>
        <v>65919</v>
      </c>
      <c r="F449" s="17">
        <f t="shared" ca="1" si="1"/>
        <v>2001</v>
      </c>
      <c r="G449" s="17">
        <f t="shared" ca="1" si="20"/>
        <v>10990</v>
      </c>
      <c r="H449" s="3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483000000</v>
      </c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5" customHeight="1" x14ac:dyDescent="0.3">
      <c r="A450" s="17" t="s">
        <v>644</v>
      </c>
      <c r="B450" s="17">
        <f t="shared" si="21"/>
        <v>4</v>
      </c>
      <c r="C450" s="17">
        <f t="shared" si="22"/>
        <v>59</v>
      </c>
      <c r="D450" s="17"/>
      <c r="E450" s="17">
        <f t="shared" si="19"/>
        <v>65919</v>
      </c>
      <c r="F450" s="17">
        <f t="shared" ca="1" si="1"/>
        <v>2001</v>
      </c>
      <c r="G450" s="17">
        <f t="shared" ca="1" si="20"/>
        <v>10991</v>
      </c>
      <c r="H450" s="3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-229000000</v>
      </c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5" customHeight="1" x14ac:dyDescent="0.3">
      <c r="A451" s="17" t="s">
        <v>644</v>
      </c>
      <c r="B451" s="17">
        <f t="shared" si="21"/>
        <v>4</v>
      </c>
      <c r="C451" s="17">
        <f t="shared" si="22"/>
        <v>60</v>
      </c>
      <c r="D451" s="17"/>
      <c r="E451" s="17">
        <f t="shared" si="19"/>
        <v>65919</v>
      </c>
      <c r="F451" s="17">
        <f t="shared" ca="1" si="1"/>
        <v>2001</v>
      </c>
      <c r="G451" s="17">
        <f t="shared" ca="1" si="20"/>
        <v>10992</v>
      </c>
      <c r="H451" s="3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1.47</v>
      </c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5" customHeight="1" x14ac:dyDescent="0.3">
      <c r="A452" s="17" t="s">
        <v>644</v>
      </c>
      <c r="B452" s="17">
        <f t="shared" si="21"/>
        <v>4</v>
      </c>
      <c r="C452" s="17">
        <f t="shared" si="22"/>
        <v>61</v>
      </c>
      <c r="D452" s="17"/>
      <c r="E452" s="17">
        <f t="shared" ref="E452:E515" si="23">plan_id</f>
        <v>65919</v>
      </c>
      <c r="F452" s="17">
        <f t="shared" ca="1" si="1"/>
        <v>2001</v>
      </c>
      <c r="G452" s="17">
        <f t="shared" ref="G452:G515" ca="1" si="24">VLOOKUP(INDIRECT(CHAR(39)&amp;$A452&amp;CHAR(39)&amp;"!r2c"&amp;$C452,0),variables,2,0)</f>
        <v>10993</v>
      </c>
      <c r="H452" s="3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60000000</v>
      </c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5" customHeight="1" x14ac:dyDescent="0.3">
      <c r="A453" s="17" t="s">
        <v>644</v>
      </c>
      <c r="B453" s="17">
        <f t="shared" si="21"/>
        <v>4</v>
      </c>
      <c r="C453" s="17">
        <f t="shared" si="22"/>
        <v>62</v>
      </c>
      <c r="D453" s="17"/>
      <c r="E453" s="17">
        <f t="shared" si="23"/>
        <v>65919</v>
      </c>
      <c r="F453" s="17">
        <f t="shared" ca="1" si="1"/>
        <v>2001</v>
      </c>
      <c r="G453" s="17">
        <f t="shared" ca="1" si="24"/>
        <v>10801</v>
      </c>
      <c r="H453" s="2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27300000</v>
      </c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5" customHeight="1" x14ac:dyDescent="0.3">
      <c r="A454" s="17" t="s">
        <v>644</v>
      </c>
      <c r="B454" s="17">
        <f t="shared" si="21"/>
        <v>4</v>
      </c>
      <c r="C454" s="17">
        <f t="shared" si="22"/>
        <v>63</v>
      </c>
      <c r="D454" s="17"/>
      <c r="E454" s="17">
        <f t="shared" si="23"/>
        <v>65919</v>
      </c>
      <c r="F454" s="17">
        <f t="shared" ca="1" si="1"/>
        <v>2001</v>
      </c>
      <c r="G454" s="17">
        <f t="shared" ca="1" si="24"/>
        <v>10802</v>
      </c>
      <c r="H454" s="2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5" customHeight="1" x14ac:dyDescent="0.3">
      <c r="A455" s="17" t="s">
        <v>644</v>
      </c>
      <c r="B455" s="17">
        <f t="shared" si="21"/>
        <v>4</v>
      </c>
      <c r="C455" s="17">
        <f t="shared" si="22"/>
        <v>64</v>
      </c>
      <c r="D455" s="17"/>
      <c r="E455" s="17">
        <f t="shared" si="23"/>
        <v>65919</v>
      </c>
      <c r="F455" s="17">
        <f t="shared" ca="1" si="1"/>
        <v>2001</v>
      </c>
      <c r="G455" s="17">
        <f t="shared" ca="1" si="24"/>
        <v>10803</v>
      </c>
      <c r="H455" s="2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5" customHeight="1" x14ac:dyDescent="0.3">
      <c r="A456" s="17" t="s">
        <v>644</v>
      </c>
      <c r="B456" s="17">
        <f t="shared" si="21"/>
        <v>4</v>
      </c>
      <c r="C456" s="17">
        <f t="shared" si="22"/>
        <v>65</v>
      </c>
      <c r="D456" s="17"/>
      <c r="E456" s="17">
        <f t="shared" si="23"/>
        <v>65919</v>
      </c>
      <c r="F456" s="17">
        <f t="shared" ca="1" si="1"/>
        <v>2001</v>
      </c>
      <c r="G456" s="17">
        <f t="shared" ca="1" si="24"/>
        <v>10804</v>
      </c>
      <c r="H456" s="2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5" customHeight="1" x14ac:dyDescent="0.3">
      <c r="A457" s="17" t="s">
        <v>644</v>
      </c>
      <c r="B457" s="17">
        <f t="shared" si="21"/>
        <v>4</v>
      </c>
      <c r="C457" s="17">
        <f t="shared" si="22"/>
        <v>66</v>
      </c>
      <c r="D457" s="17"/>
      <c r="E457" s="17">
        <f t="shared" si="23"/>
        <v>65919</v>
      </c>
      <c r="F457" s="17">
        <f t="shared" ca="1" si="1"/>
        <v>2001</v>
      </c>
      <c r="G457" s="17">
        <f t="shared" ca="1" si="24"/>
        <v>10805</v>
      </c>
      <c r="H457" s="2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0</v>
      </c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5" customHeight="1" x14ac:dyDescent="0.3">
      <c r="A458" s="17" t="s">
        <v>644</v>
      </c>
      <c r="B458" s="17">
        <f t="shared" si="21"/>
        <v>4</v>
      </c>
      <c r="C458" s="17">
        <f t="shared" si="22"/>
        <v>67</v>
      </c>
      <c r="D458" s="17"/>
      <c r="E458" s="17">
        <f t="shared" si="23"/>
        <v>65919</v>
      </c>
      <c r="F458" s="17">
        <f t="shared" ca="1" si="1"/>
        <v>2001</v>
      </c>
      <c r="G458" s="17">
        <f t="shared" ca="1" si="24"/>
        <v>10806</v>
      </c>
      <c r="H458" s="2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0</v>
      </c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5" customHeight="1" x14ac:dyDescent="0.3">
      <c r="A459" s="17" t="s">
        <v>644</v>
      </c>
      <c r="B459" s="17">
        <f t="shared" si="21"/>
        <v>4</v>
      </c>
      <c r="C459" s="17">
        <f t="shared" si="22"/>
        <v>68</v>
      </c>
      <c r="D459" s="17"/>
      <c r="E459" s="17">
        <f t="shared" si="23"/>
        <v>65919</v>
      </c>
      <c r="F459" s="17">
        <f t="shared" ca="1" si="1"/>
        <v>2001</v>
      </c>
      <c r="G459" s="17">
        <f t="shared" ca="1" si="24"/>
        <v>10807</v>
      </c>
      <c r="H459" s="29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</v>
      </c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5" customHeight="1" x14ac:dyDescent="0.3">
      <c r="A460" s="17" t="s">
        <v>644</v>
      </c>
      <c r="B460" s="17">
        <f t="shared" si="21"/>
        <v>4</v>
      </c>
      <c r="C460" s="17">
        <f t="shared" si="22"/>
        <v>69</v>
      </c>
      <c r="D460" s="17"/>
      <c r="E460" s="17">
        <f t="shared" si="23"/>
        <v>65919</v>
      </c>
      <c r="F460" s="17">
        <f t="shared" ca="1" si="1"/>
        <v>2001</v>
      </c>
      <c r="G460" s="17">
        <f t="shared" ca="1" si="24"/>
        <v>10808</v>
      </c>
      <c r="H460" s="29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0</v>
      </c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5" customHeight="1" x14ac:dyDescent="0.3">
      <c r="A461" s="17" t="s">
        <v>644</v>
      </c>
      <c r="B461" s="17">
        <f t="shared" si="21"/>
        <v>4</v>
      </c>
      <c r="C461" s="17">
        <f t="shared" si="22"/>
        <v>70</v>
      </c>
      <c r="D461" s="17"/>
      <c r="E461" s="17">
        <f t="shared" si="23"/>
        <v>65919</v>
      </c>
      <c r="F461" s="17">
        <f t="shared" ca="1" si="1"/>
        <v>2001</v>
      </c>
      <c r="G461" s="17">
        <f t="shared" ca="1" si="24"/>
        <v>10809</v>
      </c>
      <c r="H461" s="29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0</v>
      </c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5" customHeight="1" x14ac:dyDescent="0.3">
      <c r="A462" s="17" t="s">
        <v>644</v>
      </c>
      <c r="B462" s="17">
        <f t="shared" si="21"/>
        <v>4</v>
      </c>
      <c r="C462" s="17">
        <f t="shared" si="22"/>
        <v>71</v>
      </c>
      <c r="D462" s="17"/>
      <c r="E462" s="17">
        <f t="shared" si="23"/>
        <v>65919</v>
      </c>
      <c r="F462" s="17">
        <f t="shared" ca="1" si="1"/>
        <v>2001</v>
      </c>
      <c r="G462" s="17">
        <f t="shared" ca="1" si="24"/>
        <v>10810</v>
      </c>
      <c r="H462" s="2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0</v>
      </c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5" customHeight="1" x14ac:dyDescent="0.3">
      <c r="A463" s="17" t="s">
        <v>644</v>
      </c>
      <c r="B463" s="17">
        <f t="shared" si="21"/>
        <v>4</v>
      </c>
      <c r="C463" s="17">
        <f t="shared" si="22"/>
        <v>72</v>
      </c>
      <c r="D463" s="17"/>
      <c r="E463" s="17">
        <f t="shared" si="23"/>
        <v>65919</v>
      </c>
      <c r="F463" s="17">
        <f t="shared" ca="1" si="1"/>
        <v>2001</v>
      </c>
      <c r="G463" s="17">
        <f t="shared" ca="1" si="24"/>
        <v>10811</v>
      </c>
      <c r="H463" s="2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5" customHeight="1" x14ac:dyDescent="0.3">
      <c r="A464" s="17" t="s">
        <v>644</v>
      </c>
      <c r="B464" s="17">
        <f t="shared" si="21"/>
        <v>4</v>
      </c>
      <c r="C464" s="17">
        <f t="shared" si="22"/>
        <v>73</v>
      </c>
      <c r="D464" s="17"/>
      <c r="E464" s="17">
        <f t="shared" si="23"/>
        <v>65919</v>
      </c>
      <c r="F464" s="17">
        <f t="shared" ca="1" si="1"/>
        <v>2001</v>
      </c>
      <c r="G464" s="17">
        <f t="shared" ca="1" si="24"/>
        <v>10812</v>
      </c>
      <c r="H464" s="2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5" customHeight="1" x14ac:dyDescent="0.3">
      <c r="A465" s="17" t="s">
        <v>644</v>
      </c>
      <c r="B465" s="17">
        <f t="shared" si="21"/>
        <v>4</v>
      </c>
      <c r="C465" s="17">
        <f t="shared" si="22"/>
        <v>74</v>
      </c>
      <c r="D465" s="17"/>
      <c r="E465" s="17">
        <f t="shared" si="23"/>
        <v>65919</v>
      </c>
      <c r="F465" s="17">
        <f t="shared" ca="1" si="1"/>
        <v>2001</v>
      </c>
      <c r="G465" s="17">
        <f t="shared" ca="1" si="24"/>
        <v>10813</v>
      </c>
      <c r="H465" s="2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0</v>
      </c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5" customHeight="1" x14ac:dyDescent="0.3">
      <c r="A466" s="17" t="s">
        <v>644</v>
      </c>
      <c r="B466" s="17">
        <f t="shared" si="21"/>
        <v>4</v>
      </c>
      <c r="C466" s="17">
        <f t="shared" si="22"/>
        <v>75</v>
      </c>
      <c r="D466" s="17"/>
      <c r="E466" s="17">
        <f t="shared" si="23"/>
        <v>65919</v>
      </c>
      <c r="F466" s="17">
        <f t="shared" ca="1" si="1"/>
        <v>2001</v>
      </c>
      <c r="G466" s="17">
        <f t="shared" ca="1" si="24"/>
        <v>10814</v>
      </c>
      <c r="H466" s="2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0</v>
      </c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5" customHeight="1" x14ac:dyDescent="0.3">
      <c r="A467" s="17" t="s">
        <v>644</v>
      </c>
      <c r="B467" s="17">
        <f t="shared" si="21"/>
        <v>4</v>
      </c>
      <c r="C467" s="17">
        <f t="shared" si="22"/>
        <v>76</v>
      </c>
      <c r="D467" s="17"/>
      <c r="E467" s="17">
        <f t="shared" si="23"/>
        <v>65919</v>
      </c>
      <c r="F467" s="17">
        <f t="shared" ca="1" si="1"/>
        <v>2001</v>
      </c>
      <c r="G467" s="17">
        <f t="shared" ca="1" si="24"/>
        <v>10815</v>
      </c>
      <c r="H467" s="2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-100000</v>
      </c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5" customHeight="1" x14ac:dyDescent="0.3">
      <c r="A468" s="17" t="s">
        <v>644</v>
      </c>
      <c r="B468" s="17">
        <f t="shared" si="21"/>
        <v>4</v>
      </c>
      <c r="C468" s="17">
        <f t="shared" si="22"/>
        <v>77</v>
      </c>
      <c r="D468" s="17"/>
      <c r="E468" s="17">
        <f t="shared" si="23"/>
        <v>65919</v>
      </c>
      <c r="F468" s="17">
        <f t="shared" ca="1" si="1"/>
        <v>2001</v>
      </c>
      <c r="G468" s="17">
        <f t="shared" ca="1" si="24"/>
        <v>10816</v>
      </c>
      <c r="H468" s="2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-4099999.9999999995</v>
      </c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5" customHeight="1" x14ac:dyDescent="0.3">
      <c r="A469" s="17" t="s">
        <v>644</v>
      </c>
      <c r="B469" s="17">
        <f t="shared" si="21"/>
        <v>4</v>
      </c>
      <c r="C469" s="17">
        <f t="shared" si="22"/>
        <v>78</v>
      </c>
      <c r="D469" s="17"/>
      <c r="E469" s="17">
        <f t="shared" si="23"/>
        <v>65919</v>
      </c>
      <c r="F469" s="17">
        <f t="shared" ca="1" si="1"/>
        <v>2001</v>
      </c>
      <c r="G469" s="17">
        <f t="shared" ca="1" si="24"/>
        <v>10817</v>
      </c>
      <c r="H469" s="2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 x14ac:dyDescent="0.3">
      <c r="A470" s="17" t="s">
        <v>644</v>
      </c>
      <c r="B470" s="17">
        <f t="shared" si="21"/>
        <v>4</v>
      </c>
      <c r="C470" s="17">
        <f t="shared" si="22"/>
        <v>79</v>
      </c>
      <c r="D470" s="17"/>
      <c r="E470" s="17">
        <f t="shared" si="23"/>
        <v>65919</v>
      </c>
      <c r="F470" s="17">
        <f t="shared" ca="1" si="1"/>
        <v>2001</v>
      </c>
      <c r="G470" s="17">
        <f t="shared" ca="1" si="24"/>
        <v>10818</v>
      </c>
      <c r="H470" s="2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5" customHeight="1" x14ac:dyDescent="0.3">
      <c r="A471" s="17" t="s">
        <v>644</v>
      </c>
      <c r="B471" s="17">
        <f t="shared" si="21"/>
        <v>4</v>
      </c>
      <c r="C471" s="17">
        <f t="shared" si="22"/>
        <v>80</v>
      </c>
      <c r="D471" s="17"/>
      <c r="E471" s="17">
        <f t="shared" si="23"/>
        <v>65919</v>
      </c>
      <c r="F471" s="17">
        <f t="shared" ca="1" si="1"/>
        <v>2001</v>
      </c>
      <c r="G471" s="17">
        <f t="shared" ca="1" si="24"/>
        <v>10819</v>
      </c>
      <c r="H471" s="2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100000</v>
      </c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5" customHeight="1" x14ac:dyDescent="0.3">
      <c r="A472" s="17" t="s">
        <v>644</v>
      </c>
      <c r="B472" s="17">
        <f t="shared" si="21"/>
        <v>4</v>
      </c>
      <c r="C472" s="17">
        <f t="shared" si="22"/>
        <v>81</v>
      </c>
      <c r="D472" s="17"/>
      <c r="E472" s="17">
        <f t="shared" si="23"/>
        <v>65919</v>
      </c>
      <c r="F472" s="17">
        <f t="shared" ca="1" si="1"/>
        <v>2001</v>
      </c>
      <c r="G472" s="17">
        <f t="shared" ca="1" si="24"/>
        <v>10820</v>
      </c>
      <c r="H472" s="2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0</v>
      </c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5" customHeight="1" x14ac:dyDescent="0.3">
      <c r="A473" s="17" t="s">
        <v>644</v>
      </c>
      <c r="B473" s="17">
        <f t="shared" si="21"/>
        <v>4</v>
      </c>
      <c r="C473" s="17">
        <f t="shared" si="22"/>
        <v>82</v>
      </c>
      <c r="D473" s="17"/>
      <c r="E473" s="17">
        <f t="shared" si="23"/>
        <v>65919</v>
      </c>
      <c r="F473" s="17">
        <f t="shared" ca="1" si="1"/>
        <v>2001</v>
      </c>
      <c r="G473" s="17">
        <f t="shared" ca="1" si="24"/>
        <v>10821</v>
      </c>
      <c r="H473" s="2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0</v>
      </c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5" customHeight="1" x14ac:dyDescent="0.3">
      <c r="A474" s="17" t="s">
        <v>644</v>
      </c>
      <c r="B474" s="17">
        <f t="shared" si="21"/>
        <v>4</v>
      </c>
      <c r="C474" s="17">
        <f t="shared" si="22"/>
        <v>83</v>
      </c>
      <c r="D474" s="17"/>
      <c r="E474" s="17">
        <f t="shared" si="23"/>
        <v>65919</v>
      </c>
      <c r="F474" s="17">
        <f t="shared" ca="1" si="1"/>
        <v>2001</v>
      </c>
      <c r="G474" s="17">
        <f t="shared" ca="1" si="24"/>
        <v>10822</v>
      </c>
      <c r="H474" s="2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0</v>
      </c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5" customHeight="1" x14ac:dyDescent="0.3">
      <c r="A475" s="17" t="s">
        <v>644</v>
      </c>
      <c r="B475" s="17">
        <f t="shared" si="21"/>
        <v>4</v>
      </c>
      <c r="C475" s="17">
        <f t="shared" si="22"/>
        <v>84</v>
      </c>
      <c r="D475" s="17"/>
      <c r="E475" s="17">
        <f t="shared" si="23"/>
        <v>65919</v>
      </c>
      <c r="F475" s="17">
        <f t="shared" ca="1" si="1"/>
        <v>2001</v>
      </c>
      <c r="G475" s="17">
        <f t="shared" ca="1" si="24"/>
        <v>10829</v>
      </c>
      <c r="H475" s="2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0</v>
      </c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5" customHeight="1" x14ac:dyDescent="0.3">
      <c r="A476" s="17" t="s">
        <v>644</v>
      </c>
      <c r="B476" s="17">
        <f t="shared" si="21"/>
        <v>4</v>
      </c>
      <c r="C476" s="17">
        <f t="shared" si="22"/>
        <v>85</v>
      </c>
      <c r="D476" s="17"/>
      <c r="E476" s="17">
        <f t="shared" si="23"/>
        <v>65919</v>
      </c>
      <c r="F476" s="17">
        <f t="shared" ca="1" si="1"/>
        <v>2001</v>
      </c>
      <c r="G476" s="17">
        <f t="shared" ca="1" si="24"/>
        <v>10823</v>
      </c>
      <c r="H476" s="3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23200000</v>
      </c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5" customHeight="1" x14ac:dyDescent="0.3">
      <c r="A477" s="17" t="s">
        <v>644</v>
      </c>
      <c r="B477" s="17">
        <f t="shared" si="21"/>
        <v>4</v>
      </c>
      <c r="C477" s="17">
        <f t="shared" si="22"/>
        <v>86</v>
      </c>
      <c r="D477" s="17"/>
      <c r="E477" s="17">
        <f t="shared" si="23"/>
        <v>65919</v>
      </c>
      <c r="F477" s="17">
        <f t="shared" ca="1" si="1"/>
        <v>2001</v>
      </c>
      <c r="G477" s="17">
        <f t="shared" ca="1" si="24"/>
        <v>10798</v>
      </c>
      <c r="H477" s="3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5" customHeight="1" x14ac:dyDescent="0.3">
      <c r="A478" s="17" t="s">
        <v>644</v>
      </c>
      <c r="B478" s="17">
        <f t="shared" si="21"/>
        <v>4</v>
      </c>
      <c r="C478" s="17">
        <f t="shared" si="22"/>
        <v>87</v>
      </c>
      <c r="D478" s="17"/>
      <c r="E478" s="17">
        <f t="shared" si="23"/>
        <v>65919</v>
      </c>
      <c r="F478" s="17">
        <f t="shared" ca="1" si="1"/>
        <v>2001</v>
      </c>
      <c r="G478" s="17">
        <f t="shared" ca="1" si="24"/>
        <v>10799</v>
      </c>
      <c r="H478" s="3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5" customHeight="1" x14ac:dyDescent="0.3">
      <c r="A479" s="17" t="s">
        <v>644</v>
      </c>
      <c r="B479" s="17">
        <f t="shared" si="21"/>
        <v>4</v>
      </c>
      <c r="C479" s="17">
        <f t="shared" si="22"/>
        <v>88</v>
      </c>
      <c r="D479" s="17"/>
      <c r="E479" s="17">
        <f t="shared" si="23"/>
        <v>65919</v>
      </c>
      <c r="F479" s="17">
        <f t="shared" ca="1" si="1"/>
        <v>2001</v>
      </c>
      <c r="G479" s="17">
        <f t="shared" ca="1" si="24"/>
        <v>10800</v>
      </c>
      <c r="H479" s="3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5" customHeight="1" x14ac:dyDescent="0.3">
      <c r="A480" s="17" t="s">
        <v>644</v>
      </c>
      <c r="B480" s="17">
        <f t="shared" si="21"/>
        <v>4</v>
      </c>
      <c r="C480" s="17">
        <f t="shared" si="22"/>
        <v>89</v>
      </c>
      <c r="D480" s="17"/>
      <c r="E480" s="17">
        <f t="shared" si="23"/>
        <v>65919</v>
      </c>
      <c r="F480" s="17">
        <f t="shared" ca="1" si="1"/>
        <v>2001</v>
      </c>
      <c r="G480" s="17">
        <f t="shared" ca="1" si="24"/>
        <v>10824</v>
      </c>
      <c r="H480" s="3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5" customHeight="1" x14ac:dyDescent="0.3">
      <c r="A481" s="17" t="s">
        <v>644</v>
      </c>
      <c r="B481" s="17">
        <f t="shared" si="21"/>
        <v>4</v>
      </c>
      <c r="C481" s="17">
        <f t="shared" si="22"/>
        <v>90</v>
      </c>
      <c r="D481" s="17"/>
      <c r="E481" s="17">
        <f t="shared" si="23"/>
        <v>65919</v>
      </c>
      <c r="F481" s="17">
        <f t="shared" ca="1" si="1"/>
        <v>2001</v>
      </c>
      <c r="G481" s="17">
        <f t="shared" ca="1" si="24"/>
        <v>10825</v>
      </c>
      <c r="H481" s="2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5" customHeight="1" x14ac:dyDescent="0.3">
      <c r="A482" s="17" t="s">
        <v>644</v>
      </c>
      <c r="B482" s="17">
        <f t="shared" si="21"/>
        <v>4</v>
      </c>
      <c r="C482" s="17">
        <f t="shared" si="22"/>
        <v>91</v>
      </c>
      <c r="D482" s="17"/>
      <c r="E482" s="17">
        <f t="shared" si="23"/>
        <v>65919</v>
      </c>
      <c r="F482" s="17">
        <f t="shared" ca="1" si="1"/>
        <v>2001</v>
      </c>
      <c r="G482" s="17">
        <f t="shared" ca="1" si="24"/>
        <v>10826</v>
      </c>
      <c r="H482" s="2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5" customHeight="1" x14ac:dyDescent="0.3">
      <c r="A483" s="17" t="s">
        <v>644</v>
      </c>
      <c r="B483" s="17">
        <f t="shared" si="21"/>
        <v>4</v>
      </c>
      <c r="C483" s="17">
        <f t="shared" si="22"/>
        <v>92</v>
      </c>
      <c r="D483" s="17"/>
      <c r="E483" s="17">
        <f t="shared" si="23"/>
        <v>65919</v>
      </c>
      <c r="F483" s="17">
        <f t="shared" ca="1" si="1"/>
        <v>2001</v>
      </c>
      <c r="G483" s="17">
        <f t="shared" ca="1" si="24"/>
        <v>10828</v>
      </c>
      <c r="H483" s="2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5" customHeight="1" x14ac:dyDescent="0.3">
      <c r="A484" s="17" t="s">
        <v>644</v>
      </c>
      <c r="B484" s="17">
        <f t="shared" si="21"/>
        <v>4</v>
      </c>
      <c r="C484" s="17">
        <f t="shared" si="22"/>
        <v>93</v>
      </c>
      <c r="D484" s="17"/>
      <c r="E484" s="17">
        <f t="shared" si="23"/>
        <v>65919</v>
      </c>
      <c r="F484" s="17">
        <f t="shared" ca="1" si="1"/>
        <v>2001</v>
      </c>
      <c r="G484" s="17">
        <f t="shared" ca="1" si="24"/>
        <v>10827</v>
      </c>
      <c r="H484" s="2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5" customHeight="1" x14ac:dyDescent="0.3">
      <c r="A485" s="17" t="s">
        <v>644</v>
      </c>
      <c r="B485" s="17">
        <f t="shared" ref="B485:B549" si="25">B420+1</f>
        <v>5</v>
      </c>
      <c r="C485" s="17">
        <f t="shared" ref="C485:C2122" si="26">C394</f>
        <v>3</v>
      </c>
      <c r="D485" s="17"/>
      <c r="E485" s="17">
        <f t="shared" si="23"/>
        <v>65919</v>
      </c>
      <c r="F485" s="17">
        <f t="shared" ca="1" si="1"/>
        <v>2002</v>
      </c>
      <c r="G485" s="17">
        <f t="shared" ca="1" si="24"/>
        <v>10703</v>
      </c>
      <c r="H485" s="2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5" customHeight="1" x14ac:dyDescent="0.3">
      <c r="A486" s="17" t="s">
        <v>644</v>
      </c>
      <c r="B486" s="17">
        <f t="shared" si="25"/>
        <v>5</v>
      </c>
      <c r="C486" s="17">
        <f t="shared" si="26"/>
        <v>4</v>
      </c>
      <c r="D486" s="17"/>
      <c r="E486" s="17">
        <f t="shared" si="23"/>
        <v>65919</v>
      </c>
      <c r="F486" s="17">
        <f t="shared" ca="1" si="1"/>
        <v>2002</v>
      </c>
      <c r="G486" s="17">
        <f t="shared" ca="1" si="24"/>
        <v>10845</v>
      </c>
      <c r="H486" s="29" t="str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The Office Of The State Actuary</v>
      </c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5" customHeight="1" x14ac:dyDescent="0.3">
      <c r="A487" s="17" t="s">
        <v>644</v>
      </c>
      <c r="B487" s="17">
        <f t="shared" si="25"/>
        <v>5</v>
      </c>
      <c r="C487" s="17">
        <f t="shared" si="26"/>
        <v>5</v>
      </c>
      <c r="D487" s="17"/>
      <c r="E487" s="17">
        <f t="shared" si="23"/>
        <v>65919</v>
      </c>
      <c r="F487" s="17">
        <f t="shared" ca="1" si="1"/>
        <v>2002</v>
      </c>
      <c r="G487" s="17">
        <f t="shared" ca="1" si="24"/>
        <v>10924</v>
      </c>
      <c r="H487" s="3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-1.03E-2</v>
      </c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5" customHeight="1" x14ac:dyDescent="0.3">
      <c r="A488" s="17" t="s">
        <v>644</v>
      </c>
      <c r="B488" s="17">
        <f t="shared" si="25"/>
        <v>5</v>
      </c>
      <c r="C488" s="17">
        <f t="shared" si="26"/>
        <v>6</v>
      </c>
      <c r="D488" s="17"/>
      <c r="E488" s="17">
        <f t="shared" si="23"/>
        <v>65919</v>
      </c>
      <c r="F488" s="17">
        <f t="shared" ca="1" si="1"/>
        <v>2002</v>
      </c>
      <c r="G488" s="17">
        <f t="shared" ca="1" si="24"/>
        <v>10925</v>
      </c>
      <c r="H488" s="3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0</v>
      </c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5" customHeight="1" x14ac:dyDescent="0.3">
      <c r="A489" s="17" t="s">
        <v>644</v>
      </c>
      <c r="B489" s="17">
        <f t="shared" si="25"/>
        <v>5</v>
      </c>
      <c r="C489" s="17">
        <f t="shared" si="26"/>
        <v>7</v>
      </c>
      <c r="D489" s="17"/>
      <c r="E489" s="17">
        <f t="shared" si="23"/>
        <v>65919</v>
      </c>
      <c r="F489" s="17">
        <f t="shared" ca="1" si="1"/>
        <v>2002</v>
      </c>
      <c r="G489" s="17">
        <f t="shared" ca="1" si="24"/>
        <v>10926</v>
      </c>
      <c r="H489" s="3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0.02</v>
      </c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5" customHeight="1" x14ac:dyDescent="0.3">
      <c r="A490" s="17" t="s">
        <v>644</v>
      </c>
      <c r="B490" s="17">
        <f t="shared" si="25"/>
        <v>5</v>
      </c>
      <c r="C490" s="17">
        <f t="shared" si="26"/>
        <v>8</v>
      </c>
      <c r="D490" s="17"/>
      <c r="E490" s="17">
        <f t="shared" si="23"/>
        <v>65919</v>
      </c>
      <c r="F490" s="17">
        <f t="shared" ca="1" si="1"/>
        <v>2002</v>
      </c>
      <c r="G490" s="17">
        <f t="shared" ca="1" si="24"/>
        <v>10704</v>
      </c>
      <c r="H490" s="3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5" customHeight="1" x14ac:dyDescent="0.3">
      <c r="A491" s="17" t="s">
        <v>644</v>
      </c>
      <c r="B491" s="17">
        <f t="shared" si="25"/>
        <v>5</v>
      </c>
      <c r="C491" s="17">
        <f t="shared" si="26"/>
        <v>9</v>
      </c>
      <c r="D491" s="17"/>
      <c r="E491" s="17">
        <f t="shared" si="23"/>
        <v>65919</v>
      </c>
      <c r="F491" s="17">
        <f t="shared" ca="1" si="1"/>
        <v>2002</v>
      </c>
      <c r="G491" s="17">
        <f t="shared" ca="1" si="24"/>
        <v>10928</v>
      </c>
      <c r="H491" s="3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5" customHeight="1" x14ac:dyDescent="0.3">
      <c r="A492" s="17" t="s">
        <v>644</v>
      </c>
      <c r="B492" s="17">
        <f t="shared" si="25"/>
        <v>5</v>
      </c>
      <c r="C492" s="17">
        <f t="shared" si="26"/>
        <v>10</v>
      </c>
      <c r="D492" s="17"/>
      <c r="E492" s="17">
        <f t="shared" si="23"/>
        <v>65919</v>
      </c>
      <c r="F492" s="17">
        <f t="shared" ca="1" si="1"/>
        <v>2002</v>
      </c>
      <c r="G492" s="17">
        <f t="shared" ca="1" si="24"/>
        <v>10929</v>
      </c>
      <c r="H492" s="3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5" customHeight="1" x14ac:dyDescent="0.3">
      <c r="A493" s="17" t="s">
        <v>644</v>
      </c>
      <c r="B493" s="17">
        <f t="shared" si="25"/>
        <v>5</v>
      </c>
      <c r="C493" s="17">
        <f t="shared" si="26"/>
        <v>11</v>
      </c>
      <c r="D493" s="17"/>
      <c r="E493" s="17">
        <f t="shared" si="23"/>
        <v>65919</v>
      </c>
      <c r="F493" s="17">
        <f t="shared" ca="1" si="1"/>
        <v>2002</v>
      </c>
      <c r="G493" s="17">
        <f t="shared" ca="1" si="24"/>
        <v>10930</v>
      </c>
      <c r="H493" s="3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5" customHeight="1" x14ac:dyDescent="0.3">
      <c r="A494" s="17" t="s">
        <v>644</v>
      </c>
      <c r="B494" s="17">
        <f t="shared" si="25"/>
        <v>5</v>
      </c>
      <c r="C494" s="17">
        <f t="shared" si="26"/>
        <v>12</v>
      </c>
      <c r="D494" s="17"/>
      <c r="E494" s="17">
        <f t="shared" si="23"/>
        <v>65919</v>
      </c>
      <c r="F494" s="17">
        <f t="shared" ca="1" si="1"/>
        <v>2002</v>
      </c>
      <c r="G494" s="17">
        <f t="shared" ca="1" si="24"/>
        <v>10705</v>
      </c>
      <c r="H494" s="3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1245408</v>
      </c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5" customHeight="1" x14ac:dyDescent="0.3">
      <c r="A495" s="17" t="s">
        <v>644</v>
      </c>
      <c r="B495" s="17">
        <f t="shared" si="25"/>
        <v>5</v>
      </c>
      <c r="C495" s="17">
        <f t="shared" si="26"/>
        <v>13</v>
      </c>
      <c r="D495" s="17"/>
      <c r="E495" s="17">
        <f t="shared" si="23"/>
        <v>65919</v>
      </c>
      <c r="F495" s="17">
        <f t="shared" ca="1" si="1"/>
        <v>2002</v>
      </c>
      <c r="G495" s="17">
        <f t="shared" ca="1" si="24"/>
        <v>10842</v>
      </c>
      <c r="H495" s="3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5" customHeight="1" x14ac:dyDescent="0.3">
      <c r="A496" s="17" t="s">
        <v>644</v>
      </c>
      <c r="B496" s="17">
        <f t="shared" si="25"/>
        <v>5</v>
      </c>
      <c r="C496" s="17">
        <f t="shared" si="26"/>
        <v>14</v>
      </c>
      <c r="D496" s="17"/>
      <c r="E496" s="17">
        <f t="shared" si="23"/>
        <v>65919</v>
      </c>
      <c r="F496" s="17">
        <f t="shared" ca="1" si="1"/>
        <v>2002</v>
      </c>
      <c r="G496" s="17">
        <f t="shared" ca="1" si="24"/>
        <v>10843</v>
      </c>
      <c r="H496" s="3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5" customHeight="1" x14ac:dyDescent="0.3">
      <c r="A497" s="17" t="s">
        <v>644</v>
      </c>
      <c r="B497" s="17">
        <f t="shared" si="25"/>
        <v>5</v>
      </c>
      <c r="C497" s="17">
        <f t="shared" si="26"/>
        <v>15</v>
      </c>
      <c r="D497" s="17"/>
      <c r="E497" s="17">
        <f t="shared" si="23"/>
        <v>65919</v>
      </c>
      <c r="F497" s="17">
        <f t="shared" ca="1" si="1"/>
        <v>2002</v>
      </c>
      <c r="G497" s="17">
        <f t="shared" ca="1" si="24"/>
        <v>10931</v>
      </c>
      <c r="H497" s="3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5" customHeight="1" x14ac:dyDescent="0.3">
      <c r="A498" s="17" t="s">
        <v>644</v>
      </c>
      <c r="B498" s="17">
        <f t="shared" si="25"/>
        <v>5</v>
      </c>
      <c r="C498" s="17">
        <f t="shared" si="26"/>
        <v>16</v>
      </c>
      <c r="D498" s="17"/>
      <c r="E498" s="17">
        <f t="shared" si="23"/>
        <v>65919</v>
      </c>
      <c r="F498" s="17">
        <f t="shared" ca="1" si="1"/>
        <v>2002</v>
      </c>
      <c r="G498" s="17">
        <f t="shared" ca="1" si="24"/>
        <v>10932</v>
      </c>
      <c r="H498" s="3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5" customHeight="1" x14ac:dyDescent="0.3">
      <c r="A499" s="17" t="s">
        <v>644</v>
      </c>
      <c r="B499" s="17">
        <f t="shared" si="25"/>
        <v>5</v>
      </c>
      <c r="C499" s="17">
        <f t="shared" si="26"/>
        <v>17</v>
      </c>
      <c r="D499" s="17"/>
      <c r="E499" s="17">
        <f t="shared" si="23"/>
        <v>65919</v>
      </c>
      <c r="F499" s="17">
        <f t="shared" ca="1" si="1"/>
        <v>2002</v>
      </c>
      <c r="G499" s="17">
        <f t="shared" ca="1" si="24"/>
        <v>10933</v>
      </c>
      <c r="H499" s="3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5" customHeight="1" x14ac:dyDescent="0.3">
      <c r="A500" s="17" t="s">
        <v>644</v>
      </c>
      <c r="B500" s="17">
        <f t="shared" si="25"/>
        <v>5</v>
      </c>
      <c r="C500" s="17">
        <f t="shared" si="26"/>
        <v>18</v>
      </c>
      <c r="D500" s="17"/>
      <c r="E500" s="17">
        <f t="shared" si="23"/>
        <v>65919</v>
      </c>
      <c r="F500" s="17">
        <f t="shared" ca="1" si="1"/>
        <v>2002</v>
      </c>
      <c r="G500" s="17">
        <f t="shared" ca="1" si="24"/>
        <v>10934</v>
      </c>
      <c r="H500" s="3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0.02</v>
      </c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5" customHeight="1" x14ac:dyDescent="0.3">
      <c r="A501" s="17" t="s">
        <v>644</v>
      </c>
      <c r="B501" s="17">
        <f t="shared" si="25"/>
        <v>5</v>
      </c>
      <c r="C501" s="17">
        <f t="shared" si="26"/>
        <v>19</v>
      </c>
      <c r="D501" s="17"/>
      <c r="E501" s="17">
        <f t="shared" si="23"/>
        <v>65919</v>
      </c>
      <c r="F501" s="17">
        <f t="shared" ca="1" si="1"/>
        <v>2002</v>
      </c>
      <c r="G501" s="17">
        <f t="shared" ca="1" si="24"/>
        <v>10935</v>
      </c>
      <c r="H501" s="29" t="str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Single Rate</v>
      </c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5" customHeight="1" x14ac:dyDescent="0.3">
      <c r="A502" s="17" t="s">
        <v>644</v>
      </c>
      <c r="B502" s="17">
        <f t="shared" si="25"/>
        <v>5</v>
      </c>
      <c r="C502" s="17">
        <f t="shared" si="26"/>
        <v>20</v>
      </c>
      <c r="D502" s="17"/>
      <c r="E502" s="17">
        <f t="shared" si="23"/>
        <v>65919</v>
      </c>
      <c r="F502" s="17">
        <f t="shared" ca="1" si="1"/>
        <v>2002</v>
      </c>
      <c r="G502" s="17">
        <f t="shared" ca="1" si="24"/>
        <v>10937</v>
      </c>
      <c r="H502" s="3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</v>
      </c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5" customHeight="1" x14ac:dyDescent="0.3">
      <c r="A503" s="17" t="s">
        <v>644</v>
      </c>
      <c r="B503" s="17">
        <f t="shared" si="25"/>
        <v>5</v>
      </c>
      <c r="C503" s="17">
        <f t="shared" si="26"/>
        <v>21</v>
      </c>
      <c r="D503" s="17"/>
      <c r="E503" s="17">
        <f t="shared" si="23"/>
        <v>65919</v>
      </c>
      <c r="F503" s="17">
        <f t="shared" ca="1" si="1"/>
        <v>2002</v>
      </c>
      <c r="G503" s="17">
        <f t="shared" ca="1" si="24"/>
        <v>10938</v>
      </c>
      <c r="H503" s="3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0</v>
      </c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5" customHeight="1" x14ac:dyDescent="0.3">
      <c r="A504" s="17" t="s">
        <v>644</v>
      </c>
      <c r="B504" s="17">
        <f t="shared" si="25"/>
        <v>5</v>
      </c>
      <c r="C504" s="17">
        <f t="shared" si="26"/>
        <v>22</v>
      </c>
      <c r="D504" s="17"/>
      <c r="E504" s="17">
        <f t="shared" si="23"/>
        <v>65919</v>
      </c>
      <c r="F504" s="17">
        <f t="shared" ca="1" si="1"/>
        <v>2002</v>
      </c>
      <c r="G504" s="17">
        <f t="shared" ca="1" si="24"/>
        <v>11007</v>
      </c>
      <c r="H504" s="29" t="str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Accrued Benefit Formula= 2% x YOS x AFC (Max= 75% AFC)</v>
      </c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5" customHeight="1" x14ac:dyDescent="0.3">
      <c r="A505" s="17" t="s">
        <v>644</v>
      </c>
      <c r="B505" s="17">
        <f t="shared" si="25"/>
        <v>5</v>
      </c>
      <c r="C505" s="17">
        <f t="shared" si="26"/>
        <v>23</v>
      </c>
      <c r="D505" s="17"/>
      <c r="E505" s="17">
        <f t="shared" si="23"/>
        <v>65919</v>
      </c>
      <c r="F505" s="17">
        <f t="shared" ca="1" si="1"/>
        <v>2002</v>
      </c>
      <c r="G505" s="17">
        <f t="shared" ca="1" si="24"/>
        <v>10941</v>
      </c>
      <c r="H505" s="29" t="str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COLA</v>
      </c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5" customHeight="1" x14ac:dyDescent="0.3">
      <c r="A506" s="17" t="s">
        <v>644</v>
      </c>
      <c r="B506" s="17">
        <f t="shared" si="25"/>
        <v>5</v>
      </c>
      <c r="C506" s="17">
        <f t="shared" si="26"/>
        <v>24</v>
      </c>
      <c r="D506" s="17"/>
      <c r="E506" s="17">
        <f t="shared" si="23"/>
        <v>65919</v>
      </c>
      <c r="F506" s="17">
        <f t="shared" ca="1" si="1"/>
        <v>2002</v>
      </c>
      <c r="G506" s="17">
        <f t="shared" ca="1" si="24"/>
        <v>10942</v>
      </c>
      <c r="H506" s="29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Percentage</v>
      </c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5" customHeight="1" x14ac:dyDescent="0.3">
      <c r="A507" s="17" t="s">
        <v>644</v>
      </c>
      <c r="B507" s="17">
        <f t="shared" si="25"/>
        <v>5</v>
      </c>
      <c r="C507" s="17">
        <f t="shared" si="26"/>
        <v>25</v>
      </c>
      <c r="D507" s="17"/>
      <c r="E507" s="17">
        <f t="shared" si="23"/>
        <v>65919</v>
      </c>
      <c r="F507" s="17">
        <f t="shared" ca="1" si="1"/>
        <v>2002</v>
      </c>
      <c r="G507" s="17">
        <f t="shared" ca="1" si="24"/>
        <v>10701</v>
      </c>
      <c r="H507" s="3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0.03</v>
      </c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5" customHeight="1" x14ac:dyDescent="0.3">
      <c r="A508" s="17" t="s">
        <v>644</v>
      </c>
      <c r="B508" s="17">
        <f t="shared" si="25"/>
        <v>5</v>
      </c>
      <c r="C508" s="17">
        <f t="shared" si="26"/>
        <v>26</v>
      </c>
      <c r="D508" s="17"/>
      <c r="E508" s="17">
        <f t="shared" si="23"/>
        <v>65919</v>
      </c>
      <c r="F508" s="17">
        <f t="shared" ca="1" si="1"/>
        <v>2002</v>
      </c>
      <c r="G508" s="17">
        <f t="shared" ca="1" si="24"/>
        <v>10702</v>
      </c>
      <c r="H508" s="3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5" customHeight="1" x14ac:dyDescent="0.3">
      <c r="A509" s="17" t="s">
        <v>644</v>
      </c>
      <c r="B509" s="17">
        <f t="shared" si="25"/>
        <v>5</v>
      </c>
      <c r="C509" s="17">
        <f t="shared" si="26"/>
        <v>27</v>
      </c>
      <c r="D509" s="17"/>
      <c r="E509" s="17">
        <f t="shared" si="23"/>
        <v>65919</v>
      </c>
      <c r="F509" s="17">
        <f t="shared" ca="1" si="1"/>
        <v>2002</v>
      </c>
      <c r="G509" s="17">
        <f t="shared" ca="1" si="24"/>
        <v>10943</v>
      </c>
      <c r="H509" s="2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5" customHeight="1" x14ac:dyDescent="0.3">
      <c r="A510" s="17" t="s">
        <v>644</v>
      </c>
      <c r="B510" s="17">
        <f t="shared" si="25"/>
        <v>5</v>
      </c>
      <c r="C510" s="17">
        <f t="shared" si="26"/>
        <v>28</v>
      </c>
      <c r="D510" s="17"/>
      <c r="E510" s="17">
        <f t="shared" si="23"/>
        <v>65919</v>
      </c>
      <c r="F510" s="17">
        <f t="shared" ca="1" si="1"/>
        <v>2002</v>
      </c>
      <c r="G510" s="17">
        <f t="shared" ca="1" si="24"/>
        <v>10944</v>
      </c>
      <c r="H510" s="31" t="str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No</v>
      </c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5" customHeight="1" x14ac:dyDescent="0.3">
      <c r="A511" s="17" t="s">
        <v>644</v>
      </c>
      <c r="B511" s="17">
        <f t="shared" si="25"/>
        <v>5</v>
      </c>
      <c r="C511" s="17">
        <f t="shared" si="26"/>
        <v>29</v>
      </c>
      <c r="D511" s="17"/>
      <c r="E511" s="17">
        <f t="shared" si="23"/>
        <v>65919</v>
      </c>
      <c r="F511" s="17">
        <f t="shared" ca="1" si="1"/>
        <v>2002</v>
      </c>
      <c r="G511" s="17">
        <f t="shared" ca="1" si="24"/>
        <v>10945</v>
      </c>
      <c r="H511" s="31" t="str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No</v>
      </c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5" customHeight="1" x14ac:dyDescent="0.3">
      <c r="A512" s="17" t="s">
        <v>644</v>
      </c>
      <c r="B512" s="17">
        <f t="shared" si="25"/>
        <v>5</v>
      </c>
      <c r="C512" s="17">
        <f t="shared" si="26"/>
        <v>30</v>
      </c>
      <c r="D512" s="17"/>
      <c r="E512" s="17">
        <f t="shared" si="23"/>
        <v>65919</v>
      </c>
      <c r="F512" s="17">
        <f t="shared" ca="1" si="1"/>
        <v>2002</v>
      </c>
      <c r="G512" s="17">
        <f t="shared" ca="1" si="24"/>
        <v>10947</v>
      </c>
      <c r="H512" s="2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5" customHeight="1" x14ac:dyDescent="0.3">
      <c r="A513" s="17" t="s">
        <v>644</v>
      </c>
      <c r="B513" s="17">
        <f t="shared" si="25"/>
        <v>5</v>
      </c>
      <c r="C513" s="17">
        <f t="shared" si="26"/>
        <v>31</v>
      </c>
      <c r="D513" s="17"/>
      <c r="E513" s="17">
        <f t="shared" si="23"/>
        <v>65919</v>
      </c>
      <c r="F513" s="17">
        <f t="shared" ca="1" si="1"/>
        <v>2002</v>
      </c>
      <c r="G513" s="17">
        <f t="shared" ca="1" si="24"/>
        <v>10948</v>
      </c>
      <c r="H513" s="31" t="str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No</v>
      </c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5" customHeight="1" x14ac:dyDescent="0.3">
      <c r="A514" s="17" t="s">
        <v>644</v>
      </c>
      <c r="B514" s="17">
        <f t="shared" si="25"/>
        <v>5</v>
      </c>
      <c r="C514" s="17">
        <f t="shared" si="26"/>
        <v>32</v>
      </c>
      <c r="D514" s="17"/>
      <c r="E514" s="17">
        <f t="shared" si="23"/>
        <v>65919</v>
      </c>
      <c r="F514" s="17">
        <f t="shared" ca="1" si="1"/>
        <v>2002</v>
      </c>
      <c r="G514" s="17">
        <f t="shared" ca="1" si="24"/>
        <v>10949</v>
      </c>
      <c r="H514" s="31" t="str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No</v>
      </c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5" customHeight="1" x14ac:dyDescent="0.3">
      <c r="A515" s="17" t="s">
        <v>644</v>
      </c>
      <c r="B515" s="17">
        <f t="shared" si="25"/>
        <v>5</v>
      </c>
      <c r="C515" s="17">
        <f t="shared" si="26"/>
        <v>33</v>
      </c>
      <c r="D515" s="17"/>
      <c r="E515" s="17">
        <f t="shared" si="23"/>
        <v>65919</v>
      </c>
      <c r="F515" s="17">
        <f t="shared" ca="1" si="1"/>
        <v>2002</v>
      </c>
      <c r="G515" s="17">
        <f t="shared" ca="1" si="24"/>
        <v>10951</v>
      </c>
      <c r="H515" s="31" t="str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No</v>
      </c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5" customHeight="1" x14ac:dyDescent="0.3">
      <c r="A516" s="17" t="s">
        <v>644</v>
      </c>
      <c r="B516" s="17">
        <f t="shared" si="25"/>
        <v>5</v>
      </c>
      <c r="C516" s="17">
        <f t="shared" si="26"/>
        <v>34</v>
      </c>
      <c r="D516" s="17"/>
      <c r="E516" s="17">
        <f t="shared" ref="E516:E579" si="27">plan_id</f>
        <v>65919</v>
      </c>
      <c r="F516" s="17">
        <f t="shared" ca="1" si="1"/>
        <v>2002</v>
      </c>
      <c r="G516" s="17">
        <f t="shared" ref="G516:G579" ca="1" si="28">VLOOKUP(INDIRECT(CHAR(39)&amp;$A516&amp;CHAR(39)&amp;"!r2c"&amp;$C516,0),variables,2,0)</f>
        <v>10950</v>
      </c>
      <c r="H516" s="31" t="str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No</v>
      </c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5" customHeight="1" x14ac:dyDescent="0.3">
      <c r="A517" s="17" t="s">
        <v>644</v>
      </c>
      <c r="B517" s="17">
        <f t="shared" si="25"/>
        <v>5</v>
      </c>
      <c r="C517" s="17">
        <f t="shared" si="26"/>
        <v>35</v>
      </c>
      <c r="D517" s="17"/>
      <c r="E517" s="17">
        <f t="shared" si="27"/>
        <v>65919</v>
      </c>
      <c r="F517" s="17">
        <f t="shared" ca="1" si="1"/>
        <v>2002</v>
      </c>
      <c r="G517" s="17">
        <f t="shared" ca="1" si="28"/>
        <v>10954</v>
      </c>
      <c r="H517" s="3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3.5000000000000003E-2</v>
      </c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5" customHeight="1" x14ac:dyDescent="0.3">
      <c r="A518" s="17" t="s">
        <v>644</v>
      </c>
      <c r="B518" s="17">
        <f t="shared" si="25"/>
        <v>5</v>
      </c>
      <c r="C518" s="17">
        <f t="shared" si="26"/>
        <v>36</v>
      </c>
      <c r="D518" s="17"/>
      <c r="E518" s="17">
        <f t="shared" si="27"/>
        <v>65919</v>
      </c>
      <c r="F518" s="17">
        <f t="shared" ca="1" si="1"/>
        <v>2002</v>
      </c>
      <c r="G518" s="17">
        <f t="shared" ca="1" si="28"/>
        <v>10955</v>
      </c>
      <c r="H518" s="3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0.08</v>
      </c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5" customHeight="1" x14ac:dyDescent="0.3">
      <c r="A519" s="17" t="s">
        <v>644</v>
      </c>
      <c r="B519" s="17">
        <f t="shared" si="25"/>
        <v>5</v>
      </c>
      <c r="C519" s="17">
        <f t="shared" si="26"/>
        <v>37</v>
      </c>
      <c r="D519" s="17"/>
      <c r="E519" s="17">
        <f t="shared" si="27"/>
        <v>65919</v>
      </c>
      <c r="F519" s="17">
        <f t="shared" ca="1" si="1"/>
        <v>2002</v>
      </c>
      <c r="G519" s="17">
        <f t="shared" ca="1" si="28"/>
        <v>10956</v>
      </c>
      <c r="H519" s="3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5.6249999999999996E-4</v>
      </c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5" customHeight="1" x14ac:dyDescent="0.3">
      <c r="A520" s="17" t="s">
        <v>644</v>
      </c>
      <c r="B520" s="17">
        <f t="shared" si="25"/>
        <v>5</v>
      </c>
      <c r="C520" s="17">
        <f t="shared" si="26"/>
        <v>38</v>
      </c>
      <c r="D520" s="17"/>
      <c r="E520" s="17">
        <f t="shared" si="27"/>
        <v>65919</v>
      </c>
      <c r="F520" s="17">
        <f t="shared" ca="1" si="1"/>
        <v>2002</v>
      </c>
      <c r="G520" s="17">
        <f t="shared" ca="1" si="28"/>
        <v>10959</v>
      </c>
      <c r="H520" s="3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4.4999999999999998E-2</v>
      </c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5" customHeight="1" x14ac:dyDescent="0.3">
      <c r="A521" s="17" t="s">
        <v>644</v>
      </c>
      <c r="B521" s="17">
        <f t="shared" si="25"/>
        <v>5</v>
      </c>
      <c r="C521" s="17">
        <f t="shared" si="26"/>
        <v>39</v>
      </c>
      <c r="D521" s="17"/>
      <c r="E521" s="17">
        <f t="shared" si="27"/>
        <v>65919</v>
      </c>
      <c r="F521" s="17">
        <f t="shared" ca="1" si="1"/>
        <v>2002</v>
      </c>
      <c r="G521" s="17">
        <f t="shared" ca="1" si="28"/>
        <v>10962</v>
      </c>
      <c r="H521" s="29" t="str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Pg.no.48, 49</v>
      </c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5" customHeight="1" x14ac:dyDescent="0.3">
      <c r="A522" s="17" t="s">
        <v>644</v>
      </c>
      <c r="B522" s="17">
        <f t="shared" si="25"/>
        <v>5</v>
      </c>
      <c r="C522" s="17">
        <f t="shared" si="26"/>
        <v>40</v>
      </c>
      <c r="D522" s="17"/>
      <c r="E522" s="17">
        <f t="shared" si="27"/>
        <v>65919</v>
      </c>
      <c r="F522" s="17">
        <f t="shared" ca="1" si="1"/>
        <v>2002</v>
      </c>
      <c r="G522" s="17">
        <f t="shared" ca="1" si="28"/>
        <v>10964</v>
      </c>
      <c r="H522" s="29" t="str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Pg.no.39</v>
      </c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5" customHeight="1" x14ac:dyDescent="0.3">
      <c r="A523" s="17" t="s">
        <v>644</v>
      </c>
      <c r="B523" s="17">
        <f t="shared" si="25"/>
        <v>5</v>
      </c>
      <c r="C523" s="17">
        <f t="shared" si="26"/>
        <v>41</v>
      </c>
      <c r="D523" s="17"/>
      <c r="E523" s="17">
        <f t="shared" si="27"/>
        <v>65919</v>
      </c>
      <c r="F523" s="17">
        <f t="shared" ca="1" si="1"/>
        <v>2002</v>
      </c>
      <c r="G523" s="17">
        <f t="shared" ca="1" si="28"/>
        <v>10967</v>
      </c>
      <c r="H523" s="29" t="str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RP-2000 Combined healthy table</v>
      </c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5" customHeight="1" x14ac:dyDescent="0.3">
      <c r="A524" s="17" t="s">
        <v>644</v>
      </c>
      <c r="B524" s="17">
        <f t="shared" si="25"/>
        <v>5</v>
      </c>
      <c r="C524" s="17">
        <f t="shared" si="26"/>
        <v>42</v>
      </c>
      <c r="D524" s="17"/>
      <c r="E524" s="17">
        <f t="shared" si="27"/>
        <v>65919</v>
      </c>
      <c r="F524" s="17">
        <f t="shared" ca="1" si="1"/>
        <v>2002</v>
      </c>
      <c r="G524" s="17">
        <f t="shared" ca="1" si="28"/>
        <v>10968</v>
      </c>
      <c r="H524" s="2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2000</v>
      </c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5" customHeight="1" x14ac:dyDescent="0.3">
      <c r="A525" s="17" t="s">
        <v>644</v>
      </c>
      <c r="B525" s="17">
        <f t="shared" si="25"/>
        <v>5</v>
      </c>
      <c r="C525" s="17">
        <f t="shared" si="26"/>
        <v>43</v>
      </c>
      <c r="D525" s="17"/>
      <c r="E525" s="17">
        <f t="shared" si="27"/>
        <v>65919</v>
      </c>
      <c r="F525" s="17">
        <f t="shared" ca="1" si="1"/>
        <v>2002</v>
      </c>
      <c r="G525" s="17">
        <f t="shared" ca="1" si="28"/>
        <v>10969</v>
      </c>
      <c r="H525" s="2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5" customHeight="1" x14ac:dyDescent="0.3">
      <c r="A526" s="17" t="s">
        <v>644</v>
      </c>
      <c r="B526" s="17">
        <f t="shared" si="25"/>
        <v>5</v>
      </c>
      <c r="C526" s="17">
        <f t="shared" si="26"/>
        <v>44</v>
      </c>
      <c r="D526" s="17"/>
      <c r="E526" s="17">
        <f t="shared" si="27"/>
        <v>65919</v>
      </c>
      <c r="F526" s="17">
        <f t="shared" ca="1" si="1"/>
        <v>2002</v>
      </c>
      <c r="G526" s="17">
        <f t="shared" ca="1" si="28"/>
        <v>10970</v>
      </c>
      <c r="H526" s="2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5" customHeight="1" x14ac:dyDescent="0.3">
      <c r="A527" s="17" t="s">
        <v>644</v>
      </c>
      <c r="B527" s="17">
        <f t="shared" si="25"/>
        <v>5</v>
      </c>
      <c r="C527" s="17">
        <f t="shared" si="26"/>
        <v>45</v>
      </c>
      <c r="D527" s="17"/>
      <c r="E527" s="17">
        <f t="shared" si="27"/>
        <v>65919</v>
      </c>
      <c r="F527" s="17">
        <f t="shared" ca="1" si="1"/>
        <v>2002</v>
      </c>
      <c r="G527" s="17">
        <f t="shared" ca="1" si="28"/>
        <v>10971</v>
      </c>
      <c r="H527" s="2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5" customHeight="1" x14ac:dyDescent="0.3">
      <c r="A528" s="17" t="s">
        <v>644</v>
      </c>
      <c r="B528" s="17">
        <f t="shared" si="25"/>
        <v>5</v>
      </c>
      <c r="C528" s="17">
        <f t="shared" si="26"/>
        <v>46</v>
      </c>
      <c r="D528" s="17"/>
      <c r="E528" s="17">
        <f t="shared" si="27"/>
        <v>65919</v>
      </c>
      <c r="F528" s="17">
        <f t="shared" ca="1" si="1"/>
        <v>2002</v>
      </c>
      <c r="G528" s="17">
        <f t="shared" ca="1" si="28"/>
        <v>10972</v>
      </c>
      <c r="H528" s="29" t="str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N/A</v>
      </c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5" customHeight="1" x14ac:dyDescent="0.3">
      <c r="A529" s="17" t="s">
        <v>644</v>
      </c>
      <c r="B529" s="17">
        <f t="shared" si="25"/>
        <v>5</v>
      </c>
      <c r="C529" s="17">
        <f t="shared" si="26"/>
        <v>47</v>
      </c>
      <c r="D529" s="17"/>
      <c r="E529" s="17">
        <f t="shared" si="27"/>
        <v>65919</v>
      </c>
      <c r="F529" s="17">
        <f t="shared" ca="1" si="1"/>
        <v>2002</v>
      </c>
      <c r="G529" s="17">
        <f t="shared" ca="1" si="28"/>
        <v>10973</v>
      </c>
      <c r="H529" s="29" t="str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N/A</v>
      </c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5" customHeight="1" x14ac:dyDescent="0.3">
      <c r="A530" s="17" t="s">
        <v>644</v>
      </c>
      <c r="B530" s="17">
        <f t="shared" si="25"/>
        <v>5</v>
      </c>
      <c r="C530" s="17">
        <f t="shared" si="26"/>
        <v>48</v>
      </c>
      <c r="D530" s="17"/>
      <c r="E530" s="17">
        <f t="shared" si="27"/>
        <v>65919</v>
      </c>
      <c r="F530" s="17">
        <f t="shared" ca="1" si="1"/>
        <v>2002</v>
      </c>
      <c r="G530" s="17">
        <f t="shared" ca="1" si="28"/>
        <v>10975</v>
      </c>
      <c r="H530" s="29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 xml:space="preserve">Aggregate   </v>
      </c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5" customHeight="1" x14ac:dyDescent="0.3">
      <c r="A531" s="17" t="s">
        <v>644</v>
      </c>
      <c r="B531" s="17">
        <f t="shared" si="25"/>
        <v>5</v>
      </c>
      <c r="C531" s="17">
        <f t="shared" si="26"/>
        <v>49</v>
      </c>
      <c r="D531" s="17"/>
      <c r="E531" s="17">
        <f t="shared" si="27"/>
        <v>65919</v>
      </c>
      <c r="F531" s="17">
        <f t="shared" ca="1" si="1"/>
        <v>2002</v>
      </c>
      <c r="G531" s="17">
        <f t="shared" ca="1" si="28"/>
        <v>10976</v>
      </c>
      <c r="H531" s="3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0.08</v>
      </c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5" customHeight="1" x14ac:dyDescent="0.3">
      <c r="A532" s="17" t="s">
        <v>644</v>
      </c>
      <c r="B532" s="17">
        <f t="shared" si="25"/>
        <v>5</v>
      </c>
      <c r="C532" s="17">
        <f t="shared" si="26"/>
        <v>50</v>
      </c>
      <c r="D532" s="17"/>
      <c r="E532" s="17">
        <f t="shared" si="27"/>
        <v>65919</v>
      </c>
      <c r="F532" s="17">
        <f t="shared" ca="1" si="1"/>
        <v>2002</v>
      </c>
      <c r="G532" s="17">
        <f t="shared" ca="1" si="28"/>
        <v>10977</v>
      </c>
      <c r="H532" s="31" t="str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No</v>
      </c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5" customHeight="1" x14ac:dyDescent="0.3">
      <c r="A533" s="17" t="s">
        <v>644</v>
      </c>
      <c r="B533" s="17">
        <f t="shared" si="25"/>
        <v>5</v>
      </c>
      <c r="C533" s="17">
        <f t="shared" si="26"/>
        <v>51</v>
      </c>
      <c r="D533" s="17"/>
      <c r="E533" s="17">
        <f t="shared" si="27"/>
        <v>65919</v>
      </c>
      <c r="F533" s="17">
        <f t="shared" ca="1" si="1"/>
        <v>2002</v>
      </c>
      <c r="G533" s="17">
        <f t="shared" ca="1" si="28"/>
        <v>10978</v>
      </c>
      <c r="H533" s="3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0.08</v>
      </c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5" customHeight="1" x14ac:dyDescent="0.3">
      <c r="A534" s="17" t="s">
        <v>644</v>
      </c>
      <c r="B534" s="17">
        <f t="shared" si="25"/>
        <v>5</v>
      </c>
      <c r="C534" s="17">
        <f t="shared" si="26"/>
        <v>52</v>
      </c>
      <c r="D534" s="17"/>
      <c r="E534" s="17">
        <f t="shared" si="27"/>
        <v>65919</v>
      </c>
      <c r="F534" s="17">
        <f t="shared" ca="1" si="1"/>
        <v>2002</v>
      </c>
      <c r="G534" s="17">
        <f t="shared" ca="1" si="28"/>
        <v>10979</v>
      </c>
      <c r="H534" s="29" t="str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4 Years</v>
      </c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5" customHeight="1" x14ac:dyDescent="0.3">
      <c r="A535" s="17" t="s">
        <v>644</v>
      </c>
      <c r="B535" s="17">
        <f t="shared" si="25"/>
        <v>5</v>
      </c>
      <c r="C535" s="17">
        <f t="shared" si="26"/>
        <v>53</v>
      </c>
      <c r="D535" s="17"/>
      <c r="E535" s="17">
        <f t="shared" si="27"/>
        <v>65919</v>
      </c>
      <c r="F535" s="17">
        <f t="shared" ca="1" si="1"/>
        <v>2002</v>
      </c>
      <c r="G535" s="17">
        <f t="shared" ca="1" si="28"/>
        <v>10980</v>
      </c>
      <c r="H535" s="3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-2E-3</v>
      </c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5" customHeight="1" x14ac:dyDescent="0.3">
      <c r="A536" s="17" t="s">
        <v>644</v>
      </c>
      <c r="B536" s="17">
        <f t="shared" si="25"/>
        <v>5</v>
      </c>
      <c r="C536" s="17">
        <f t="shared" si="26"/>
        <v>54</v>
      </c>
      <c r="D536" s="17"/>
      <c r="E536" s="17">
        <f t="shared" si="27"/>
        <v>65919</v>
      </c>
      <c r="F536" s="17">
        <f t="shared" ca="1" si="1"/>
        <v>2002</v>
      </c>
      <c r="G536" s="17">
        <f t="shared" ca="1" si="28"/>
        <v>10981</v>
      </c>
      <c r="H536" s="3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-5.9900000000000002E-2</v>
      </c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5" customHeight="1" x14ac:dyDescent="0.3">
      <c r="A537" s="17" t="s">
        <v>644</v>
      </c>
      <c r="B537" s="17">
        <f t="shared" si="25"/>
        <v>5</v>
      </c>
      <c r="C537" s="17">
        <f t="shared" si="26"/>
        <v>55</v>
      </c>
      <c r="D537" s="17"/>
      <c r="E537" s="17">
        <f t="shared" si="27"/>
        <v>65919</v>
      </c>
      <c r="F537" s="17">
        <f t="shared" ca="1" si="1"/>
        <v>2002</v>
      </c>
      <c r="G537" s="17">
        <f t="shared" ca="1" si="28"/>
        <v>10706</v>
      </c>
      <c r="H537" s="3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6.6812459228732192E-4</v>
      </c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5" customHeight="1" x14ac:dyDescent="0.3">
      <c r="A538" s="17" t="s">
        <v>644</v>
      </c>
      <c r="B538" s="17">
        <f t="shared" si="25"/>
        <v>5</v>
      </c>
      <c r="C538" s="17">
        <f t="shared" si="26"/>
        <v>56</v>
      </c>
      <c r="D538" s="17"/>
      <c r="E538" s="17">
        <f t="shared" si="27"/>
        <v>65919</v>
      </c>
      <c r="F538" s="17">
        <f t="shared" ca="1" si="1"/>
        <v>2002</v>
      </c>
      <c r="G538" s="17">
        <f t="shared" ca="1" si="28"/>
        <v>10983</v>
      </c>
      <c r="H538" s="30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No</v>
      </c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5" customHeight="1" x14ac:dyDescent="0.3">
      <c r="A539" s="17" t="s">
        <v>644</v>
      </c>
      <c r="B539" s="17">
        <f t="shared" si="25"/>
        <v>5</v>
      </c>
      <c r="C539" s="17">
        <f t="shared" si="26"/>
        <v>57</v>
      </c>
      <c r="D539" s="17"/>
      <c r="E539" s="17">
        <f t="shared" si="27"/>
        <v>65919</v>
      </c>
      <c r="F539" s="17">
        <f t="shared" ca="1" si="1"/>
        <v>2002</v>
      </c>
      <c r="G539" s="17">
        <f t="shared" ca="1" si="28"/>
        <v>10989</v>
      </c>
      <c r="H539" s="3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689000000</v>
      </c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5" customHeight="1" x14ac:dyDescent="0.3">
      <c r="A540" s="17" t="s">
        <v>644</v>
      </c>
      <c r="B540" s="17">
        <f t="shared" si="25"/>
        <v>5</v>
      </c>
      <c r="C540" s="17">
        <f t="shared" si="26"/>
        <v>58</v>
      </c>
      <c r="D540" s="17"/>
      <c r="E540" s="17">
        <f t="shared" si="27"/>
        <v>65919</v>
      </c>
      <c r="F540" s="17">
        <f t="shared" ca="1" si="1"/>
        <v>2002</v>
      </c>
      <c r="G540" s="17">
        <f t="shared" ca="1" si="28"/>
        <v>10990</v>
      </c>
      <c r="H540" s="30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508000000</v>
      </c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5" customHeight="1" x14ac:dyDescent="0.3">
      <c r="A541" s="17" t="s">
        <v>644</v>
      </c>
      <c r="B541" s="17">
        <f t="shared" si="25"/>
        <v>5</v>
      </c>
      <c r="C541" s="17">
        <f t="shared" si="26"/>
        <v>59</v>
      </c>
      <c r="D541" s="17"/>
      <c r="E541" s="17">
        <f t="shared" si="27"/>
        <v>65919</v>
      </c>
      <c r="F541" s="17">
        <f t="shared" ca="1" si="1"/>
        <v>2002</v>
      </c>
      <c r="G541" s="17">
        <f t="shared" ca="1" si="28"/>
        <v>10991</v>
      </c>
      <c r="H541" s="3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-180000000</v>
      </c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5" customHeight="1" x14ac:dyDescent="0.3">
      <c r="A542" s="17" t="s">
        <v>644</v>
      </c>
      <c r="B542" s="17">
        <f t="shared" si="25"/>
        <v>5</v>
      </c>
      <c r="C542" s="17">
        <f t="shared" si="26"/>
        <v>60</v>
      </c>
      <c r="D542" s="17"/>
      <c r="E542" s="17">
        <f t="shared" si="27"/>
        <v>65919</v>
      </c>
      <c r="F542" s="17">
        <f t="shared" ca="1" si="1"/>
        <v>2002</v>
      </c>
      <c r="G542" s="17">
        <f t="shared" ca="1" si="28"/>
        <v>10992</v>
      </c>
      <c r="H542" s="3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1.3549</v>
      </c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5" customHeight="1" x14ac:dyDescent="0.3">
      <c r="A543" s="17" t="s">
        <v>644</v>
      </c>
      <c r="B543" s="17">
        <f t="shared" si="25"/>
        <v>5</v>
      </c>
      <c r="C543" s="17">
        <f t="shared" si="26"/>
        <v>61</v>
      </c>
      <c r="D543" s="17"/>
      <c r="E543" s="17">
        <f t="shared" si="27"/>
        <v>65919</v>
      </c>
      <c r="F543" s="17">
        <f t="shared" ca="1" si="1"/>
        <v>2002</v>
      </c>
      <c r="G543" s="17">
        <f t="shared" ca="1" si="28"/>
        <v>10993</v>
      </c>
      <c r="H543" s="30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63000000</v>
      </c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5" customHeight="1" x14ac:dyDescent="0.3">
      <c r="A544" s="17" t="s">
        <v>644</v>
      </c>
      <c r="B544" s="17">
        <f t="shared" si="25"/>
        <v>5</v>
      </c>
      <c r="C544" s="17">
        <f t="shared" si="26"/>
        <v>62</v>
      </c>
      <c r="D544" s="17"/>
      <c r="E544" s="17">
        <f t="shared" si="27"/>
        <v>65919</v>
      </c>
      <c r="F544" s="17">
        <f t="shared" ca="1" si="1"/>
        <v>2002</v>
      </c>
      <c r="G544" s="17">
        <f t="shared" ca="1" si="28"/>
        <v>10801</v>
      </c>
      <c r="H544" s="2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68100000</v>
      </c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5" customHeight="1" x14ac:dyDescent="0.3">
      <c r="A545" s="17" t="s">
        <v>644</v>
      </c>
      <c r="B545" s="17">
        <f t="shared" si="25"/>
        <v>5</v>
      </c>
      <c r="C545" s="17">
        <f t="shared" si="26"/>
        <v>63</v>
      </c>
      <c r="D545" s="17"/>
      <c r="E545" s="17">
        <f t="shared" si="27"/>
        <v>65919</v>
      </c>
      <c r="F545" s="17">
        <f t="shared" ca="1" si="1"/>
        <v>2002</v>
      </c>
      <c r="G545" s="17">
        <f t="shared" ca="1" si="28"/>
        <v>10802</v>
      </c>
      <c r="H545" s="2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5" customHeight="1" x14ac:dyDescent="0.3">
      <c r="A546" s="17" t="s">
        <v>644</v>
      </c>
      <c r="B546" s="17">
        <f t="shared" si="25"/>
        <v>5</v>
      </c>
      <c r="C546" s="17">
        <f t="shared" si="26"/>
        <v>64</v>
      </c>
      <c r="D546" s="17"/>
      <c r="E546" s="17">
        <f t="shared" si="27"/>
        <v>65919</v>
      </c>
      <c r="F546" s="17">
        <f t="shared" ca="1" si="1"/>
        <v>2002</v>
      </c>
      <c r="G546" s="17">
        <f t="shared" ca="1" si="28"/>
        <v>10803</v>
      </c>
      <c r="H546" s="2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5" customHeight="1" x14ac:dyDescent="0.3">
      <c r="A547" s="17" t="s">
        <v>644</v>
      </c>
      <c r="B547" s="17">
        <f t="shared" si="25"/>
        <v>5</v>
      </c>
      <c r="C547" s="17">
        <f t="shared" si="26"/>
        <v>65</v>
      </c>
      <c r="D547" s="17"/>
      <c r="E547" s="17">
        <f t="shared" si="27"/>
        <v>65919</v>
      </c>
      <c r="F547" s="17">
        <f t="shared" ca="1" si="1"/>
        <v>2002</v>
      </c>
      <c r="G547" s="17">
        <f t="shared" ca="1" si="28"/>
        <v>10804</v>
      </c>
      <c r="H547" s="2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5" customHeight="1" x14ac:dyDescent="0.3">
      <c r="A548" s="17" t="s">
        <v>644</v>
      </c>
      <c r="B548" s="17">
        <f t="shared" si="25"/>
        <v>5</v>
      </c>
      <c r="C548" s="17">
        <f t="shared" si="26"/>
        <v>66</v>
      </c>
      <c r="D548" s="17"/>
      <c r="E548" s="17">
        <f t="shared" si="27"/>
        <v>65919</v>
      </c>
      <c r="F548" s="17">
        <f t="shared" ca="1" si="1"/>
        <v>2002</v>
      </c>
      <c r="G548" s="17">
        <f t="shared" ca="1" si="28"/>
        <v>10805</v>
      </c>
      <c r="H548" s="2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5" customHeight="1" x14ac:dyDescent="0.3">
      <c r="A549" s="17" t="s">
        <v>644</v>
      </c>
      <c r="B549" s="17">
        <f t="shared" si="25"/>
        <v>5</v>
      </c>
      <c r="C549" s="17">
        <f t="shared" si="26"/>
        <v>67</v>
      </c>
      <c r="D549" s="17"/>
      <c r="E549" s="17">
        <f t="shared" si="27"/>
        <v>65919</v>
      </c>
      <c r="F549" s="17">
        <f t="shared" ca="1" si="1"/>
        <v>2002</v>
      </c>
      <c r="G549" s="17">
        <f t="shared" ca="1" si="28"/>
        <v>10806</v>
      </c>
      <c r="H549" s="2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5" customHeight="1" x14ac:dyDescent="0.3">
      <c r="A550" s="17" t="s">
        <v>644</v>
      </c>
      <c r="B550" s="17">
        <f t="shared" ref="B550:B575" si="29">B549</f>
        <v>5</v>
      </c>
      <c r="C550" s="17">
        <f t="shared" si="26"/>
        <v>68</v>
      </c>
      <c r="D550" s="17"/>
      <c r="E550" s="17">
        <f t="shared" si="27"/>
        <v>65919</v>
      </c>
      <c r="F550" s="17">
        <f t="shared" ca="1" si="1"/>
        <v>2002</v>
      </c>
      <c r="G550" s="17">
        <f t="shared" ca="1" si="28"/>
        <v>10807</v>
      </c>
      <c r="H550" s="2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5" customHeight="1" x14ac:dyDescent="0.3">
      <c r="A551" s="17" t="s">
        <v>644</v>
      </c>
      <c r="B551" s="17">
        <f t="shared" si="29"/>
        <v>5</v>
      </c>
      <c r="C551" s="17">
        <f t="shared" si="26"/>
        <v>69</v>
      </c>
      <c r="D551" s="17"/>
      <c r="E551" s="17">
        <f t="shared" si="27"/>
        <v>65919</v>
      </c>
      <c r="F551" s="17">
        <f t="shared" ca="1" si="1"/>
        <v>2002</v>
      </c>
      <c r="G551" s="17">
        <f t="shared" ca="1" si="28"/>
        <v>10808</v>
      </c>
      <c r="H551" s="2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5" customHeight="1" x14ac:dyDescent="0.3">
      <c r="A552" s="17" t="s">
        <v>644</v>
      </c>
      <c r="B552" s="17">
        <f t="shared" si="29"/>
        <v>5</v>
      </c>
      <c r="C552" s="17">
        <f t="shared" si="26"/>
        <v>70</v>
      </c>
      <c r="D552" s="17"/>
      <c r="E552" s="17">
        <f t="shared" si="27"/>
        <v>65919</v>
      </c>
      <c r="F552" s="17">
        <f t="shared" ca="1" si="1"/>
        <v>2002</v>
      </c>
      <c r="G552" s="17">
        <f t="shared" ca="1" si="28"/>
        <v>10809</v>
      </c>
      <c r="H552" s="2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5" customHeight="1" x14ac:dyDescent="0.3">
      <c r="A553" s="17" t="s">
        <v>644</v>
      </c>
      <c r="B553" s="17">
        <f t="shared" si="29"/>
        <v>5</v>
      </c>
      <c r="C553" s="17">
        <f t="shared" si="26"/>
        <v>71</v>
      </c>
      <c r="D553" s="17"/>
      <c r="E553" s="17">
        <f t="shared" si="27"/>
        <v>65919</v>
      </c>
      <c r="F553" s="17">
        <f t="shared" ca="1" si="1"/>
        <v>2002</v>
      </c>
      <c r="G553" s="17">
        <f t="shared" ca="1" si="28"/>
        <v>10810</v>
      </c>
      <c r="H553" s="2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5" customHeight="1" x14ac:dyDescent="0.3">
      <c r="A554" s="17" t="s">
        <v>644</v>
      </c>
      <c r="B554" s="17">
        <f t="shared" si="29"/>
        <v>5</v>
      </c>
      <c r="C554" s="17">
        <f t="shared" si="26"/>
        <v>72</v>
      </c>
      <c r="D554" s="17"/>
      <c r="E554" s="17">
        <f t="shared" si="27"/>
        <v>65919</v>
      </c>
      <c r="F554" s="17">
        <f t="shared" ca="1" si="1"/>
        <v>2002</v>
      </c>
      <c r="G554" s="17">
        <f t="shared" ca="1" si="28"/>
        <v>10811</v>
      </c>
      <c r="H554" s="2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5" customHeight="1" x14ac:dyDescent="0.3">
      <c r="A555" s="17" t="s">
        <v>644</v>
      </c>
      <c r="B555" s="17">
        <f t="shared" si="29"/>
        <v>5</v>
      </c>
      <c r="C555" s="17">
        <f t="shared" si="26"/>
        <v>73</v>
      </c>
      <c r="D555" s="17"/>
      <c r="E555" s="17">
        <f t="shared" si="27"/>
        <v>65919</v>
      </c>
      <c r="F555" s="17">
        <f t="shared" ca="1" si="1"/>
        <v>2002</v>
      </c>
      <c r="G555" s="17">
        <f t="shared" ca="1" si="28"/>
        <v>10812</v>
      </c>
      <c r="H555" s="2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5" customHeight="1" x14ac:dyDescent="0.3">
      <c r="A556" s="17" t="s">
        <v>644</v>
      </c>
      <c r="B556" s="17">
        <f t="shared" si="29"/>
        <v>5</v>
      </c>
      <c r="C556" s="17">
        <f t="shared" si="26"/>
        <v>74</v>
      </c>
      <c r="D556" s="17"/>
      <c r="E556" s="17">
        <f t="shared" si="27"/>
        <v>65919</v>
      </c>
      <c r="F556" s="17">
        <f t="shared" ca="1" si="1"/>
        <v>2002</v>
      </c>
      <c r="G556" s="17">
        <f t="shared" ca="1" si="28"/>
        <v>10813</v>
      </c>
      <c r="H556" s="2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5" customHeight="1" x14ac:dyDescent="0.3">
      <c r="A557" s="17" t="s">
        <v>644</v>
      </c>
      <c r="B557" s="17">
        <f t="shared" si="29"/>
        <v>5</v>
      </c>
      <c r="C557" s="17">
        <f t="shared" si="26"/>
        <v>75</v>
      </c>
      <c r="D557" s="17"/>
      <c r="E557" s="17">
        <f t="shared" si="27"/>
        <v>65919</v>
      </c>
      <c r="F557" s="17">
        <f t="shared" ca="1" si="1"/>
        <v>2002</v>
      </c>
      <c r="G557" s="17">
        <f t="shared" ca="1" si="28"/>
        <v>10814</v>
      </c>
      <c r="H557" s="2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5" customHeight="1" x14ac:dyDescent="0.3">
      <c r="A558" s="17" t="s">
        <v>644</v>
      </c>
      <c r="B558" s="17">
        <f t="shared" si="29"/>
        <v>5</v>
      </c>
      <c r="C558" s="17">
        <f t="shared" si="26"/>
        <v>76</v>
      </c>
      <c r="D558" s="17"/>
      <c r="E558" s="17">
        <f t="shared" si="27"/>
        <v>65919</v>
      </c>
      <c r="F558" s="17">
        <f t="shared" ca="1" si="1"/>
        <v>2002</v>
      </c>
      <c r="G558" s="17">
        <f t="shared" ca="1" si="28"/>
        <v>10815</v>
      </c>
      <c r="H558" s="2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-300000</v>
      </c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5" customHeight="1" x14ac:dyDescent="0.3">
      <c r="A559" s="17" t="s">
        <v>644</v>
      </c>
      <c r="B559" s="17">
        <f t="shared" si="29"/>
        <v>5</v>
      </c>
      <c r="C559" s="17">
        <f t="shared" si="26"/>
        <v>77</v>
      </c>
      <c r="D559" s="17"/>
      <c r="E559" s="17">
        <f t="shared" si="27"/>
        <v>65919</v>
      </c>
      <c r="F559" s="17">
        <f t="shared" ca="1" si="1"/>
        <v>2002</v>
      </c>
      <c r="G559" s="17">
        <f t="shared" ca="1" si="28"/>
        <v>10816</v>
      </c>
      <c r="H559" s="2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-6900000</v>
      </c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5" customHeight="1" x14ac:dyDescent="0.3">
      <c r="A560" s="17" t="s">
        <v>644</v>
      </c>
      <c r="B560" s="17">
        <f t="shared" si="29"/>
        <v>5</v>
      </c>
      <c r="C560" s="17">
        <f t="shared" si="26"/>
        <v>78</v>
      </c>
      <c r="D560" s="17"/>
      <c r="E560" s="17">
        <f t="shared" si="27"/>
        <v>65919</v>
      </c>
      <c r="F560" s="17">
        <f t="shared" ca="1" si="1"/>
        <v>2002</v>
      </c>
      <c r="G560" s="17">
        <f t="shared" ca="1" si="28"/>
        <v>10817</v>
      </c>
      <c r="H560" s="2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5" customHeight="1" x14ac:dyDescent="0.3">
      <c r="A561" s="17" t="s">
        <v>644</v>
      </c>
      <c r="B561" s="17">
        <f t="shared" si="29"/>
        <v>5</v>
      </c>
      <c r="C561" s="17">
        <f t="shared" si="26"/>
        <v>79</v>
      </c>
      <c r="D561" s="17"/>
      <c r="E561" s="17">
        <f t="shared" si="27"/>
        <v>65919</v>
      </c>
      <c r="F561" s="17">
        <f t="shared" ca="1" si="1"/>
        <v>2002</v>
      </c>
      <c r="G561" s="17">
        <f t="shared" ca="1" si="28"/>
        <v>10818</v>
      </c>
      <c r="H561" s="2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5" customHeight="1" x14ac:dyDescent="0.3">
      <c r="A562" s="17" t="s">
        <v>644</v>
      </c>
      <c r="B562" s="17">
        <f t="shared" si="29"/>
        <v>5</v>
      </c>
      <c r="C562" s="17">
        <f t="shared" si="26"/>
        <v>80</v>
      </c>
      <c r="D562" s="17"/>
      <c r="E562" s="17">
        <f t="shared" si="27"/>
        <v>65919</v>
      </c>
      <c r="F562" s="17">
        <f t="shared" ca="1" si="1"/>
        <v>2002</v>
      </c>
      <c r="G562" s="17">
        <f t="shared" ca="1" si="28"/>
        <v>10819</v>
      </c>
      <c r="H562" s="2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200000</v>
      </c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5" customHeight="1" x14ac:dyDescent="0.3">
      <c r="A563" s="17" t="s">
        <v>644</v>
      </c>
      <c r="B563" s="17">
        <f t="shared" si="29"/>
        <v>5</v>
      </c>
      <c r="C563" s="17">
        <f t="shared" si="26"/>
        <v>81</v>
      </c>
      <c r="D563" s="17"/>
      <c r="E563" s="17">
        <f t="shared" si="27"/>
        <v>65919</v>
      </c>
      <c r="F563" s="17">
        <f t="shared" ca="1" si="1"/>
        <v>2002</v>
      </c>
      <c r="G563" s="17">
        <f t="shared" ca="1" si="28"/>
        <v>10820</v>
      </c>
      <c r="H563" s="2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5" customHeight="1" x14ac:dyDescent="0.3">
      <c r="A564" s="17" t="s">
        <v>644</v>
      </c>
      <c r="B564" s="17">
        <f t="shared" si="29"/>
        <v>5</v>
      </c>
      <c r="C564" s="17">
        <f t="shared" si="26"/>
        <v>82</v>
      </c>
      <c r="D564" s="17"/>
      <c r="E564" s="17">
        <f t="shared" si="27"/>
        <v>65919</v>
      </c>
      <c r="F564" s="17">
        <f t="shared" ca="1" si="1"/>
        <v>2002</v>
      </c>
      <c r="G564" s="17">
        <f t="shared" ca="1" si="28"/>
        <v>10821</v>
      </c>
      <c r="H564" s="2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5" customHeight="1" x14ac:dyDescent="0.3">
      <c r="A565" s="17" t="s">
        <v>644</v>
      </c>
      <c r="B565" s="17">
        <f t="shared" si="29"/>
        <v>5</v>
      </c>
      <c r="C565" s="17">
        <f t="shared" si="26"/>
        <v>83</v>
      </c>
      <c r="D565" s="17"/>
      <c r="E565" s="17">
        <f t="shared" si="27"/>
        <v>65919</v>
      </c>
      <c r="F565" s="17">
        <f t="shared" ca="1" si="1"/>
        <v>2002</v>
      </c>
      <c r="G565" s="17">
        <f t="shared" ca="1" si="28"/>
        <v>10822</v>
      </c>
      <c r="H565" s="2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5" customHeight="1" x14ac:dyDescent="0.3">
      <c r="A566" s="17" t="s">
        <v>644</v>
      </c>
      <c r="B566" s="17">
        <f t="shared" si="29"/>
        <v>5</v>
      </c>
      <c r="C566" s="17">
        <f t="shared" si="26"/>
        <v>84</v>
      </c>
      <c r="D566" s="17"/>
      <c r="E566" s="17">
        <f t="shared" si="27"/>
        <v>65919</v>
      </c>
      <c r="F566" s="17">
        <f t="shared" ca="1" si="1"/>
        <v>2002</v>
      </c>
      <c r="G566" s="17">
        <f t="shared" ca="1" si="28"/>
        <v>10829</v>
      </c>
      <c r="H566" s="2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5" customHeight="1" x14ac:dyDescent="0.3">
      <c r="A567" s="17" t="s">
        <v>644</v>
      </c>
      <c r="B567" s="17">
        <f t="shared" si="29"/>
        <v>5</v>
      </c>
      <c r="C567" s="17">
        <f t="shared" si="26"/>
        <v>85</v>
      </c>
      <c r="D567" s="17"/>
      <c r="E567" s="17">
        <f t="shared" si="27"/>
        <v>65919</v>
      </c>
      <c r="F567" s="17">
        <f t="shared" ca="1" si="1"/>
        <v>2002</v>
      </c>
      <c r="G567" s="17">
        <f t="shared" ca="1" si="28"/>
        <v>10823</v>
      </c>
      <c r="H567" s="30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61100000</v>
      </c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5" customHeight="1" x14ac:dyDescent="0.3">
      <c r="A568" s="17" t="s">
        <v>644</v>
      </c>
      <c r="B568" s="17">
        <f t="shared" si="29"/>
        <v>5</v>
      </c>
      <c r="C568" s="17">
        <f t="shared" si="26"/>
        <v>86</v>
      </c>
      <c r="D568" s="17"/>
      <c r="E568" s="17">
        <f t="shared" si="27"/>
        <v>65919</v>
      </c>
      <c r="F568" s="17">
        <f t="shared" ca="1" si="1"/>
        <v>2002</v>
      </c>
      <c r="G568" s="17">
        <f t="shared" ca="1" si="28"/>
        <v>10798</v>
      </c>
      <c r="H568" s="30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5" customHeight="1" x14ac:dyDescent="0.3">
      <c r="A569" s="17" t="s">
        <v>644</v>
      </c>
      <c r="B569" s="17">
        <f t="shared" si="29"/>
        <v>5</v>
      </c>
      <c r="C569" s="17">
        <f t="shared" si="26"/>
        <v>87</v>
      </c>
      <c r="D569" s="17"/>
      <c r="E569" s="17">
        <f t="shared" si="27"/>
        <v>65919</v>
      </c>
      <c r="F569" s="17">
        <f t="shared" ca="1" si="1"/>
        <v>2002</v>
      </c>
      <c r="G569" s="17">
        <f t="shared" ca="1" si="28"/>
        <v>10799</v>
      </c>
      <c r="H569" s="30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5" customHeight="1" x14ac:dyDescent="0.3">
      <c r="A570" s="17" t="s">
        <v>644</v>
      </c>
      <c r="B570" s="17">
        <f t="shared" si="29"/>
        <v>5</v>
      </c>
      <c r="C570" s="17">
        <f t="shared" si="26"/>
        <v>88</v>
      </c>
      <c r="D570" s="17"/>
      <c r="E570" s="17">
        <f t="shared" si="27"/>
        <v>65919</v>
      </c>
      <c r="F570" s="17">
        <f t="shared" ca="1" si="1"/>
        <v>2002</v>
      </c>
      <c r="G570" s="17">
        <f t="shared" ca="1" si="28"/>
        <v>10800</v>
      </c>
      <c r="H570" s="3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5" customHeight="1" x14ac:dyDescent="0.3">
      <c r="A571" s="17" t="s">
        <v>644</v>
      </c>
      <c r="B571" s="17">
        <f t="shared" si="29"/>
        <v>5</v>
      </c>
      <c r="C571" s="17">
        <f t="shared" si="26"/>
        <v>89</v>
      </c>
      <c r="D571" s="17"/>
      <c r="E571" s="17">
        <f t="shared" si="27"/>
        <v>65919</v>
      </c>
      <c r="F571" s="17">
        <f t="shared" ca="1" si="1"/>
        <v>2002</v>
      </c>
      <c r="G571" s="17">
        <f t="shared" ca="1" si="28"/>
        <v>10824</v>
      </c>
      <c r="H571" s="30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5" customHeight="1" x14ac:dyDescent="0.3">
      <c r="A572" s="17" t="s">
        <v>644</v>
      </c>
      <c r="B572" s="17">
        <f t="shared" si="29"/>
        <v>5</v>
      </c>
      <c r="C572" s="17">
        <f t="shared" si="26"/>
        <v>90</v>
      </c>
      <c r="D572" s="17"/>
      <c r="E572" s="17">
        <f t="shared" si="27"/>
        <v>65919</v>
      </c>
      <c r="F572" s="17">
        <f t="shared" ca="1" si="1"/>
        <v>2002</v>
      </c>
      <c r="G572" s="17">
        <f t="shared" ca="1" si="28"/>
        <v>10825</v>
      </c>
      <c r="H572" s="2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5" customHeight="1" x14ac:dyDescent="0.3">
      <c r="A573" s="17" t="s">
        <v>644</v>
      </c>
      <c r="B573" s="17">
        <f t="shared" si="29"/>
        <v>5</v>
      </c>
      <c r="C573" s="17">
        <f t="shared" si="26"/>
        <v>91</v>
      </c>
      <c r="D573" s="17"/>
      <c r="E573" s="17">
        <f t="shared" si="27"/>
        <v>65919</v>
      </c>
      <c r="F573" s="17">
        <f t="shared" ca="1" si="1"/>
        <v>2002</v>
      </c>
      <c r="G573" s="17">
        <f t="shared" ca="1" si="28"/>
        <v>10826</v>
      </c>
      <c r="H573" s="2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5" customHeight="1" x14ac:dyDescent="0.3">
      <c r="A574" s="17" t="s">
        <v>644</v>
      </c>
      <c r="B574" s="17">
        <f t="shared" si="29"/>
        <v>5</v>
      </c>
      <c r="C574" s="17">
        <f t="shared" si="26"/>
        <v>92</v>
      </c>
      <c r="D574" s="17"/>
      <c r="E574" s="17">
        <f t="shared" si="27"/>
        <v>65919</v>
      </c>
      <c r="F574" s="17">
        <f t="shared" ca="1" si="1"/>
        <v>2002</v>
      </c>
      <c r="G574" s="17">
        <f t="shared" ca="1" si="28"/>
        <v>10828</v>
      </c>
      <c r="H574" s="2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5" customHeight="1" x14ac:dyDescent="0.3">
      <c r="A575" s="17" t="s">
        <v>644</v>
      </c>
      <c r="B575" s="17">
        <f t="shared" si="29"/>
        <v>5</v>
      </c>
      <c r="C575" s="17">
        <f t="shared" si="26"/>
        <v>93</v>
      </c>
      <c r="D575" s="17"/>
      <c r="E575" s="17">
        <f t="shared" si="27"/>
        <v>65919</v>
      </c>
      <c r="F575" s="17">
        <f t="shared" ca="1" si="1"/>
        <v>2002</v>
      </c>
      <c r="G575" s="17">
        <f t="shared" ca="1" si="28"/>
        <v>10827</v>
      </c>
      <c r="H575" s="2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5" customHeight="1" x14ac:dyDescent="0.3">
      <c r="A576" s="17" t="s">
        <v>644</v>
      </c>
      <c r="B576" s="17">
        <f t="shared" ref="B576:B640" si="30">B511+1</f>
        <v>6</v>
      </c>
      <c r="C576" s="17">
        <f t="shared" si="26"/>
        <v>3</v>
      </c>
      <c r="D576" s="17"/>
      <c r="E576" s="17">
        <f t="shared" si="27"/>
        <v>65919</v>
      </c>
      <c r="F576" s="17">
        <f t="shared" ca="1" si="1"/>
        <v>2003</v>
      </c>
      <c r="G576" s="17">
        <f t="shared" ca="1" si="28"/>
        <v>10703</v>
      </c>
      <c r="H576" s="2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2003</v>
      </c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5" customHeight="1" x14ac:dyDescent="0.3">
      <c r="A577" s="17" t="s">
        <v>644</v>
      </c>
      <c r="B577" s="17">
        <f t="shared" si="30"/>
        <v>6</v>
      </c>
      <c r="C577" s="17">
        <f t="shared" si="26"/>
        <v>4</v>
      </c>
      <c r="D577" s="17"/>
      <c r="E577" s="17">
        <f t="shared" si="27"/>
        <v>65919</v>
      </c>
      <c r="F577" s="17">
        <f t="shared" ca="1" si="1"/>
        <v>2003</v>
      </c>
      <c r="G577" s="17">
        <f t="shared" ca="1" si="28"/>
        <v>10845</v>
      </c>
      <c r="H577" s="29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The Office Of The State Actuary</v>
      </c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5" customHeight="1" x14ac:dyDescent="0.3">
      <c r="A578" s="17" t="s">
        <v>644</v>
      </c>
      <c r="B578" s="17">
        <f t="shared" si="30"/>
        <v>6</v>
      </c>
      <c r="C578" s="17">
        <f t="shared" si="26"/>
        <v>5</v>
      </c>
      <c r="D578" s="17"/>
      <c r="E578" s="17">
        <f t="shared" si="27"/>
        <v>65919</v>
      </c>
      <c r="F578" s="17">
        <f t="shared" ca="1" si="1"/>
        <v>2003</v>
      </c>
      <c r="G578" s="17">
        <f t="shared" ca="1" si="28"/>
        <v>10924</v>
      </c>
      <c r="H578" s="3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9.0200000000000002E-2</v>
      </c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5" customHeight="1" x14ac:dyDescent="0.3">
      <c r="A579" s="17" t="s">
        <v>644</v>
      </c>
      <c r="B579" s="17">
        <f t="shared" si="30"/>
        <v>6</v>
      </c>
      <c r="C579" s="17">
        <f t="shared" si="26"/>
        <v>6</v>
      </c>
      <c r="D579" s="17"/>
      <c r="E579" s="17">
        <f t="shared" si="27"/>
        <v>65919</v>
      </c>
      <c r="F579" s="17">
        <f t="shared" ca="1" si="1"/>
        <v>2003</v>
      </c>
      <c r="G579" s="17">
        <f t="shared" ca="1" si="28"/>
        <v>10925</v>
      </c>
      <c r="H579" s="3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4.5100000000000001E-2</v>
      </c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5" customHeight="1" x14ac:dyDescent="0.3">
      <c r="A580" s="17" t="s">
        <v>644</v>
      </c>
      <c r="B580" s="17">
        <f t="shared" si="30"/>
        <v>6</v>
      </c>
      <c r="C580" s="17">
        <f t="shared" si="26"/>
        <v>7</v>
      </c>
      <c r="D580" s="17"/>
      <c r="E580" s="17">
        <f t="shared" ref="E580:E643" si="31">plan_id</f>
        <v>65919</v>
      </c>
      <c r="F580" s="17">
        <f t="shared" ca="1" si="1"/>
        <v>2003</v>
      </c>
      <c r="G580" s="17">
        <f t="shared" ref="G580:G643" ca="1" si="32">VLOOKUP(INDIRECT(CHAR(39)&amp;$A580&amp;CHAR(39)&amp;"!r2c"&amp;$C580,0),variables,2,0)</f>
        <v>10926</v>
      </c>
      <c r="H580" s="3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4.5100000000000001E-2</v>
      </c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5" customHeight="1" x14ac:dyDescent="0.3">
      <c r="A581" s="17" t="s">
        <v>644</v>
      </c>
      <c r="B581" s="17">
        <f t="shared" si="30"/>
        <v>6</v>
      </c>
      <c r="C581" s="17">
        <f t="shared" si="26"/>
        <v>8</v>
      </c>
      <c r="D581" s="17"/>
      <c r="E581" s="17">
        <f t="shared" si="31"/>
        <v>65919</v>
      </c>
      <c r="F581" s="17">
        <f t="shared" ca="1" si="1"/>
        <v>2003</v>
      </c>
      <c r="G581" s="17">
        <f t="shared" ca="1" si="32"/>
        <v>10704</v>
      </c>
      <c r="H581" s="3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5" customHeight="1" x14ac:dyDescent="0.3">
      <c r="A582" s="17" t="s">
        <v>644</v>
      </c>
      <c r="B582" s="17">
        <f t="shared" si="30"/>
        <v>6</v>
      </c>
      <c r="C582" s="17">
        <f t="shared" si="26"/>
        <v>9</v>
      </c>
      <c r="D582" s="17"/>
      <c r="E582" s="17">
        <f t="shared" si="31"/>
        <v>65919</v>
      </c>
      <c r="F582" s="17">
        <f t="shared" ca="1" si="1"/>
        <v>2003</v>
      </c>
      <c r="G582" s="17">
        <f t="shared" ca="1" si="32"/>
        <v>10928</v>
      </c>
      <c r="H582" s="3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5" customHeight="1" x14ac:dyDescent="0.3">
      <c r="A583" s="17" t="s">
        <v>644</v>
      </c>
      <c r="B583" s="17">
        <f t="shared" si="30"/>
        <v>6</v>
      </c>
      <c r="C583" s="17">
        <f t="shared" si="26"/>
        <v>10</v>
      </c>
      <c r="D583" s="17"/>
      <c r="E583" s="17">
        <f t="shared" si="31"/>
        <v>65919</v>
      </c>
      <c r="F583" s="17">
        <f t="shared" ca="1" si="1"/>
        <v>2003</v>
      </c>
      <c r="G583" s="17">
        <f t="shared" ca="1" si="32"/>
        <v>10929</v>
      </c>
      <c r="H583" s="3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5" customHeight="1" x14ac:dyDescent="0.3">
      <c r="A584" s="17" t="s">
        <v>644</v>
      </c>
      <c r="B584" s="17">
        <f t="shared" si="30"/>
        <v>6</v>
      </c>
      <c r="C584" s="17">
        <f t="shared" si="26"/>
        <v>11</v>
      </c>
      <c r="D584" s="17"/>
      <c r="E584" s="17">
        <f t="shared" si="31"/>
        <v>65919</v>
      </c>
      <c r="F584" s="17">
        <f t="shared" ca="1" si="1"/>
        <v>2003</v>
      </c>
      <c r="G584" s="17">
        <f t="shared" ca="1" si="32"/>
        <v>10930</v>
      </c>
      <c r="H584" s="3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5" customHeight="1" x14ac:dyDescent="0.3">
      <c r="A585" s="17" t="s">
        <v>644</v>
      </c>
      <c r="B585" s="17">
        <f t="shared" si="30"/>
        <v>6</v>
      </c>
      <c r="C585" s="17">
        <f t="shared" si="26"/>
        <v>12</v>
      </c>
      <c r="D585" s="17"/>
      <c r="E585" s="17">
        <f t="shared" si="31"/>
        <v>65919</v>
      </c>
      <c r="F585" s="17">
        <f t="shared" ca="1" si="1"/>
        <v>2003</v>
      </c>
      <c r="G585" s="17">
        <f t="shared" ca="1" si="32"/>
        <v>10705</v>
      </c>
      <c r="H585" s="3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1313432</v>
      </c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5" customHeight="1" x14ac:dyDescent="0.3">
      <c r="A586" s="17" t="s">
        <v>644</v>
      </c>
      <c r="B586" s="17">
        <f t="shared" si="30"/>
        <v>6</v>
      </c>
      <c r="C586" s="17">
        <f t="shared" si="26"/>
        <v>13</v>
      </c>
      <c r="D586" s="17"/>
      <c r="E586" s="17">
        <f t="shared" si="31"/>
        <v>65919</v>
      </c>
      <c r="F586" s="17">
        <f t="shared" ca="1" si="1"/>
        <v>2003</v>
      </c>
      <c r="G586" s="17">
        <f t="shared" ca="1" si="32"/>
        <v>10842</v>
      </c>
      <c r="H586" s="3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5" customHeight="1" x14ac:dyDescent="0.3">
      <c r="A587" s="17" t="s">
        <v>644</v>
      </c>
      <c r="B587" s="17">
        <f t="shared" si="30"/>
        <v>6</v>
      </c>
      <c r="C587" s="17">
        <f t="shared" si="26"/>
        <v>14</v>
      </c>
      <c r="D587" s="17"/>
      <c r="E587" s="17">
        <f t="shared" si="31"/>
        <v>65919</v>
      </c>
      <c r="F587" s="17">
        <f t="shared" ca="1" si="1"/>
        <v>2003</v>
      </c>
      <c r="G587" s="17">
        <f t="shared" ca="1" si="32"/>
        <v>10843</v>
      </c>
      <c r="H587" s="3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5" customHeight="1" x14ac:dyDescent="0.3">
      <c r="A588" s="17" t="s">
        <v>644</v>
      </c>
      <c r="B588" s="17">
        <f t="shared" si="30"/>
        <v>6</v>
      </c>
      <c r="C588" s="17">
        <f t="shared" si="26"/>
        <v>15</v>
      </c>
      <c r="D588" s="17"/>
      <c r="E588" s="17">
        <f t="shared" si="31"/>
        <v>65919</v>
      </c>
      <c r="F588" s="17">
        <f t="shared" ca="1" si="1"/>
        <v>2003</v>
      </c>
      <c r="G588" s="17">
        <f t="shared" ca="1" si="32"/>
        <v>10931</v>
      </c>
      <c r="H588" s="3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5" customHeight="1" x14ac:dyDescent="0.3">
      <c r="A589" s="17" t="s">
        <v>644</v>
      </c>
      <c r="B589" s="17">
        <f t="shared" si="30"/>
        <v>6</v>
      </c>
      <c r="C589" s="17">
        <f t="shared" si="26"/>
        <v>16</v>
      </c>
      <c r="D589" s="17"/>
      <c r="E589" s="17">
        <f t="shared" si="31"/>
        <v>65919</v>
      </c>
      <c r="F589" s="17">
        <f t="shared" ca="1" si="1"/>
        <v>2003</v>
      </c>
      <c r="G589" s="17">
        <f t="shared" ca="1" si="32"/>
        <v>10932</v>
      </c>
      <c r="H589" s="3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5" customHeight="1" x14ac:dyDescent="0.3">
      <c r="A590" s="17" t="s">
        <v>644</v>
      </c>
      <c r="B590" s="17">
        <f t="shared" si="30"/>
        <v>6</v>
      </c>
      <c r="C590" s="17">
        <f t="shared" si="26"/>
        <v>17</v>
      </c>
      <c r="D590" s="17"/>
      <c r="E590" s="17">
        <f t="shared" si="31"/>
        <v>65919</v>
      </c>
      <c r="F590" s="17">
        <f t="shared" ca="1" si="1"/>
        <v>2003</v>
      </c>
      <c r="G590" s="17">
        <f t="shared" ca="1" si="32"/>
        <v>10933</v>
      </c>
      <c r="H590" s="3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4.5100000000000001E-2</v>
      </c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5" customHeight="1" x14ac:dyDescent="0.3">
      <c r="A591" s="17" t="s">
        <v>644</v>
      </c>
      <c r="B591" s="17">
        <f t="shared" si="30"/>
        <v>6</v>
      </c>
      <c r="C591" s="17">
        <f t="shared" si="26"/>
        <v>18</v>
      </c>
      <c r="D591" s="17"/>
      <c r="E591" s="17">
        <f t="shared" si="31"/>
        <v>65919</v>
      </c>
      <c r="F591" s="17">
        <f t="shared" ca="1" si="1"/>
        <v>2003</v>
      </c>
      <c r="G591" s="17">
        <f t="shared" ca="1" si="32"/>
        <v>10934</v>
      </c>
      <c r="H591" s="3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4.5100000000000001E-2</v>
      </c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5" customHeight="1" x14ac:dyDescent="0.3">
      <c r="A592" s="17" t="s">
        <v>644</v>
      </c>
      <c r="B592" s="17">
        <f t="shared" si="30"/>
        <v>6</v>
      </c>
      <c r="C592" s="17">
        <f t="shared" si="26"/>
        <v>19</v>
      </c>
      <c r="D592" s="17"/>
      <c r="E592" s="17">
        <f t="shared" si="31"/>
        <v>65919</v>
      </c>
      <c r="F592" s="17">
        <f t="shared" ca="1" si="1"/>
        <v>2003</v>
      </c>
      <c r="G592" s="17">
        <f t="shared" ca="1" si="32"/>
        <v>10935</v>
      </c>
      <c r="H592" s="29" t="str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Single Rate</v>
      </c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5" customHeight="1" x14ac:dyDescent="0.3">
      <c r="A593" s="17" t="s">
        <v>644</v>
      </c>
      <c r="B593" s="17">
        <f t="shared" si="30"/>
        <v>6</v>
      </c>
      <c r="C593" s="17">
        <f t="shared" si="26"/>
        <v>20</v>
      </c>
      <c r="D593" s="17"/>
      <c r="E593" s="17">
        <f t="shared" si="31"/>
        <v>65919</v>
      </c>
      <c r="F593" s="17">
        <f t="shared" ca="1" si="1"/>
        <v>2003</v>
      </c>
      <c r="G593" s="17">
        <f t="shared" ca="1" si="32"/>
        <v>10937</v>
      </c>
      <c r="H593" s="3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5" customHeight="1" x14ac:dyDescent="0.3">
      <c r="A594" s="17" t="s">
        <v>644</v>
      </c>
      <c r="B594" s="17">
        <f t="shared" si="30"/>
        <v>6</v>
      </c>
      <c r="C594" s="17">
        <f t="shared" si="26"/>
        <v>21</v>
      </c>
      <c r="D594" s="17"/>
      <c r="E594" s="17">
        <f t="shared" si="31"/>
        <v>65919</v>
      </c>
      <c r="F594" s="17">
        <f t="shared" ca="1" si="1"/>
        <v>2003</v>
      </c>
      <c r="G594" s="17">
        <f t="shared" ca="1" si="32"/>
        <v>10938</v>
      </c>
      <c r="H594" s="3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5" customHeight="1" x14ac:dyDescent="0.3">
      <c r="A595" s="17" t="s">
        <v>644</v>
      </c>
      <c r="B595" s="17">
        <f t="shared" si="30"/>
        <v>6</v>
      </c>
      <c r="C595" s="17">
        <f t="shared" si="26"/>
        <v>22</v>
      </c>
      <c r="D595" s="17"/>
      <c r="E595" s="17">
        <f t="shared" si="31"/>
        <v>65919</v>
      </c>
      <c r="F595" s="17">
        <f t="shared" ca="1" si="1"/>
        <v>2003</v>
      </c>
      <c r="G595" s="17">
        <f t="shared" ca="1" si="32"/>
        <v>11007</v>
      </c>
      <c r="H595" s="29" t="str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Accrued Benefit Formula= 2% x YOS x AFC (Max= 75% AFC)</v>
      </c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5" customHeight="1" x14ac:dyDescent="0.3">
      <c r="A596" s="17" t="s">
        <v>644</v>
      </c>
      <c r="B596" s="17">
        <f t="shared" si="30"/>
        <v>6</v>
      </c>
      <c r="C596" s="17">
        <f t="shared" si="26"/>
        <v>23</v>
      </c>
      <c r="D596" s="17"/>
      <c r="E596" s="17">
        <f t="shared" si="31"/>
        <v>65919</v>
      </c>
      <c r="F596" s="17">
        <f t="shared" ca="1" si="1"/>
        <v>2003</v>
      </c>
      <c r="G596" s="17">
        <f t="shared" ca="1" si="32"/>
        <v>10941</v>
      </c>
      <c r="H596" s="29" t="str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COLA</v>
      </c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5" customHeight="1" x14ac:dyDescent="0.3">
      <c r="A597" s="17" t="s">
        <v>644</v>
      </c>
      <c r="B597" s="17">
        <f t="shared" si="30"/>
        <v>6</v>
      </c>
      <c r="C597" s="17">
        <f t="shared" si="26"/>
        <v>24</v>
      </c>
      <c r="D597" s="17"/>
      <c r="E597" s="17">
        <f t="shared" si="31"/>
        <v>65919</v>
      </c>
      <c r="F597" s="17">
        <f t="shared" ca="1" si="1"/>
        <v>2003</v>
      </c>
      <c r="G597" s="17">
        <f t="shared" ca="1" si="32"/>
        <v>10942</v>
      </c>
      <c r="H597" s="29" t="str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Percentage</v>
      </c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5" customHeight="1" x14ac:dyDescent="0.3">
      <c r="A598" s="17" t="s">
        <v>644</v>
      </c>
      <c r="B598" s="17">
        <f t="shared" si="30"/>
        <v>6</v>
      </c>
      <c r="C598" s="17">
        <f t="shared" si="26"/>
        <v>25</v>
      </c>
      <c r="D598" s="17"/>
      <c r="E598" s="17">
        <f t="shared" si="31"/>
        <v>65919</v>
      </c>
      <c r="F598" s="17">
        <f t="shared" ca="1" si="1"/>
        <v>2003</v>
      </c>
      <c r="G598" s="17">
        <f t="shared" ca="1" si="32"/>
        <v>10701</v>
      </c>
      <c r="H598" s="3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0.03</v>
      </c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5" customHeight="1" x14ac:dyDescent="0.3">
      <c r="A599" s="17" t="s">
        <v>644</v>
      </c>
      <c r="B599" s="17">
        <f t="shared" si="30"/>
        <v>6</v>
      </c>
      <c r="C599" s="17">
        <f t="shared" si="26"/>
        <v>26</v>
      </c>
      <c r="D599" s="17"/>
      <c r="E599" s="17">
        <f t="shared" si="31"/>
        <v>65919</v>
      </c>
      <c r="F599" s="17">
        <f t="shared" ca="1" si="1"/>
        <v>2003</v>
      </c>
      <c r="G599" s="17">
        <f t="shared" ca="1" si="32"/>
        <v>10702</v>
      </c>
      <c r="H599" s="3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5" customHeight="1" x14ac:dyDescent="0.3">
      <c r="A600" s="17" t="s">
        <v>644</v>
      </c>
      <c r="B600" s="17">
        <f t="shared" si="30"/>
        <v>6</v>
      </c>
      <c r="C600" s="17">
        <f t="shared" si="26"/>
        <v>27</v>
      </c>
      <c r="D600" s="17"/>
      <c r="E600" s="17">
        <f t="shared" si="31"/>
        <v>65919</v>
      </c>
      <c r="F600" s="17">
        <f t="shared" ca="1" si="1"/>
        <v>2003</v>
      </c>
      <c r="G600" s="17">
        <f t="shared" ca="1" si="32"/>
        <v>10943</v>
      </c>
      <c r="H600" s="2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5" customHeight="1" x14ac:dyDescent="0.3">
      <c r="A601" s="17" t="s">
        <v>644</v>
      </c>
      <c r="B601" s="17">
        <f t="shared" si="30"/>
        <v>6</v>
      </c>
      <c r="C601" s="17">
        <f t="shared" si="26"/>
        <v>28</v>
      </c>
      <c r="D601" s="17"/>
      <c r="E601" s="17">
        <f t="shared" si="31"/>
        <v>65919</v>
      </c>
      <c r="F601" s="17">
        <f t="shared" ca="1" si="1"/>
        <v>2003</v>
      </c>
      <c r="G601" s="17">
        <f t="shared" ca="1" si="32"/>
        <v>10944</v>
      </c>
      <c r="H601" s="31" t="str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No</v>
      </c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5" customHeight="1" x14ac:dyDescent="0.3">
      <c r="A602" s="17" t="s">
        <v>644</v>
      </c>
      <c r="B602" s="17">
        <f t="shared" si="30"/>
        <v>6</v>
      </c>
      <c r="C602" s="17">
        <f t="shared" si="26"/>
        <v>29</v>
      </c>
      <c r="D602" s="17"/>
      <c r="E602" s="17">
        <f t="shared" si="31"/>
        <v>65919</v>
      </c>
      <c r="F602" s="17">
        <f t="shared" ca="1" si="1"/>
        <v>2003</v>
      </c>
      <c r="G602" s="17">
        <f t="shared" ca="1" si="32"/>
        <v>10945</v>
      </c>
      <c r="H602" s="31" t="str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No</v>
      </c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5" customHeight="1" x14ac:dyDescent="0.3">
      <c r="A603" s="17" t="s">
        <v>644</v>
      </c>
      <c r="B603" s="17">
        <f t="shared" si="30"/>
        <v>6</v>
      </c>
      <c r="C603" s="17">
        <f t="shared" si="26"/>
        <v>30</v>
      </c>
      <c r="D603" s="17"/>
      <c r="E603" s="17">
        <f t="shared" si="31"/>
        <v>65919</v>
      </c>
      <c r="F603" s="17">
        <f t="shared" ca="1" si="1"/>
        <v>2003</v>
      </c>
      <c r="G603" s="17">
        <f t="shared" ca="1" si="32"/>
        <v>10947</v>
      </c>
      <c r="H603" s="2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5" customHeight="1" x14ac:dyDescent="0.3">
      <c r="A604" s="17" t="s">
        <v>644</v>
      </c>
      <c r="B604" s="17">
        <f t="shared" si="30"/>
        <v>6</v>
      </c>
      <c r="C604" s="17">
        <f t="shared" si="26"/>
        <v>31</v>
      </c>
      <c r="D604" s="17"/>
      <c r="E604" s="17">
        <f t="shared" si="31"/>
        <v>65919</v>
      </c>
      <c r="F604" s="17">
        <f t="shared" ca="1" si="1"/>
        <v>2003</v>
      </c>
      <c r="G604" s="17">
        <f t="shared" ca="1" si="32"/>
        <v>10948</v>
      </c>
      <c r="H604" s="31" t="str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No</v>
      </c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5" customHeight="1" x14ac:dyDescent="0.3">
      <c r="A605" s="17" t="s">
        <v>644</v>
      </c>
      <c r="B605" s="17">
        <f t="shared" si="30"/>
        <v>6</v>
      </c>
      <c r="C605" s="17">
        <f t="shared" si="26"/>
        <v>32</v>
      </c>
      <c r="D605" s="17"/>
      <c r="E605" s="17">
        <f t="shared" si="31"/>
        <v>65919</v>
      </c>
      <c r="F605" s="17">
        <f t="shared" ca="1" si="1"/>
        <v>2003</v>
      </c>
      <c r="G605" s="17">
        <f t="shared" ca="1" si="32"/>
        <v>10949</v>
      </c>
      <c r="H605" s="31" t="str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No</v>
      </c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5" customHeight="1" x14ac:dyDescent="0.3">
      <c r="A606" s="17" t="s">
        <v>644</v>
      </c>
      <c r="B606" s="17">
        <f t="shared" si="30"/>
        <v>6</v>
      </c>
      <c r="C606" s="17">
        <f t="shared" si="26"/>
        <v>33</v>
      </c>
      <c r="D606" s="17"/>
      <c r="E606" s="17">
        <f t="shared" si="31"/>
        <v>65919</v>
      </c>
      <c r="F606" s="17">
        <f t="shared" ca="1" si="1"/>
        <v>2003</v>
      </c>
      <c r="G606" s="17">
        <f t="shared" ca="1" si="32"/>
        <v>10951</v>
      </c>
      <c r="H606" s="31" t="str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No</v>
      </c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5" customHeight="1" x14ac:dyDescent="0.3">
      <c r="A607" s="17" t="s">
        <v>644</v>
      </c>
      <c r="B607" s="17">
        <f t="shared" si="30"/>
        <v>6</v>
      </c>
      <c r="C607" s="17">
        <f t="shared" si="26"/>
        <v>34</v>
      </c>
      <c r="D607" s="17"/>
      <c r="E607" s="17">
        <f t="shared" si="31"/>
        <v>65919</v>
      </c>
      <c r="F607" s="17">
        <f t="shared" ca="1" si="1"/>
        <v>2003</v>
      </c>
      <c r="G607" s="17">
        <f t="shared" ca="1" si="32"/>
        <v>10950</v>
      </c>
      <c r="H607" s="31" t="str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No</v>
      </c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5" customHeight="1" x14ac:dyDescent="0.3">
      <c r="A608" s="17" t="s">
        <v>644</v>
      </c>
      <c r="B608" s="17">
        <f t="shared" si="30"/>
        <v>6</v>
      </c>
      <c r="C608" s="17">
        <f t="shared" si="26"/>
        <v>35</v>
      </c>
      <c r="D608" s="17"/>
      <c r="E608" s="17">
        <f t="shared" si="31"/>
        <v>65919</v>
      </c>
      <c r="F608" s="17">
        <f t="shared" ca="1" si="1"/>
        <v>2003</v>
      </c>
      <c r="G608" s="17">
        <f t="shared" ca="1" si="32"/>
        <v>10954</v>
      </c>
      <c r="H608" s="3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3.5000000000000003E-2</v>
      </c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5" customHeight="1" x14ac:dyDescent="0.3">
      <c r="A609" s="17" t="s">
        <v>644</v>
      </c>
      <c r="B609" s="17">
        <f t="shared" si="30"/>
        <v>6</v>
      </c>
      <c r="C609" s="17">
        <f t="shared" si="26"/>
        <v>36</v>
      </c>
      <c r="D609" s="17"/>
      <c r="E609" s="17">
        <f t="shared" si="31"/>
        <v>65919</v>
      </c>
      <c r="F609" s="17">
        <f t="shared" ca="1" si="1"/>
        <v>2003</v>
      </c>
      <c r="G609" s="17">
        <f t="shared" ca="1" si="32"/>
        <v>10955</v>
      </c>
      <c r="H609" s="3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0.08</v>
      </c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5" customHeight="1" x14ac:dyDescent="0.3">
      <c r="A610" s="17" t="s">
        <v>644</v>
      </c>
      <c r="B610" s="17">
        <f t="shared" si="30"/>
        <v>6</v>
      </c>
      <c r="C610" s="17">
        <f t="shared" si="26"/>
        <v>37</v>
      </c>
      <c r="D610" s="17"/>
      <c r="E610" s="17">
        <f t="shared" si="31"/>
        <v>65919</v>
      </c>
      <c r="F610" s="17">
        <f t="shared" ca="1" si="1"/>
        <v>2003</v>
      </c>
      <c r="G610" s="17">
        <f t="shared" ca="1" si="32"/>
        <v>10956</v>
      </c>
      <c r="H610" s="3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5.6249999999999996E-4</v>
      </c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5" customHeight="1" x14ac:dyDescent="0.3">
      <c r="A611" s="17" t="s">
        <v>644</v>
      </c>
      <c r="B611" s="17">
        <f t="shared" si="30"/>
        <v>6</v>
      </c>
      <c r="C611" s="17">
        <f t="shared" si="26"/>
        <v>38</v>
      </c>
      <c r="D611" s="17"/>
      <c r="E611" s="17">
        <f t="shared" si="31"/>
        <v>65919</v>
      </c>
      <c r="F611" s="17">
        <f t="shared" ca="1" si="1"/>
        <v>2003</v>
      </c>
      <c r="G611" s="17">
        <f t="shared" ca="1" si="32"/>
        <v>10959</v>
      </c>
      <c r="H611" s="3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4.4999999999999998E-2</v>
      </c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5" customHeight="1" x14ac:dyDescent="0.3">
      <c r="A612" s="17" t="s">
        <v>644</v>
      </c>
      <c r="B612" s="17">
        <f t="shared" si="30"/>
        <v>6</v>
      </c>
      <c r="C612" s="17">
        <f t="shared" si="26"/>
        <v>39</v>
      </c>
      <c r="D612" s="17"/>
      <c r="E612" s="17">
        <f t="shared" si="31"/>
        <v>65919</v>
      </c>
      <c r="F612" s="17">
        <f t="shared" ca="1" si="1"/>
        <v>2003</v>
      </c>
      <c r="G612" s="17">
        <f t="shared" ca="1" si="32"/>
        <v>10962</v>
      </c>
      <c r="H612" s="29" t="str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Pg.no.51, 52</v>
      </c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5" customHeight="1" x14ac:dyDescent="0.3">
      <c r="A613" s="17" t="s">
        <v>644</v>
      </c>
      <c r="B613" s="17">
        <f t="shared" si="30"/>
        <v>6</v>
      </c>
      <c r="C613" s="17">
        <f t="shared" si="26"/>
        <v>40</v>
      </c>
      <c r="D613" s="17"/>
      <c r="E613" s="17">
        <f t="shared" si="31"/>
        <v>65919</v>
      </c>
      <c r="F613" s="17">
        <f t="shared" ca="1" si="1"/>
        <v>2003</v>
      </c>
      <c r="G613" s="17">
        <f t="shared" ca="1" si="32"/>
        <v>10964</v>
      </c>
      <c r="H613" s="29" t="str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Pg.no.40</v>
      </c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5" customHeight="1" x14ac:dyDescent="0.3">
      <c r="A614" s="17" t="s">
        <v>644</v>
      </c>
      <c r="B614" s="17">
        <f t="shared" si="30"/>
        <v>6</v>
      </c>
      <c r="C614" s="17">
        <f t="shared" si="26"/>
        <v>41</v>
      </c>
      <c r="D614" s="17"/>
      <c r="E614" s="17">
        <f t="shared" si="31"/>
        <v>65919</v>
      </c>
      <c r="F614" s="17">
        <f t="shared" ca="1" si="1"/>
        <v>2003</v>
      </c>
      <c r="G614" s="17">
        <f t="shared" ca="1" si="32"/>
        <v>10967</v>
      </c>
      <c r="H614" s="29" t="str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RP-2000 Combined healthy table</v>
      </c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5" customHeight="1" x14ac:dyDescent="0.3">
      <c r="A615" s="17" t="s">
        <v>644</v>
      </c>
      <c r="B615" s="17">
        <f t="shared" si="30"/>
        <v>6</v>
      </c>
      <c r="C615" s="17">
        <f t="shared" si="26"/>
        <v>42</v>
      </c>
      <c r="D615" s="17"/>
      <c r="E615" s="17">
        <f t="shared" si="31"/>
        <v>65919</v>
      </c>
      <c r="F615" s="17">
        <f t="shared" ca="1" si="1"/>
        <v>2003</v>
      </c>
      <c r="G615" s="17">
        <f t="shared" ca="1" si="32"/>
        <v>10968</v>
      </c>
      <c r="H615" s="2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2000</v>
      </c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5" customHeight="1" x14ac:dyDescent="0.3">
      <c r="A616" s="17" t="s">
        <v>644</v>
      </c>
      <c r="B616" s="17">
        <f t="shared" si="30"/>
        <v>6</v>
      </c>
      <c r="C616" s="17">
        <f t="shared" si="26"/>
        <v>43</v>
      </c>
      <c r="D616" s="17"/>
      <c r="E616" s="17">
        <f t="shared" si="31"/>
        <v>65919</v>
      </c>
      <c r="F616" s="17">
        <f t="shared" ca="1" si="1"/>
        <v>2003</v>
      </c>
      <c r="G616" s="17">
        <f t="shared" ca="1" si="32"/>
        <v>10969</v>
      </c>
      <c r="H616" s="2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5" customHeight="1" x14ac:dyDescent="0.3">
      <c r="A617" s="17" t="s">
        <v>644</v>
      </c>
      <c r="B617" s="17">
        <f t="shared" si="30"/>
        <v>6</v>
      </c>
      <c r="C617" s="17">
        <f t="shared" si="26"/>
        <v>44</v>
      </c>
      <c r="D617" s="17"/>
      <c r="E617" s="17">
        <f t="shared" si="31"/>
        <v>65919</v>
      </c>
      <c r="F617" s="17">
        <f t="shared" ca="1" si="1"/>
        <v>2003</v>
      </c>
      <c r="G617" s="17">
        <f t="shared" ca="1" si="32"/>
        <v>10970</v>
      </c>
      <c r="H617" s="2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5" customHeight="1" x14ac:dyDescent="0.3">
      <c r="A618" s="17" t="s">
        <v>644</v>
      </c>
      <c r="B618" s="17">
        <f t="shared" si="30"/>
        <v>6</v>
      </c>
      <c r="C618" s="17">
        <f t="shared" si="26"/>
        <v>45</v>
      </c>
      <c r="D618" s="17"/>
      <c r="E618" s="17">
        <f t="shared" si="31"/>
        <v>65919</v>
      </c>
      <c r="F618" s="17">
        <f t="shared" ca="1" si="1"/>
        <v>2003</v>
      </c>
      <c r="G618" s="17">
        <f t="shared" ca="1" si="32"/>
        <v>10971</v>
      </c>
      <c r="H618" s="2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5" customHeight="1" x14ac:dyDescent="0.3">
      <c r="A619" s="17" t="s">
        <v>644</v>
      </c>
      <c r="B619" s="17">
        <f t="shared" si="30"/>
        <v>6</v>
      </c>
      <c r="C619" s="17">
        <f t="shared" si="26"/>
        <v>46</v>
      </c>
      <c r="D619" s="17"/>
      <c r="E619" s="17">
        <f t="shared" si="31"/>
        <v>65919</v>
      </c>
      <c r="F619" s="17">
        <f t="shared" ca="1" si="1"/>
        <v>2003</v>
      </c>
      <c r="G619" s="17">
        <f t="shared" ca="1" si="32"/>
        <v>10972</v>
      </c>
      <c r="H619" s="29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N/A</v>
      </c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5" customHeight="1" x14ac:dyDescent="0.3">
      <c r="A620" s="17" t="s">
        <v>644</v>
      </c>
      <c r="B620" s="17">
        <f t="shared" si="30"/>
        <v>6</v>
      </c>
      <c r="C620" s="17">
        <f t="shared" si="26"/>
        <v>47</v>
      </c>
      <c r="D620" s="17"/>
      <c r="E620" s="17">
        <f t="shared" si="31"/>
        <v>65919</v>
      </c>
      <c r="F620" s="17">
        <f t="shared" ca="1" si="1"/>
        <v>2003</v>
      </c>
      <c r="G620" s="17">
        <f t="shared" ca="1" si="32"/>
        <v>10973</v>
      </c>
      <c r="H620" s="29" t="str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N/A</v>
      </c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5" customHeight="1" x14ac:dyDescent="0.3">
      <c r="A621" s="17" t="s">
        <v>644</v>
      </c>
      <c r="B621" s="17">
        <f t="shared" si="30"/>
        <v>6</v>
      </c>
      <c r="C621" s="17">
        <f t="shared" si="26"/>
        <v>48</v>
      </c>
      <c r="D621" s="17"/>
      <c r="E621" s="17">
        <f t="shared" si="31"/>
        <v>65919</v>
      </c>
      <c r="F621" s="17">
        <f t="shared" ca="1" si="1"/>
        <v>2003</v>
      </c>
      <c r="G621" s="17">
        <f t="shared" ca="1" si="32"/>
        <v>10975</v>
      </c>
      <c r="H621" s="29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 xml:space="preserve">Aggregate   </v>
      </c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5" customHeight="1" x14ac:dyDescent="0.3">
      <c r="A622" s="17" t="s">
        <v>644</v>
      </c>
      <c r="B622" s="17">
        <f t="shared" si="30"/>
        <v>6</v>
      </c>
      <c r="C622" s="17">
        <f t="shared" si="26"/>
        <v>49</v>
      </c>
      <c r="D622" s="17"/>
      <c r="E622" s="17">
        <f t="shared" si="31"/>
        <v>65919</v>
      </c>
      <c r="F622" s="17">
        <f t="shared" ca="1" si="1"/>
        <v>2003</v>
      </c>
      <c r="G622" s="17">
        <f t="shared" ca="1" si="32"/>
        <v>10976</v>
      </c>
      <c r="H622" s="3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0.08</v>
      </c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5" customHeight="1" x14ac:dyDescent="0.3">
      <c r="A623" s="17" t="s">
        <v>644</v>
      </c>
      <c r="B623" s="17">
        <f t="shared" si="30"/>
        <v>6</v>
      </c>
      <c r="C623" s="17">
        <f t="shared" si="26"/>
        <v>50</v>
      </c>
      <c r="D623" s="17"/>
      <c r="E623" s="17">
        <f t="shared" si="31"/>
        <v>65919</v>
      </c>
      <c r="F623" s="17">
        <f t="shared" ca="1" si="1"/>
        <v>2003</v>
      </c>
      <c r="G623" s="17">
        <f t="shared" ca="1" si="32"/>
        <v>10977</v>
      </c>
      <c r="H623" s="31" t="str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No</v>
      </c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5" customHeight="1" x14ac:dyDescent="0.3">
      <c r="A624" s="17" t="s">
        <v>644</v>
      </c>
      <c r="B624" s="17">
        <f t="shared" si="30"/>
        <v>6</v>
      </c>
      <c r="C624" s="17">
        <f t="shared" si="26"/>
        <v>51</v>
      </c>
      <c r="D624" s="17"/>
      <c r="E624" s="17">
        <f t="shared" si="31"/>
        <v>65919</v>
      </c>
      <c r="F624" s="17">
        <f t="shared" ca="1" si="1"/>
        <v>2003</v>
      </c>
      <c r="G624" s="17">
        <f t="shared" ca="1" si="32"/>
        <v>10978</v>
      </c>
      <c r="H624" s="3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0.08</v>
      </c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5" customHeight="1" x14ac:dyDescent="0.3">
      <c r="A625" s="17" t="s">
        <v>644</v>
      </c>
      <c r="B625" s="17">
        <f t="shared" si="30"/>
        <v>6</v>
      </c>
      <c r="C625" s="17">
        <f t="shared" si="26"/>
        <v>52</v>
      </c>
      <c r="D625" s="17"/>
      <c r="E625" s="17">
        <f t="shared" si="31"/>
        <v>65919</v>
      </c>
      <c r="F625" s="17">
        <f t="shared" ca="1" si="1"/>
        <v>2003</v>
      </c>
      <c r="G625" s="17">
        <f t="shared" ca="1" si="32"/>
        <v>10979</v>
      </c>
      <c r="H625" s="29" t="str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8 Years</v>
      </c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5" customHeight="1" x14ac:dyDescent="0.3">
      <c r="A626" s="17" t="s">
        <v>644</v>
      </c>
      <c r="B626" s="17">
        <f t="shared" si="30"/>
        <v>6</v>
      </c>
      <c r="C626" s="17">
        <f t="shared" si="26"/>
        <v>53</v>
      </c>
      <c r="D626" s="17"/>
      <c r="E626" s="17">
        <f t="shared" si="31"/>
        <v>65919</v>
      </c>
      <c r="F626" s="17">
        <f t="shared" ca="1" si="1"/>
        <v>2003</v>
      </c>
      <c r="G626" s="17">
        <f t="shared" ca="1" si="32"/>
        <v>10980</v>
      </c>
      <c r="H626" s="3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-2E-3</v>
      </c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5" customHeight="1" x14ac:dyDescent="0.3">
      <c r="A627" s="17" t="s">
        <v>644</v>
      </c>
      <c r="B627" s="17">
        <f t="shared" si="30"/>
        <v>6</v>
      </c>
      <c r="C627" s="17">
        <f t="shared" si="26"/>
        <v>54</v>
      </c>
      <c r="D627" s="17"/>
      <c r="E627" s="17">
        <f t="shared" si="31"/>
        <v>65919</v>
      </c>
      <c r="F627" s="17">
        <f t="shared" ca="1" si="1"/>
        <v>2003</v>
      </c>
      <c r="G627" s="17">
        <f t="shared" ca="1" si="32"/>
        <v>10981</v>
      </c>
      <c r="H627" s="3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0.15029999999999999</v>
      </c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5" customHeight="1" x14ac:dyDescent="0.3">
      <c r="A628" s="17" t="s">
        <v>644</v>
      </c>
      <c r="B628" s="17">
        <f t="shared" si="30"/>
        <v>6</v>
      </c>
      <c r="C628" s="17">
        <f t="shared" si="26"/>
        <v>55</v>
      </c>
      <c r="D628" s="17"/>
      <c r="E628" s="17">
        <f t="shared" si="31"/>
        <v>65919</v>
      </c>
      <c r="F628" s="17">
        <f t="shared" ca="1" si="1"/>
        <v>2003</v>
      </c>
      <c r="G628" s="17">
        <f t="shared" ca="1" si="32"/>
        <v>10706</v>
      </c>
      <c r="H628" s="3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6.341615806584554E-4</v>
      </c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5" customHeight="1" x14ac:dyDescent="0.3">
      <c r="A629" s="17" t="s">
        <v>644</v>
      </c>
      <c r="B629" s="17">
        <f t="shared" si="30"/>
        <v>6</v>
      </c>
      <c r="C629" s="17">
        <f t="shared" si="26"/>
        <v>56</v>
      </c>
      <c r="D629" s="17"/>
      <c r="E629" s="17">
        <f t="shared" si="31"/>
        <v>65919</v>
      </c>
      <c r="F629" s="17">
        <f t="shared" ca="1" si="1"/>
        <v>2003</v>
      </c>
      <c r="G629" s="17">
        <f t="shared" ca="1" si="32"/>
        <v>10983</v>
      </c>
      <c r="H629" s="30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No</v>
      </c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5" customHeight="1" x14ac:dyDescent="0.3">
      <c r="A630" s="17" t="s">
        <v>644</v>
      </c>
      <c r="B630" s="17">
        <f t="shared" si="30"/>
        <v>6</v>
      </c>
      <c r="C630" s="17">
        <f t="shared" si="26"/>
        <v>57</v>
      </c>
      <c r="D630" s="17"/>
      <c r="E630" s="17">
        <f t="shared" si="31"/>
        <v>65919</v>
      </c>
      <c r="F630" s="17">
        <f t="shared" ca="1" si="1"/>
        <v>2003</v>
      </c>
      <c r="G630" s="17">
        <f t="shared" ca="1" si="32"/>
        <v>10989</v>
      </c>
      <c r="H630" s="3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664000000</v>
      </c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5" customHeight="1" x14ac:dyDescent="0.3">
      <c r="A631" s="17" t="s">
        <v>644</v>
      </c>
      <c r="B631" s="17">
        <f t="shared" si="30"/>
        <v>6</v>
      </c>
      <c r="C631" s="17">
        <f t="shared" si="26"/>
        <v>58</v>
      </c>
      <c r="D631" s="17"/>
      <c r="E631" s="17">
        <f t="shared" si="31"/>
        <v>65919</v>
      </c>
      <c r="F631" s="17">
        <f t="shared" ca="1" si="1"/>
        <v>2003</v>
      </c>
      <c r="G631" s="17">
        <f t="shared" ca="1" si="32"/>
        <v>10990</v>
      </c>
      <c r="H631" s="30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540000000</v>
      </c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5" customHeight="1" x14ac:dyDescent="0.3">
      <c r="A632" s="17" t="s">
        <v>644</v>
      </c>
      <c r="B632" s="17">
        <f t="shared" si="30"/>
        <v>6</v>
      </c>
      <c r="C632" s="17">
        <f t="shared" si="26"/>
        <v>59</v>
      </c>
      <c r="D632" s="17"/>
      <c r="E632" s="17">
        <f t="shared" si="31"/>
        <v>65919</v>
      </c>
      <c r="F632" s="17">
        <f t="shared" ca="1" si="1"/>
        <v>2003</v>
      </c>
      <c r="G632" s="17">
        <f t="shared" ca="1" si="32"/>
        <v>10991</v>
      </c>
      <c r="H632" s="3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-124000000</v>
      </c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5" customHeight="1" x14ac:dyDescent="0.3">
      <c r="A633" s="17" t="s">
        <v>644</v>
      </c>
      <c r="B633" s="17">
        <f t="shared" si="30"/>
        <v>6</v>
      </c>
      <c r="C633" s="17">
        <f t="shared" si="26"/>
        <v>60</v>
      </c>
      <c r="D633" s="17"/>
      <c r="E633" s="17">
        <f t="shared" si="31"/>
        <v>65919</v>
      </c>
      <c r="F633" s="17">
        <f t="shared" ca="1" si="1"/>
        <v>2003</v>
      </c>
      <c r="G633" s="17">
        <f t="shared" ca="1" si="32"/>
        <v>10992</v>
      </c>
      <c r="H633" s="3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1.2299</v>
      </c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5" customHeight="1" x14ac:dyDescent="0.3">
      <c r="A634" s="17" t="s">
        <v>644</v>
      </c>
      <c r="B634" s="17">
        <f t="shared" si="30"/>
        <v>6</v>
      </c>
      <c r="C634" s="17">
        <f t="shared" si="26"/>
        <v>61</v>
      </c>
      <c r="D634" s="17"/>
      <c r="E634" s="17">
        <f t="shared" si="31"/>
        <v>65919</v>
      </c>
      <c r="F634" s="17">
        <f t="shared" ca="1" si="1"/>
        <v>2003</v>
      </c>
      <c r="G634" s="17">
        <f t="shared" ca="1" si="32"/>
        <v>10993</v>
      </c>
      <c r="H634" s="30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65000000</v>
      </c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5" customHeight="1" x14ac:dyDescent="0.3">
      <c r="A635" s="17" t="s">
        <v>644</v>
      </c>
      <c r="B635" s="17">
        <f t="shared" si="30"/>
        <v>6</v>
      </c>
      <c r="C635" s="17">
        <f t="shared" si="26"/>
        <v>62</v>
      </c>
      <c r="D635" s="17"/>
      <c r="E635" s="17">
        <f t="shared" si="31"/>
        <v>65919</v>
      </c>
      <c r="F635" s="17">
        <f t="shared" ca="1" si="1"/>
        <v>2003</v>
      </c>
      <c r="G635" s="17">
        <f t="shared" ca="1" si="32"/>
        <v>10801</v>
      </c>
      <c r="H635" s="30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55600000</v>
      </c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5" customHeight="1" x14ac:dyDescent="0.3">
      <c r="A636" s="17" t="s">
        <v>644</v>
      </c>
      <c r="B636" s="17">
        <f t="shared" si="30"/>
        <v>6</v>
      </c>
      <c r="C636" s="17">
        <f t="shared" si="26"/>
        <v>63</v>
      </c>
      <c r="D636" s="17"/>
      <c r="E636" s="17">
        <f t="shared" si="31"/>
        <v>65919</v>
      </c>
      <c r="F636" s="17">
        <f t="shared" ca="1" si="1"/>
        <v>2003</v>
      </c>
      <c r="G636" s="17">
        <f t="shared" ca="1" si="32"/>
        <v>10802</v>
      </c>
      <c r="H636" s="30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5" customHeight="1" x14ac:dyDescent="0.3">
      <c r="A637" s="17" t="s">
        <v>644</v>
      </c>
      <c r="B637" s="17">
        <f t="shared" si="30"/>
        <v>6</v>
      </c>
      <c r="C637" s="17">
        <f t="shared" si="26"/>
        <v>64</v>
      </c>
      <c r="D637" s="17"/>
      <c r="E637" s="17">
        <f t="shared" si="31"/>
        <v>65919</v>
      </c>
      <c r="F637" s="17">
        <f t="shared" ca="1" si="1"/>
        <v>2003</v>
      </c>
      <c r="G637" s="17">
        <f t="shared" ca="1" si="32"/>
        <v>10803</v>
      </c>
      <c r="H637" s="3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5" customHeight="1" x14ac:dyDescent="0.3">
      <c r="A638" s="17" t="s">
        <v>644</v>
      </c>
      <c r="B638" s="17">
        <f t="shared" si="30"/>
        <v>6</v>
      </c>
      <c r="C638" s="17">
        <f t="shared" si="26"/>
        <v>65</v>
      </c>
      <c r="D638" s="17"/>
      <c r="E638" s="17">
        <f t="shared" si="31"/>
        <v>65919</v>
      </c>
      <c r="F638" s="17">
        <f t="shared" ca="1" si="1"/>
        <v>2003</v>
      </c>
      <c r="G638" s="17">
        <f t="shared" ca="1" si="32"/>
        <v>10804</v>
      </c>
      <c r="H638" s="3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5" customHeight="1" x14ac:dyDescent="0.3">
      <c r="A639" s="17" t="s">
        <v>644</v>
      </c>
      <c r="B639" s="17">
        <f t="shared" si="30"/>
        <v>6</v>
      </c>
      <c r="C639" s="17">
        <f t="shared" si="26"/>
        <v>66</v>
      </c>
      <c r="D639" s="17"/>
      <c r="E639" s="17">
        <f t="shared" si="31"/>
        <v>65919</v>
      </c>
      <c r="F639" s="17">
        <f t="shared" ca="1" si="1"/>
        <v>2003</v>
      </c>
      <c r="G639" s="17">
        <f t="shared" ca="1" si="32"/>
        <v>10805</v>
      </c>
      <c r="H639" s="3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5" customHeight="1" x14ac:dyDescent="0.3">
      <c r="A640" s="17" t="s">
        <v>644</v>
      </c>
      <c r="B640" s="17">
        <f t="shared" si="30"/>
        <v>6</v>
      </c>
      <c r="C640" s="17">
        <f t="shared" si="26"/>
        <v>67</v>
      </c>
      <c r="D640" s="17"/>
      <c r="E640" s="17">
        <f t="shared" si="31"/>
        <v>65919</v>
      </c>
      <c r="F640" s="17">
        <f t="shared" ca="1" si="1"/>
        <v>2003</v>
      </c>
      <c r="G640" s="17">
        <f t="shared" ca="1" si="32"/>
        <v>10806</v>
      </c>
      <c r="H640" s="30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5" customHeight="1" x14ac:dyDescent="0.3">
      <c r="A641" s="17" t="s">
        <v>644</v>
      </c>
      <c r="B641" s="17">
        <f t="shared" ref="B641:B666" si="33">B640</f>
        <v>6</v>
      </c>
      <c r="C641" s="17">
        <f t="shared" si="26"/>
        <v>68</v>
      </c>
      <c r="D641" s="17"/>
      <c r="E641" s="17">
        <f t="shared" si="31"/>
        <v>65919</v>
      </c>
      <c r="F641" s="17">
        <f t="shared" ca="1" si="1"/>
        <v>2003</v>
      </c>
      <c r="G641" s="17">
        <f t="shared" ca="1" si="32"/>
        <v>10807</v>
      </c>
      <c r="H641" s="30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5" customHeight="1" x14ac:dyDescent="0.3">
      <c r="A642" s="17" t="s">
        <v>644</v>
      </c>
      <c r="B642" s="17">
        <f t="shared" si="33"/>
        <v>6</v>
      </c>
      <c r="C642" s="17">
        <f t="shared" si="26"/>
        <v>69</v>
      </c>
      <c r="D642" s="17"/>
      <c r="E642" s="17">
        <f t="shared" si="31"/>
        <v>65919</v>
      </c>
      <c r="F642" s="17">
        <f t="shared" ca="1" si="1"/>
        <v>2003</v>
      </c>
      <c r="G642" s="17">
        <f t="shared" ca="1" si="32"/>
        <v>10808</v>
      </c>
      <c r="H642" s="3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5" customHeight="1" x14ac:dyDescent="0.3">
      <c r="A643" s="17" t="s">
        <v>644</v>
      </c>
      <c r="B643" s="17">
        <f t="shared" si="33"/>
        <v>6</v>
      </c>
      <c r="C643" s="17">
        <f t="shared" si="26"/>
        <v>70</v>
      </c>
      <c r="D643" s="17"/>
      <c r="E643" s="17">
        <f t="shared" si="31"/>
        <v>65919</v>
      </c>
      <c r="F643" s="17">
        <f t="shared" ca="1" si="1"/>
        <v>2003</v>
      </c>
      <c r="G643" s="17">
        <f t="shared" ca="1" si="32"/>
        <v>10809</v>
      </c>
      <c r="H643" s="30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5" customHeight="1" x14ac:dyDescent="0.3">
      <c r="A644" s="17" t="s">
        <v>644</v>
      </c>
      <c r="B644" s="17">
        <f t="shared" si="33"/>
        <v>6</v>
      </c>
      <c r="C644" s="17">
        <f t="shared" si="26"/>
        <v>71</v>
      </c>
      <c r="D644" s="17"/>
      <c r="E644" s="17">
        <f t="shared" ref="E644:E707" si="34">plan_id</f>
        <v>65919</v>
      </c>
      <c r="F644" s="17">
        <f t="shared" ca="1" si="1"/>
        <v>2003</v>
      </c>
      <c r="G644" s="17">
        <f t="shared" ref="G644:G707" ca="1" si="35">VLOOKUP(INDIRECT(CHAR(39)&amp;$A644&amp;CHAR(39)&amp;"!r2c"&amp;$C644,0),variables,2,0)</f>
        <v>10810</v>
      </c>
      <c r="H644" s="30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5" customHeight="1" x14ac:dyDescent="0.3">
      <c r="A645" s="17" t="s">
        <v>644</v>
      </c>
      <c r="B645" s="17">
        <f t="shared" si="33"/>
        <v>6</v>
      </c>
      <c r="C645" s="17">
        <f t="shared" si="26"/>
        <v>72</v>
      </c>
      <c r="D645" s="17"/>
      <c r="E645" s="17">
        <f t="shared" si="34"/>
        <v>65919</v>
      </c>
      <c r="F645" s="17">
        <f t="shared" ca="1" si="1"/>
        <v>2003</v>
      </c>
      <c r="G645" s="17">
        <f t="shared" ca="1" si="35"/>
        <v>10811</v>
      </c>
      <c r="H645" s="30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5" customHeight="1" x14ac:dyDescent="0.3">
      <c r="A646" s="17" t="s">
        <v>644</v>
      </c>
      <c r="B646" s="17">
        <f t="shared" si="33"/>
        <v>6</v>
      </c>
      <c r="C646" s="17">
        <f t="shared" si="26"/>
        <v>73</v>
      </c>
      <c r="D646" s="17"/>
      <c r="E646" s="17">
        <f t="shared" si="34"/>
        <v>65919</v>
      </c>
      <c r="F646" s="17">
        <f t="shared" ca="1" si="1"/>
        <v>2003</v>
      </c>
      <c r="G646" s="17">
        <f t="shared" ca="1" si="35"/>
        <v>10812</v>
      </c>
      <c r="H646" s="30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5" customHeight="1" x14ac:dyDescent="0.3">
      <c r="A647" s="17" t="s">
        <v>644</v>
      </c>
      <c r="B647" s="17">
        <f t="shared" si="33"/>
        <v>6</v>
      </c>
      <c r="C647" s="17">
        <f t="shared" si="26"/>
        <v>74</v>
      </c>
      <c r="D647" s="17"/>
      <c r="E647" s="17">
        <f t="shared" si="34"/>
        <v>65919</v>
      </c>
      <c r="F647" s="17">
        <f t="shared" ca="1" si="1"/>
        <v>2003</v>
      </c>
      <c r="G647" s="17">
        <f t="shared" ca="1" si="35"/>
        <v>10813</v>
      </c>
      <c r="H647" s="3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5" customHeight="1" x14ac:dyDescent="0.3">
      <c r="A648" s="17" t="s">
        <v>644</v>
      </c>
      <c r="B648" s="17">
        <f t="shared" si="33"/>
        <v>6</v>
      </c>
      <c r="C648" s="17">
        <f t="shared" si="26"/>
        <v>75</v>
      </c>
      <c r="D648" s="17"/>
      <c r="E648" s="17">
        <f t="shared" si="34"/>
        <v>65919</v>
      </c>
      <c r="F648" s="17">
        <f t="shared" ca="1" si="1"/>
        <v>2003</v>
      </c>
      <c r="G648" s="17">
        <f t="shared" ca="1" si="35"/>
        <v>10814</v>
      </c>
      <c r="H648" s="3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5" customHeight="1" x14ac:dyDescent="0.3">
      <c r="A649" s="17" t="s">
        <v>644</v>
      </c>
      <c r="B649" s="17">
        <f t="shared" si="33"/>
        <v>6</v>
      </c>
      <c r="C649" s="17">
        <f t="shared" si="26"/>
        <v>76</v>
      </c>
      <c r="D649" s="17"/>
      <c r="E649" s="17">
        <f t="shared" si="34"/>
        <v>65919</v>
      </c>
      <c r="F649" s="17">
        <f t="shared" ca="1" si="1"/>
        <v>2003</v>
      </c>
      <c r="G649" s="17">
        <f t="shared" ca="1" si="35"/>
        <v>10815</v>
      </c>
      <c r="H649" s="3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900000</v>
      </c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5" customHeight="1" x14ac:dyDescent="0.3">
      <c r="A650" s="17" t="s">
        <v>644</v>
      </c>
      <c r="B650" s="17">
        <f t="shared" si="33"/>
        <v>6</v>
      </c>
      <c r="C650" s="17">
        <f t="shared" si="26"/>
        <v>77</v>
      </c>
      <c r="D650" s="17"/>
      <c r="E650" s="17">
        <f t="shared" si="34"/>
        <v>65919</v>
      </c>
      <c r="F650" s="17">
        <f t="shared" ca="1" si="1"/>
        <v>2003</v>
      </c>
      <c r="G650" s="17">
        <f t="shared" ca="1" si="35"/>
        <v>10816</v>
      </c>
      <c r="H650" s="30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-11200000</v>
      </c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5" customHeight="1" x14ac:dyDescent="0.3">
      <c r="A651" s="17" t="s">
        <v>644</v>
      </c>
      <c r="B651" s="17">
        <f t="shared" si="33"/>
        <v>6</v>
      </c>
      <c r="C651" s="17">
        <f t="shared" si="26"/>
        <v>78</v>
      </c>
      <c r="D651" s="17"/>
      <c r="E651" s="17">
        <f t="shared" si="34"/>
        <v>65919</v>
      </c>
      <c r="F651" s="17">
        <f t="shared" ca="1" si="1"/>
        <v>2003</v>
      </c>
      <c r="G651" s="17">
        <f t="shared" ca="1" si="35"/>
        <v>10817</v>
      </c>
      <c r="H651" s="30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5" customHeight="1" x14ac:dyDescent="0.3">
      <c r="A652" s="17" t="s">
        <v>644</v>
      </c>
      <c r="B652" s="17">
        <f t="shared" si="33"/>
        <v>6</v>
      </c>
      <c r="C652" s="17">
        <f t="shared" si="26"/>
        <v>79</v>
      </c>
      <c r="D652" s="17"/>
      <c r="E652" s="17">
        <f t="shared" si="34"/>
        <v>65919</v>
      </c>
      <c r="F652" s="17">
        <f t="shared" ca="1" si="1"/>
        <v>2003</v>
      </c>
      <c r="G652" s="17">
        <f t="shared" ca="1" si="35"/>
        <v>10818</v>
      </c>
      <c r="H652" s="30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5" customHeight="1" x14ac:dyDescent="0.3">
      <c r="A653" s="17" t="s">
        <v>644</v>
      </c>
      <c r="B653" s="17">
        <f t="shared" si="33"/>
        <v>6</v>
      </c>
      <c r="C653" s="17">
        <f t="shared" si="26"/>
        <v>80</v>
      </c>
      <c r="D653" s="17"/>
      <c r="E653" s="17">
        <f t="shared" si="34"/>
        <v>65919</v>
      </c>
      <c r="F653" s="17">
        <f t="shared" ca="1" si="1"/>
        <v>2003</v>
      </c>
      <c r="G653" s="17">
        <f t="shared" ca="1" si="35"/>
        <v>10819</v>
      </c>
      <c r="H653" s="30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700000</v>
      </c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5" customHeight="1" x14ac:dyDescent="0.3">
      <c r="A654" s="17" t="s">
        <v>644</v>
      </c>
      <c r="B654" s="17">
        <f t="shared" si="33"/>
        <v>6</v>
      </c>
      <c r="C654" s="17">
        <f t="shared" si="26"/>
        <v>81</v>
      </c>
      <c r="D654" s="17"/>
      <c r="E654" s="17">
        <f t="shared" si="34"/>
        <v>65919</v>
      </c>
      <c r="F654" s="17">
        <f t="shared" ca="1" si="1"/>
        <v>2003</v>
      </c>
      <c r="G654" s="17">
        <f t="shared" ca="1" si="35"/>
        <v>10820</v>
      </c>
      <c r="H654" s="3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5" customHeight="1" x14ac:dyDescent="0.3">
      <c r="A655" s="17" t="s">
        <v>644</v>
      </c>
      <c r="B655" s="17">
        <f t="shared" si="33"/>
        <v>6</v>
      </c>
      <c r="C655" s="17">
        <f t="shared" si="26"/>
        <v>82</v>
      </c>
      <c r="D655" s="17"/>
      <c r="E655" s="17">
        <f t="shared" si="34"/>
        <v>65919</v>
      </c>
      <c r="F655" s="17">
        <f t="shared" ca="1" si="1"/>
        <v>2003</v>
      </c>
      <c r="G655" s="17">
        <f t="shared" ca="1" si="35"/>
        <v>10821</v>
      </c>
      <c r="H655" s="3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5" customHeight="1" x14ac:dyDescent="0.3">
      <c r="A656" s="17" t="s">
        <v>644</v>
      </c>
      <c r="B656" s="17">
        <f t="shared" si="33"/>
        <v>6</v>
      </c>
      <c r="C656" s="17">
        <f t="shared" si="26"/>
        <v>83</v>
      </c>
      <c r="D656" s="17"/>
      <c r="E656" s="17">
        <f t="shared" si="34"/>
        <v>65919</v>
      </c>
      <c r="F656" s="17">
        <f t="shared" ca="1" si="1"/>
        <v>2003</v>
      </c>
      <c r="G656" s="17">
        <f t="shared" ca="1" si="35"/>
        <v>10822</v>
      </c>
      <c r="H656" s="3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5" customHeight="1" x14ac:dyDescent="0.3">
      <c r="A657" s="17" t="s">
        <v>644</v>
      </c>
      <c r="B657" s="17">
        <f t="shared" si="33"/>
        <v>6</v>
      </c>
      <c r="C657" s="17">
        <f t="shared" si="26"/>
        <v>84</v>
      </c>
      <c r="D657" s="17"/>
      <c r="E657" s="17">
        <f t="shared" si="34"/>
        <v>65919</v>
      </c>
      <c r="F657" s="17">
        <f t="shared" ca="1" si="1"/>
        <v>2003</v>
      </c>
      <c r="G657" s="17">
        <f t="shared" ca="1" si="35"/>
        <v>10829</v>
      </c>
      <c r="H657" s="3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5" customHeight="1" x14ac:dyDescent="0.3">
      <c r="A658" s="17" t="s">
        <v>644</v>
      </c>
      <c r="B658" s="17">
        <f t="shared" si="33"/>
        <v>6</v>
      </c>
      <c r="C658" s="17">
        <f t="shared" si="26"/>
        <v>85</v>
      </c>
      <c r="D658" s="17"/>
      <c r="E658" s="17">
        <f t="shared" si="34"/>
        <v>65919</v>
      </c>
      <c r="F658" s="17">
        <f t="shared" ca="1" si="1"/>
        <v>2003</v>
      </c>
      <c r="G658" s="17">
        <f t="shared" ca="1" si="35"/>
        <v>10823</v>
      </c>
      <c r="H658" s="30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46000000</v>
      </c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5" customHeight="1" x14ac:dyDescent="0.3">
      <c r="A659" s="17" t="s">
        <v>644</v>
      </c>
      <c r="B659" s="17">
        <f t="shared" si="33"/>
        <v>6</v>
      </c>
      <c r="C659" s="17">
        <f t="shared" si="26"/>
        <v>86</v>
      </c>
      <c r="D659" s="17"/>
      <c r="E659" s="17">
        <f t="shared" si="34"/>
        <v>65919</v>
      </c>
      <c r="F659" s="17">
        <f t="shared" ca="1" si="1"/>
        <v>2003</v>
      </c>
      <c r="G659" s="17">
        <f t="shared" ca="1" si="35"/>
        <v>10798</v>
      </c>
      <c r="H659" s="30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5" customHeight="1" x14ac:dyDescent="0.3">
      <c r="A660" s="17" t="s">
        <v>644</v>
      </c>
      <c r="B660" s="17">
        <f t="shared" si="33"/>
        <v>6</v>
      </c>
      <c r="C660" s="17">
        <f t="shared" si="26"/>
        <v>87</v>
      </c>
      <c r="D660" s="17"/>
      <c r="E660" s="17">
        <f t="shared" si="34"/>
        <v>65919</v>
      </c>
      <c r="F660" s="17">
        <f t="shared" ca="1" si="1"/>
        <v>2003</v>
      </c>
      <c r="G660" s="17">
        <f t="shared" ca="1" si="35"/>
        <v>10799</v>
      </c>
      <c r="H660" s="30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5" customHeight="1" x14ac:dyDescent="0.3">
      <c r="A661" s="17" t="s">
        <v>644</v>
      </c>
      <c r="B661" s="17">
        <f t="shared" si="33"/>
        <v>6</v>
      </c>
      <c r="C661" s="17">
        <f t="shared" si="26"/>
        <v>88</v>
      </c>
      <c r="D661" s="17"/>
      <c r="E661" s="17">
        <f t="shared" si="34"/>
        <v>65919</v>
      </c>
      <c r="F661" s="17">
        <f t="shared" ca="1" si="1"/>
        <v>2003</v>
      </c>
      <c r="G661" s="17">
        <f t="shared" ca="1" si="35"/>
        <v>10800</v>
      </c>
      <c r="H661" s="3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5" customHeight="1" x14ac:dyDescent="0.3">
      <c r="A662" s="17" t="s">
        <v>644</v>
      </c>
      <c r="B662" s="17">
        <f t="shared" si="33"/>
        <v>6</v>
      </c>
      <c r="C662" s="17">
        <f t="shared" si="26"/>
        <v>89</v>
      </c>
      <c r="D662" s="17"/>
      <c r="E662" s="17">
        <f t="shared" si="34"/>
        <v>65919</v>
      </c>
      <c r="F662" s="17">
        <f t="shared" ca="1" si="1"/>
        <v>2003</v>
      </c>
      <c r="G662" s="17">
        <f t="shared" ca="1" si="35"/>
        <v>10824</v>
      </c>
      <c r="H662" s="30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5" customHeight="1" x14ac:dyDescent="0.3">
      <c r="A663" s="17" t="s">
        <v>644</v>
      </c>
      <c r="B663" s="17">
        <f t="shared" si="33"/>
        <v>6</v>
      </c>
      <c r="C663" s="17">
        <f t="shared" si="26"/>
        <v>90</v>
      </c>
      <c r="D663" s="17"/>
      <c r="E663" s="17">
        <f t="shared" si="34"/>
        <v>65919</v>
      </c>
      <c r="F663" s="17">
        <f t="shared" ca="1" si="1"/>
        <v>2003</v>
      </c>
      <c r="G663" s="17">
        <f t="shared" ca="1" si="35"/>
        <v>10825</v>
      </c>
      <c r="H663" s="3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5" customHeight="1" x14ac:dyDescent="0.3">
      <c r="A664" s="17" t="s">
        <v>644</v>
      </c>
      <c r="B664" s="17">
        <f t="shared" si="33"/>
        <v>6</v>
      </c>
      <c r="C664" s="17">
        <f t="shared" si="26"/>
        <v>91</v>
      </c>
      <c r="D664" s="17"/>
      <c r="E664" s="17">
        <f t="shared" si="34"/>
        <v>65919</v>
      </c>
      <c r="F664" s="17">
        <f t="shared" ca="1" si="1"/>
        <v>2003</v>
      </c>
      <c r="G664" s="17">
        <f t="shared" ca="1" si="35"/>
        <v>10826</v>
      </c>
      <c r="H664" s="3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5" customHeight="1" x14ac:dyDescent="0.3">
      <c r="A665" s="17" t="s">
        <v>644</v>
      </c>
      <c r="B665" s="17">
        <f t="shared" si="33"/>
        <v>6</v>
      </c>
      <c r="C665" s="17">
        <f t="shared" si="26"/>
        <v>92</v>
      </c>
      <c r="D665" s="17"/>
      <c r="E665" s="17">
        <f t="shared" si="34"/>
        <v>65919</v>
      </c>
      <c r="F665" s="17">
        <f t="shared" ca="1" si="1"/>
        <v>2003</v>
      </c>
      <c r="G665" s="17">
        <f t="shared" ca="1" si="35"/>
        <v>10828</v>
      </c>
      <c r="H665" s="3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5" customHeight="1" x14ac:dyDescent="0.3">
      <c r="A666" s="17" t="s">
        <v>644</v>
      </c>
      <c r="B666" s="17">
        <f t="shared" si="33"/>
        <v>6</v>
      </c>
      <c r="C666" s="17">
        <f t="shared" si="26"/>
        <v>93</v>
      </c>
      <c r="D666" s="17"/>
      <c r="E666" s="17">
        <f t="shared" si="34"/>
        <v>65919</v>
      </c>
      <c r="F666" s="17">
        <f t="shared" ca="1" si="1"/>
        <v>2003</v>
      </c>
      <c r="G666" s="17">
        <f t="shared" ca="1" si="35"/>
        <v>10827</v>
      </c>
      <c r="H666" s="2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5" customHeight="1" x14ac:dyDescent="0.3">
      <c r="A667" s="17" t="s">
        <v>644</v>
      </c>
      <c r="B667" s="17">
        <f t="shared" ref="B667:B731" si="36">B602+1</f>
        <v>7</v>
      </c>
      <c r="C667" s="17">
        <f t="shared" si="26"/>
        <v>3</v>
      </c>
      <c r="D667" s="17"/>
      <c r="E667" s="17">
        <f t="shared" si="34"/>
        <v>65919</v>
      </c>
      <c r="F667" s="17">
        <f t="shared" ca="1" si="1"/>
        <v>2004</v>
      </c>
      <c r="G667" s="17">
        <f t="shared" ca="1" si="35"/>
        <v>10703</v>
      </c>
      <c r="H667" s="2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2004</v>
      </c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5" customHeight="1" x14ac:dyDescent="0.3">
      <c r="A668" s="17" t="s">
        <v>644</v>
      </c>
      <c r="B668" s="17">
        <f t="shared" si="36"/>
        <v>7</v>
      </c>
      <c r="C668" s="17">
        <f t="shared" si="26"/>
        <v>4</v>
      </c>
      <c r="D668" s="17"/>
      <c r="E668" s="17">
        <f t="shared" si="34"/>
        <v>65919</v>
      </c>
      <c r="F668" s="17">
        <f t="shared" ca="1" si="1"/>
        <v>2004</v>
      </c>
      <c r="G668" s="17">
        <f t="shared" ca="1" si="35"/>
        <v>10845</v>
      </c>
      <c r="H668" s="29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The Office Of The State Actuary</v>
      </c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5" customHeight="1" x14ac:dyDescent="0.3">
      <c r="A669" s="17" t="s">
        <v>644</v>
      </c>
      <c r="B669" s="17">
        <f t="shared" si="36"/>
        <v>7</v>
      </c>
      <c r="C669" s="17">
        <f t="shared" si="26"/>
        <v>5</v>
      </c>
      <c r="D669" s="17"/>
      <c r="E669" s="17">
        <f t="shared" si="34"/>
        <v>65919</v>
      </c>
      <c r="F669" s="17">
        <f t="shared" ca="1" si="1"/>
        <v>2004</v>
      </c>
      <c r="G669" s="17">
        <f t="shared" ca="1" si="35"/>
        <v>10924</v>
      </c>
      <c r="H669" s="3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0.10440000000000001</v>
      </c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5" customHeight="1" x14ac:dyDescent="0.3">
      <c r="A670" s="17" t="s">
        <v>644</v>
      </c>
      <c r="B670" s="17">
        <f t="shared" si="36"/>
        <v>7</v>
      </c>
      <c r="C670" s="17">
        <f t="shared" si="26"/>
        <v>6</v>
      </c>
      <c r="D670" s="17"/>
      <c r="E670" s="17">
        <f t="shared" si="34"/>
        <v>65919</v>
      </c>
      <c r="F670" s="17">
        <f t="shared" ca="1" si="1"/>
        <v>2004</v>
      </c>
      <c r="G670" s="17">
        <f t="shared" ca="1" si="35"/>
        <v>10925</v>
      </c>
      <c r="H670" s="3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5.2200000000000003E-2</v>
      </c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5" customHeight="1" x14ac:dyDescent="0.3">
      <c r="A671" s="17" t="s">
        <v>644</v>
      </c>
      <c r="B671" s="17">
        <f t="shared" si="36"/>
        <v>7</v>
      </c>
      <c r="C671" s="17">
        <f t="shared" si="26"/>
        <v>7</v>
      </c>
      <c r="D671" s="17"/>
      <c r="E671" s="17">
        <f t="shared" si="34"/>
        <v>65919</v>
      </c>
      <c r="F671" s="17">
        <f t="shared" ca="1" si="1"/>
        <v>2004</v>
      </c>
      <c r="G671" s="17">
        <f t="shared" ca="1" si="35"/>
        <v>10926</v>
      </c>
      <c r="H671" s="3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5.2200000000000003E-2</v>
      </c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5" customHeight="1" x14ac:dyDescent="0.3">
      <c r="A672" s="17" t="s">
        <v>644</v>
      </c>
      <c r="B672" s="17">
        <f t="shared" si="36"/>
        <v>7</v>
      </c>
      <c r="C672" s="17">
        <f t="shared" si="26"/>
        <v>8</v>
      </c>
      <c r="D672" s="17"/>
      <c r="E672" s="17">
        <f t="shared" si="34"/>
        <v>65919</v>
      </c>
      <c r="F672" s="17">
        <f t="shared" ca="1" si="1"/>
        <v>2004</v>
      </c>
      <c r="G672" s="17">
        <f t="shared" ca="1" si="35"/>
        <v>10704</v>
      </c>
      <c r="H672" s="3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5" customHeight="1" x14ac:dyDescent="0.3">
      <c r="A673" s="17" t="s">
        <v>644</v>
      </c>
      <c r="B673" s="17">
        <f t="shared" si="36"/>
        <v>7</v>
      </c>
      <c r="C673" s="17">
        <f t="shared" si="26"/>
        <v>9</v>
      </c>
      <c r="D673" s="17"/>
      <c r="E673" s="17">
        <f t="shared" si="34"/>
        <v>65919</v>
      </c>
      <c r="F673" s="17">
        <f t="shared" ca="1" si="1"/>
        <v>2004</v>
      </c>
      <c r="G673" s="17">
        <f t="shared" ca="1" si="35"/>
        <v>10928</v>
      </c>
      <c r="H673" s="31" t="str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N/A</v>
      </c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5" customHeight="1" x14ac:dyDescent="0.3">
      <c r="A674" s="17" t="s">
        <v>644</v>
      </c>
      <c r="B674" s="17">
        <f t="shared" si="36"/>
        <v>7</v>
      </c>
      <c r="C674" s="17">
        <f t="shared" si="26"/>
        <v>10</v>
      </c>
      <c r="D674" s="17"/>
      <c r="E674" s="17">
        <f t="shared" si="34"/>
        <v>65919</v>
      </c>
      <c r="F674" s="17">
        <f t="shared" ca="1" si="1"/>
        <v>2004</v>
      </c>
      <c r="G674" s="17">
        <f t="shared" ca="1" si="35"/>
        <v>10929</v>
      </c>
      <c r="H674" s="31" t="str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N/A</v>
      </c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5" customHeight="1" x14ac:dyDescent="0.3">
      <c r="A675" s="17" t="s">
        <v>644</v>
      </c>
      <c r="B675" s="17">
        <f t="shared" si="36"/>
        <v>7</v>
      </c>
      <c r="C675" s="17">
        <f t="shared" si="26"/>
        <v>11</v>
      </c>
      <c r="D675" s="17"/>
      <c r="E675" s="17">
        <f t="shared" si="34"/>
        <v>65919</v>
      </c>
      <c r="F675" s="17">
        <f t="shared" ca="1" si="1"/>
        <v>2004</v>
      </c>
      <c r="G675" s="17">
        <f t="shared" ca="1" si="35"/>
        <v>10930</v>
      </c>
      <c r="H675" s="3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5" customHeight="1" x14ac:dyDescent="0.3">
      <c r="A676" s="17" t="s">
        <v>644</v>
      </c>
      <c r="B676" s="17">
        <f t="shared" si="36"/>
        <v>7</v>
      </c>
      <c r="C676" s="17">
        <f t="shared" si="26"/>
        <v>12</v>
      </c>
      <c r="D676" s="17"/>
      <c r="E676" s="17">
        <f t="shared" si="34"/>
        <v>65919</v>
      </c>
      <c r="F676" s="17">
        <f t="shared" ca="1" si="1"/>
        <v>2004</v>
      </c>
      <c r="G676" s="17">
        <f t="shared" ca="1" si="35"/>
        <v>10705</v>
      </c>
      <c r="H676" s="3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1322000</v>
      </c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5" customHeight="1" x14ac:dyDescent="0.3">
      <c r="A677" s="17" t="s">
        <v>644</v>
      </c>
      <c r="B677" s="17">
        <f t="shared" si="36"/>
        <v>7</v>
      </c>
      <c r="C677" s="17">
        <f t="shared" si="26"/>
        <v>13</v>
      </c>
      <c r="D677" s="17"/>
      <c r="E677" s="17">
        <f t="shared" si="34"/>
        <v>65919</v>
      </c>
      <c r="F677" s="17">
        <f t="shared" ca="1" si="1"/>
        <v>2004</v>
      </c>
      <c r="G677" s="17">
        <f t="shared" ca="1" si="35"/>
        <v>10842</v>
      </c>
      <c r="H677" s="3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5" customHeight="1" x14ac:dyDescent="0.3">
      <c r="A678" s="17" t="s">
        <v>644</v>
      </c>
      <c r="B678" s="17">
        <f t="shared" si="36"/>
        <v>7</v>
      </c>
      <c r="C678" s="17">
        <f t="shared" si="26"/>
        <v>14</v>
      </c>
      <c r="D678" s="17"/>
      <c r="E678" s="17">
        <f t="shared" si="34"/>
        <v>65919</v>
      </c>
      <c r="F678" s="17">
        <f t="shared" ca="1" si="1"/>
        <v>2004</v>
      </c>
      <c r="G678" s="17">
        <f t="shared" ca="1" si="35"/>
        <v>10843</v>
      </c>
      <c r="H678" s="3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5" customHeight="1" x14ac:dyDescent="0.3">
      <c r="A679" s="17" t="s">
        <v>644</v>
      </c>
      <c r="B679" s="17">
        <f t="shared" si="36"/>
        <v>7</v>
      </c>
      <c r="C679" s="17">
        <f t="shared" si="26"/>
        <v>15</v>
      </c>
      <c r="D679" s="17"/>
      <c r="E679" s="17">
        <f t="shared" si="34"/>
        <v>65919</v>
      </c>
      <c r="F679" s="17">
        <f t="shared" ca="1" si="1"/>
        <v>2004</v>
      </c>
      <c r="G679" s="17">
        <f t="shared" ca="1" si="35"/>
        <v>10931</v>
      </c>
      <c r="H679" s="3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5" customHeight="1" x14ac:dyDescent="0.3">
      <c r="A680" s="17" t="s">
        <v>644</v>
      </c>
      <c r="B680" s="17">
        <f t="shared" si="36"/>
        <v>7</v>
      </c>
      <c r="C680" s="17">
        <f t="shared" si="26"/>
        <v>16</v>
      </c>
      <c r="D680" s="17"/>
      <c r="E680" s="17">
        <f t="shared" si="34"/>
        <v>65919</v>
      </c>
      <c r="F680" s="17">
        <f t="shared" ca="1" si="1"/>
        <v>2004</v>
      </c>
      <c r="G680" s="17">
        <f t="shared" ca="1" si="35"/>
        <v>10932</v>
      </c>
      <c r="H680" s="3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5" customHeight="1" x14ac:dyDescent="0.3">
      <c r="A681" s="17" t="s">
        <v>644</v>
      </c>
      <c r="B681" s="17">
        <f t="shared" si="36"/>
        <v>7</v>
      </c>
      <c r="C681" s="17">
        <f t="shared" si="26"/>
        <v>17</v>
      </c>
      <c r="D681" s="17"/>
      <c r="E681" s="17">
        <f t="shared" si="34"/>
        <v>65919</v>
      </c>
      <c r="F681" s="17">
        <f t="shared" ca="1" si="1"/>
        <v>2004</v>
      </c>
      <c r="G681" s="17">
        <f t="shared" ca="1" si="35"/>
        <v>10933</v>
      </c>
      <c r="H681" s="3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5.2200000000000003E-2</v>
      </c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5" customHeight="1" x14ac:dyDescent="0.3">
      <c r="A682" s="17" t="s">
        <v>644</v>
      </c>
      <c r="B682" s="17">
        <f t="shared" si="36"/>
        <v>7</v>
      </c>
      <c r="C682" s="17">
        <f t="shared" si="26"/>
        <v>18</v>
      </c>
      <c r="D682" s="17"/>
      <c r="E682" s="17">
        <f t="shared" si="34"/>
        <v>65919</v>
      </c>
      <c r="F682" s="17">
        <f t="shared" ca="1" si="1"/>
        <v>2004</v>
      </c>
      <c r="G682" s="17">
        <f t="shared" ca="1" si="35"/>
        <v>10934</v>
      </c>
      <c r="H682" s="3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5.2200000000000003E-2</v>
      </c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5" customHeight="1" x14ac:dyDescent="0.3">
      <c r="A683" s="17" t="s">
        <v>644</v>
      </c>
      <c r="B683" s="17">
        <f t="shared" si="36"/>
        <v>7</v>
      </c>
      <c r="C683" s="17">
        <f t="shared" si="26"/>
        <v>19</v>
      </c>
      <c r="D683" s="17"/>
      <c r="E683" s="17">
        <f t="shared" si="34"/>
        <v>65919</v>
      </c>
      <c r="F683" s="17">
        <f t="shared" ca="1" si="1"/>
        <v>2004</v>
      </c>
      <c r="G683" s="17">
        <f t="shared" ca="1" si="35"/>
        <v>10935</v>
      </c>
      <c r="H683" s="29" t="str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Single Rate</v>
      </c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5" customHeight="1" x14ac:dyDescent="0.3">
      <c r="A684" s="17" t="s">
        <v>644</v>
      </c>
      <c r="B684" s="17">
        <f t="shared" si="36"/>
        <v>7</v>
      </c>
      <c r="C684" s="17">
        <f t="shared" si="26"/>
        <v>20</v>
      </c>
      <c r="D684" s="17"/>
      <c r="E684" s="17">
        <f t="shared" si="34"/>
        <v>65919</v>
      </c>
      <c r="F684" s="17">
        <f t="shared" ca="1" si="1"/>
        <v>2004</v>
      </c>
      <c r="G684" s="17">
        <f t="shared" ca="1" si="35"/>
        <v>10937</v>
      </c>
      <c r="H684" s="3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5" customHeight="1" x14ac:dyDescent="0.3">
      <c r="A685" s="17" t="s">
        <v>644</v>
      </c>
      <c r="B685" s="17">
        <f t="shared" si="36"/>
        <v>7</v>
      </c>
      <c r="C685" s="17">
        <f t="shared" si="26"/>
        <v>21</v>
      </c>
      <c r="D685" s="17"/>
      <c r="E685" s="17">
        <f t="shared" si="34"/>
        <v>65919</v>
      </c>
      <c r="F685" s="17">
        <f t="shared" ca="1" si="1"/>
        <v>2004</v>
      </c>
      <c r="G685" s="17">
        <f t="shared" ca="1" si="35"/>
        <v>10938</v>
      </c>
      <c r="H685" s="3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5" customHeight="1" x14ac:dyDescent="0.3">
      <c r="A686" s="17" t="s">
        <v>644</v>
      </c>
      <c r="B686" s="17">
        <f t="shared" si="36"/>
        <v>7</v>
      </c>
      <c r="C686" s="17">
        <f t="shared" si="26"/>
        <v>22</v>
      </c>
      <c r="D686" s="17"/>
      <c r="E686" s="17">
        <f t="shared" si="34"/>
        <v>65919</v>
      </c>
      <c r="F686" s="17">
        <f t="shared" ca="1" si="1"/>
        <v>2004</v>
      </c>
      <c r="G686" s="17">
        <f t="shared" ca="1" si="35"/>
        <v>11007</v>
      </c>
      <c r="H686" s="29" t="str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Accrued Benefit Formula= 2% x YOS x AFC (Max= 75% AFC)</v>
      </c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5" customHeight="1" x14ac:dyDescent="0.3">
      <c r="A687" s="17" t="s">
        <v>644</v>
      </c>
      <c r="B687" s="17">
        <f t="shared" si="36"/>
        <v>7</v>
      </c>
      <c r="C687" s="17">
        <f t="shared" si="26"/>
        <v>23</v>
      </c>
      <c r="D687" s="17"/>
      <c r="E687" s="17">
        <f t="shared" si="34"/>
        <v>65919</v>
      </c>
      <c r="F687" s="17">
        <f t="shared" ca="1" si="1"/>
        <v>2004</v>
      </c>
      <c r="G687" s="17">
        <f t="shared" ca="1" si="35"/>
        <v>10941</v>
      </c>
      <c r="H687" s="29" t="str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COLA</v>
      </c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5" customHeight="1" x14ac:dyDescent="0.3">
      <c r="A688" s="17" t="s">
        <v>644</v>
      </c>
      <c r="B688" s="17">
        <f t="shared" si="36"/>
        <v>7</v>
      </c>
      <c r="C688" s="17">
        <f t="shared" si="26"/>
        <v>24</v>
      </c>
      <c r="D688" s="17"/>
      <c r="E688" s="17">
        <f t="shared" si="34"/>
        <v>65919</v>
      </c>
      <c r="F688" s="17">
        <f t="shared" ca="1" si="1"/>
        <v>2004</v>
      </c>
      <c r="G688" s="17">
        <f t="shared" ca="1" si="35"/>
        <v>10942</v>
      </c>
      <c r="H688" s="29" t="str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Percentage</v>
      </c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5" customHeight="1" x14ac:dyDescent="0.3">
      <c r="A689" s="17" t="s">
        <v>644</v>
      </c>
      <c r="B689" s="17">
        <f t="shared" si="36"/>
        <v>7</v>
      </c>
      <c r="C689" s="17">
        <f t="shared" si="26"/>
        <v>25</v>
      </c>
      <c r="D689" s="17"/>
      <c r="E689" s="17">
        <f t="shared" si="34"/>
        <v>65919</v>
      </c>
      <c r="F689" s="17">
        <f t="shared" ca="1" si="1"/>
        <v>2004</v>
      </c>
      <c r="G689" s="17">
        <f t="shared" ca="1" si="35"/>
        <v>10701</v>
      </c>
      <c r="H689" s="3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0.03</v>
      </c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5" customHeight="1" x14ac:dyDescent="0.3">
      <c r="A690" s="17" t="s">
        <v>644</v>
      </c>
      <c r="B690" s="17">
        <f t="shared" si="36"/>
        <v>7</v>
      </c>
      <c r="C690" s="17">
        <f t="shared" si="26"/>
        <v>26</v>
      </c>
      <c r="D690" s="17"/>
      <c r="E690" s="17">
        <f t="shared" si="34"/>
        <v>65919</v>
      </c>
      <c r="F690" s="17">
        <f t="shared" ca="1" si="1"/>
        <v>2004</v>
      </c>
      <c r="G690" s="17">
        <f t="shared" ca="1" si="35"/>
        <v>10702</v>
      </c>
      <c r="H690" s="3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5" customHeight="1" x14ac:dyDescent="0.3">
      <c r="A691" s="17" t="s">
        <v>644</v>
      </c>
      <c r="B691" s="17">
        <f t="shared" si="36"/>
        <v>7</v>
      </c>
      <c r="C691" s="17">
        <f t="shared" si="26"/>
        <v>27</v>
      </c>
      <c r="D691" s="17"/>
      <c r="E691" s="17">
        <f t="shared" si="34"/>
        <v>65919</v>
      </c>
      <c r="F691" s="17">
        <f t="shared" ca="1" si="1"/>
        <v>2004</v>
      </c>
      <c r="G691" s="17">
        <f t="shared" ca="1" si="35"/>
        <v>10943</v>
      </c>
      <c r="H691" s="2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5" customHeight="1" x14ac:dyDescent="0.3">
      <c r="A692" s="17" t="s">
        <v>644</v>
      </c>
      <c r="B692" s="17">
        <f t="shared" si="36"/>
        <v>7</v>
      </c>
      <c r="C692" s="17">
        <f t="shared" si="26"/>
        <v>28</v>
      </c>
      <c r="D692" s="17"/>
      <c r="E692" s="17">
        <f t="shared" si="34"/>
        <v>65919</v>
      </c>
      <c r="F692" s="17">
        <f t="shared" ca="1" si="1"/>
        <v>2004</v>
      </c>
      <c r="G692" s="17">
        <f t="shared" ca="1" si="35"/>
        <v>10944</v>
      </c>
      <c r="H692" s="31" t="str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No</v>
      </c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5" customHeight="1" x14ac:dyDescent="0.3">
      <c r="A693" s="17" t="s">
        <v>644</v>
      </c>
      <c r="B693" s="17">
        <f t="shared" si="36"/>
        <v>7</v>
      </c>
      <c r="C693" s="17">
        <f t="shared" si="26"/>
        <v>29</v>
      </c>
      <c r="D693" s="17"/>
      <c r="E693" s="17">
        <f t="shared" si="34"/>
        <v>65919</v>
      </c>
      <c r="F693" s="17">
        <f t="shared" ca="1" si="1"/>
        <v>2004</v>
      </c>
      <c r="G693" s="17">
        <f t="shared" ca="1" si="35"/>
        <v>10945</v>
      </c>
      <c r="H693" s="31" t="str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No</v>
      </c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5" customHeight="1" x14ac:dyDescent="0.3">
      <c r="A694" s="17" t="s">
        <v>644</v>
      </c>
      <c r="B694" s="17">
        <f t="shared" si="36"/>
        <v>7</v>
      </c>
      <c r="C694" s="17">
        <f t="shared" si="26"/>
        <v>30</v>
      </c>
      <c r="D694" s="17"/>
      <c r="E694" s="17">
        <f t="shared" si="34"/>
        <v>65919</v>
      </c>
      <c r="F694" s="17">
        <f t="shared" ca="1" si="1"/>
        <v>2004</v>
      </c>
      <c r="G694" s="17">
        <f t="shared" ca="1" si="35"/>
        <v>10947</v>
      </c>
      <c r="H694" s="2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5" customHeight="1" x14ac:dyDescent="0.3">
      <c r="A695" s="17" t="s">
        <v>644</v>
      </c>
      <c r="B695" s="17">
        <f t="shared" si="36"/>
        <v>7</v>
      </c>
      <c r="C695" s="17">
        <f t="shared" si="26"/>
        <v>31</v>
      </c>
      <c r="D695" s="17"/>
      <c r="E695" s="17">
        <f t="shared" si="34"/>
        <v>65919</v>
      </c>
      <c r="F695" s="17">
        <f t="shared" ca="1" si="1"/>
        <v>2004</v>
      </c>
      <c r="G695" s="17">
        <f t="shared" ca="1" si="35"/>
        <v>10948</v>
      </c>
      <c r="H695" s="31" t="str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No</v>
      </c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5" customHeight="1" x14ac:dyDescent="0.3">
      <c r="A696" s="17" t="s">
        <v>644</v>
      </c>
      <c r="B696" s="17">
        <f t="shared" si="36"/>
        <v>7</v>
      </c>
      <c r="C696" s="17">
        <f t="shared" si="26"/>
        <v>32</v>
      </c>
      <c r="D696" s="17"/>
      <c r="E696" s="17">
        <f t="shared" si="34"/>
        <v>65919</v>
      </c>
      <c r="F696" s="17">
        <f t="shared" ca="1" si="1"/>
        <v>2004</v>
      </c>
      <c r="G696" s="17">
        <f t="shared" ca="1" si="35"/>
        <v>10949</v>
      </c>
      <c r="H696" s="31" t="str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No</v>
      </c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5" customHeight="1" x14ac:dyDescent="0.3">
      <c r="A697" s="17" t="s">
        <v>644</v>
      </c>
      <c r="B697" s="17">
        <f t="shared" si="36"/>
        <v>7</v>
      </c>
      <c r="C697" s="17">
        <f t="shared" si="26"/>
        <v>33</v>
      </c>
      <c r="D697" s="17"/>
      <c r="E697" s="17">
        <f t="shared" si="34"/>
        <v>65919</v>
      </c>
      <c r="F697" s="17">
        <f t="shared" ca="1" si="1"/>
        <v>2004</v>
      </c>
      <c r="G697" s="17">
        <f t="shared" ca="1" si="35"/>
        <v>10951</v>
      </c>
      <c r="H697" s="31" t="str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No</v>
      </c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5" customHeight="1" x14ac:dyDescent="0.3">
      <c r="A698" s="17" t="s">
        <v>644</v>
      </c>
      <c r="B698" s="17">
        <f t="shared" si="36"/>
        <v>7</v>
      </c>
      <c r="C698" s="17">
        <f t="shared" si="26"/>
        <v>34</v>
      </c>
      <c r="D698" s="17"/>
      <c r="E698" s="17">
        <f t="shared" si="34"/>
        <v>65919</v>
      </c>
      <c r="F698" s="17">
        <f t="shared" ca="1" si="1"/>
        <v>2004</v>
      </c>
      <c r="G698" s="17">
        <f t="shared" ca="1" si="35"/>
        <v>10950</v>
      </c>
      <c r="H698" s="31" t="str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No</v>
      </c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5" customHeight="1" x14ac:dyDescent="0.3">
      <c r="A699" s="17" t="s">
        <v>644</v>
      </c>
      <c r="B699" s="17">
        <f t="shared" si="36"/>
        <v>7</v>
      </c>
      <c r="C699" s="17">
        <f t="shared" si="26"/>
        <v>35</v>
      </c>
      <c r="D699" s="17"/>
      <c r="E699" s="17">
        <f t="shared" si="34"/>
        <v>65919</v>
      </c>
      <c r="F699" s="17">
        <f t="shared" ca="1" si="1"/>
        <v>2004</v>
      </c>
      <c r="G699" s="17">
        <f t="shared" ca="1" si="35"/>
        <v>10954</v>
      </c>
      <c r="H699" s="3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3.5000000000000003E-2</v>
      </c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5" customHeight="1" x14ac:dyDescent="0.3">
      <c r="A700" s="17" t="s">
        <v>644</v>
      </c>
      <c r="B700" s="17">
        <f t="shared" si="36"/>
        <v>7</v>
      </c>
      <c r="C700" s="17">
        <f t="shared" si="26"/>
        <v>36</v>
      </c>
      <c r="D700" s="17"/>
      <c r="E700" s="17">
        <f t="shared" si="34"/>
        <v>65919</v>
      </c>
      <c r="F700" s="17">
        <f t="shared" ca="1" si="1"/>
        <v>2004</v>
      </c>
      <c r="G700" s="17">
        <f t="shared" ca="1" si="35"/>
        <v>10955</v>
      </c>
      <c r="H700" s="3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0.08</v>
      </c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5" customHeight="1" x14ac:dyDescent="0.3">
      <c r="A701" s="17" t="s">
        <v>644</v>
      </c>
      <c r="B701" s="17">
        <f t="shared" si="36"/>
        <v>7</v>
      </c>
      <c r="C701" s="17">
        <f t="shared" si="26"/>
        <v>37</v>
      </c>
      <c r="D701" s="17"/>
      <c r="E701" s="17">
        <f t="shared" si="34"/>
        <v>65919</v>
      </c>
      <c r="F701" s="17">
        <f t="shared" ca="1" si="1"/>
        <v>2004</v>
      </c>
      <c r="G701" s="17">
        <f t="shared" ca="1" si="35"/>
        <v>10956</v>
      </c>
      <c r="H701" s="3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5.6249999999999996E-4</v>
      </c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5" customHeight="1" x14ac:dyDescent="0.3">
      <c r="A702" s="17" t="s">
        <v>644</v>
      </c>
      <c r="B702" s="17">
        <f t="shared" si="36"/>
        <v>7</v>
      </c>
      <c r="C702" s="17">
        <f t="shared" si="26"/>
        <v>38</v>
      </c>
      <c r="D702" s="17"/>
      <c r="E702" s="17">
        <f t="shared" si="34"/>
        <v>65919</v>
      </c>
      <c r="F702" s="17">
        <f t="shared" ca="1" si="1"/>
        <v>2004</v>
      </c>
      <c r="G702" s="17">
        <f t="shared" ca="1" si="35"/>
        <v>10959</v>
      </c>
      <c r="H702" s="3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4.4999999999999998E-2</v>
      </c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5" customHeight="1" x14ac:dyDescent="0.3">
      <c r="A703" s="17" t="s">
        <v>644</v>
      </c>
      <c r="B703" s="17">
        <f t="shared" si="36"/>
        <v>7</v>
      </c>
      <c r="C703" s="17">
        <f t="shared" si="26"/>
        <v>39</v>
      </c>
      <c r="D703" s="17"/>
      <c r="E703" s="17">
        <f t="shared" si="34"/>
        <v>65919</v>
      </c>
      <c r="F703" s="17">
        <f t="shared" ca="1" si="1"/>
        <v>2004</v>
      </c>
      <c r="G703" s="17">
        <f t="shared" ca="1" si="35"/>
        <v>10962</v>
      </c>
      <c r="H703" s="29" t="str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Pg.no.51, 52</v>
      </c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5" customHeight="1" x14ac:dyDescent="0.3">
      <c r="A704" s="17" t="s">
        <v>644</v>
      </c>
      <c r="B704" s="17">
        <f t="shared" si="36"/>
        <v>7</v>
      </c>
      <c r="C704" s="17">
        <f t="shared" si="26"/>
        <v>40</v>
      </c>
      <c r="D704" s="17"/>
      <c r="E704" s="17">
        <f t="shared" si="34"/>
        <v>65919</v>
      </c>
      <c r="F704" s="17">
        <f t="shared" ca="1" si="1"/>
        <v>2004</v>
      </c>
      <c r="G704" s="17">
        <f t="shared" ca="1" si="35"/>
        <v>10964</v>
      </c>
      <c r="H704" s="29" t="str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Pg.no.40</v>
      </c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5" customHeight="1" x14ac:dyDescent="0.3">
      <c r="A705" s="17" t="s">
        <v>644</v>
      </c>
      <c r="B705" s="17">
        <f t="shared" si="36"/>
        <v>7</v>
      </c>
      <c r="C705" s="17">
        <f t="shared" si="26"/>
        <v>41</v>
      </c>
      <c r="D705" s="17"/>
      <c r="E705" s="17">
        <f t="shared" si="34"/>
        <v>65919</v>
      </c>
      <c r="F705" s="17">
        <f t="shared" ca="1" si="1"/>
        <v>2004</v>
      </c>
      <c r="G705" s="17">
        <f t="shared" ca="1" si="35"/>
        <v>10967</v>
      </c>
      <c r="H705" s="29" t="str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RP-2000 Combined healthy table</v>
      </c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5" customHeight="1" x14ac:dyDescent="0.3">
      <c r="A706" s="17" t="s">
        <v>644</v>
      </c>
      <c r="B706" s="17">
        <f t="shared" si="36"/>
        <v>7</v>
      </c>
      <c r="C706" s="17">
        <f t="shared" si="26"/>
        <v>42</v>
      </c>
      <c r="D706" s="17"/>
      <c r="E706" s="17">
        <f t="shared" si="34"/>
        <v>65919</v>
      </c>
      <c r="F706" s="17">
        <f t="shared" ca="1" si="1"/>
        <v>2004</v>
      </c>
      <c r="G706" s="17">
        <f t="shared" ca="1" si="35"/>
        <v>10968</v>
      </c>
      <c r="H706" s="2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2000</v>
      </c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5" customHeight="1" x14ac:dyDescent="0.3">
      <c r="A707" s="17" t="s">
        <v>644</v>
      </c>
      <c r="B707" s="17">
        <f t="shared" si="36"/>
        <v>7</v>
      </c>
      <c r="C707" s="17">
        <f t="shared" si="26"/>
        <v>43</v>
      </c>
      <c r="D707" s="17"/>
      <c r="E707" s="17">
        <f t="shared" si="34"/>
        <v>65919</v>
      </c>
      <c r="F707" s="17">
        <f t="shared" ca="1" si="1"/>
        <v>2004</v>
      </c>
      <c r="G707" s="17">
        <f t="shared" ca="1" si="35"/>
        <v>10969</v>
      </c>
      <c r="H707" s="2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5" customHeight="1" x14ac:dyDescent="0.3">
      <c r="A708" s="17" t="s">
        <v>644</v>
      </c>
      <c r="B708" s="17">
        <f t="shared" si="36"/>
        <v>7</v>
      </c>
      <c r="C708" s="17">
        <f t="shared" si="26"/>
        <v>44</v>
      </c>
      <c r="D708" s="17"/>
      <c r="E708" s="17">
        <f t="shared" ref="E708:E771" si="37">plan_id</f>
        <v>65919</v>
      </c>
      <c r="F708" s="17">
        <f t="shared" ca="1" si="1"/>
        <v>2004</v>
      </c>
      <c r="G708" s="17">
        <f t="shared" ref="G708:G771" ca="1" si="38">VLOOKUP(INDIRECT(CHAR(39)&amp;$A708&amp;CHAR(39)&amp;"!r2c"&amp;$C708,0),variables,2,0)</f>
        <v>10970</v>
      </c>
      <c r="H708" s="2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5" customHeight="1" x14ac:dyDescent="0.3">
      <c r="A709" s="17" t="s">
        <v>644</v>
      </c>
      <c r="B709" s="17">
        <f t="shared" si="36"/>
        <v>7</v>
      </c>
      <c r="C709" s="17">
        <f t="shared" si="26"/>
        <v>45</v>
      </c>
      <c r="D709" s="17"/>
      <c r="E709" s="17">
        <f t="shared" si="37"/>
        <v>65919</v>
      </c>
      <c r="F709" s="17">
        <f t="shared" ca="1" si="1"/>
        <v>2004</v>
      </c>
      <c r="G709" s="17">
        <f t="shared" ca="1" si="38"/>
        <v>10971</v>
      </c>
      <c r="H709" s="2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5" customHeight="1" x14ac:dyDescent="0.3">
      <c r="A710" s="17" t="s">
        <v>644</v>
      </c>
      <c r="B710" s="17">
        <f t="shared" si="36"/>
        <v>7</v>
      </c>
      <c r="C710" s="17">
        <f t="shared" si="26"/>
        <v>46</v>
      </c>
      <c r="D710" s="17"/>
      <c r="E710" s="17">
        <f t="shared" si="37"/>
        <v>65919</v>
      </c>
      <c r="F710" s="17">
        <f t="shared" ca="1" si="1"/>
        <v>2004</v>
      </c>
      <c r="G710" s="17">
        <f t="shared" ca="1" si="38"/>
        <v>10972</v>
      </c>
      <c r="H710" s="29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N/A</v>
      </c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5" customHeight="1" x14ac:dyDescent="0.3">
      <c r="A711" s="17" t="s">
        <v>644</v>
      </c>
      <c r="B711" s="17">
        <f t="shared" si="36"/>
        <v>7</v>
      </c>
      <c r="C711" s="17">
        <f t="shared" si="26"/>
        <v>47</v>
      </c>
      <c r="D711" s="17"/>
      <c r="E711" s="17">
        <f t="shared" si="37"/>
        <v>65919</v>
      </c>
      <c r="F711" s="17">
        <f t="shared" ca="1" si="1"/>
        <v>2004</v>
      </c>
      <c r="G711" s="17">
        <f t="shared" ca="1" si="38"/>
        <v>10973</v>
      </c>
      <c r="H711" s="29" t="str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N/A</v>
      </c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5" customHeight="1" x14ac:dyDescent="0.3">
      <c r="A712" s="17" t="s">
        <v>644</v>
      </c>
      <c r="B712" s="17">
        <f t="shared" si="36"/>
        <v>7</v>
      </c>
      <c r="C712" s="17">
        <f t="shared" si="26"/>
        <v>48</v>
      </c>
      <c r="D712" s="17"/>
      <c r="E712" s="17">
        <f t="shared" si="37"/>
        <v>65919</v>
      </c>
      <c r="F712" s="17">
        <f t="shared" ca="1" si="1"/>
        <v>2004</v>
      </c>
      <c r="G712" s="17">
        <f t="shared" ca="1" si="38"/>
        <v>10975</v>
      </c>
      <c r="H712" s="29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 xml:space="preserve">Aggregate   </v>
      </c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5" customHeight="1" x14ac:dyDescent="0.3">
      <c r="A713" s="17" t="s">
        <v>644</v>
      </c>
      <c r="B713" s="17">
        <f t="shared" si="36"/>
        <v>7</v>
      </c>
      <c r="C713" s="17">
        <f t="shared" si="26"/>
        <v>49</v>
      </c>
      <c r="D713" s="17"/>
      <c r="E713" s="17">
        <f t="shared" si="37"/>
        <v>65919</v>
      </c>
      <c r="F713" s="17">
        <f t="shared" ca="1" si="1"/>
        <v>2004</v>
      </c>
      <c r="G713" s="17">
        <f t="shared" ca="1" si="38"/>
        <v>10976</v>
      </c>
      <c r="H713" s="3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0.08</v>
      </c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5" customHeight="1" x14ac:dyDescent="0.3">
      <c r="A714" s="17" t="s">
        <v>644</v>
      </c>
      <c r="B714" s="17">
        <f t="shared" si="36"/>
        <v>7</v>
      </c>
      <c r="C714" s="17">
        <f t="shared" si="26"/>
        <v>50</v>
      </c>
      <c r="D714" s="17"/>
      <c r="E714" s="17">
        <f t="shared" si="37"/>
        <v>65919</v>
      </c>
      <c r="F714" s="17">
        <f t="shared" ca="1" si="1"/>
        <v>2004</v>
      </c>
      <c r="G714" s="17">
        <f t="shared" ca="1" si="38"/>
        <v>10977</v>
      </c>
      <c r="H714" s="31" t="str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No</v>
      </c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5" customHeight="1" x14ac:dyDescent="0.3">
      <c r="A715" s="17" t="s">
        <v>644</v>
      </c>
      <c r="B715" s="17">
        <f t="shared" si="36"/>
        <v>7</v>
      </c>
      <c r="C715" s="17">
        <f t="shared" si="26"/>
        <v>51</v>
      </c>
      <c r="D715" s="17"/>
      <c r="E715" s="17">
        <f t="shared" si="37"/>
        <v>65919</v>
      </c>
      <c r="F715" s="17">
        <f t="shared" ca="1" si="1"/>
        <v>2004</v>
      </c>
      <c r="G715" s="17">
        <f t="shared" ca="1" si="38"/>
        <v>10978</v>
      </c>
      <c r="H715" s="3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0.08</v>
      </c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5" customHeight="1" x14ac:dyDescent="0.3">
      <c r="A716" s="17" t="s">
        <v>644</v>
      </c>
      <c r="B716" s="17">
        <f t="shared" si="36"/>
        <v>7</v>
      </c>
      <c r="C716" s="17">
        <f t="shared" si="26"/>
        <v>52</v>
      </c>
      <c r="D716" s="17"/>
      <c r="E716" s="17">
        <f t="shared" si="37"/>
        <v>65919</v>
      </c>
      <c r="F716" s="17">
        <f t="shared" ca="1" si="1"/>
        <v>2004</v>
      </c>
      <c r="G716" s="17">
        <f t="shared" ca="1" si="38"/>
        <v>10979</v>
      </c>
      <c r="H716" s="29" t="str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8 Years</v>
      </c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5" customHeight="1" x14ac:dyDescent="0.3">
      <c r="A717" s="17" t="s">
        <v>644</v>
      </c>
      <c r="B717" s="17">
        <f t="shared" si="36"/>
        <v>7</v>
      </c>
      <c r="C717" s="17">
        <f t="shared" si="26"/>
        <v>53</v>
      </c>
      <c r="D717" s="17"/>
      <c r="E717" s="17">
        <f t="shared" si="37"/>
        <v>65919</v>
      </c>
      <c r="F717" s="17">
        <f t="shared" ca="1" si="1"/>
        <v>2004</v>
      </c>
      <c r="G717" s="17">
        <f t="shared" ca="1" si="38"/>
        <v>10980</v>
      </c>
      <c r="H717" s="3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3.2000000000000001E-2</v>
      </c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5" customHeight="1" x14ac:dyDescent="0.3">
      <c r="A718" s="17" t="s">
        <v>644</v>
      </c>
      <c r="B718" s="17">
        <f t="shared" si="36"/>
        <v>7</v>
      </c>
      <c r="C718" s="17">
        <f t="shared" si="26"/>
        <v>54</v>
      </c>
      <c r="D718" s="17"/>
      <c r="E718" s="17">
        <f t="shared" si="37"/>
        <v>65919</v>
      </c>
      <c r="F718" s="17">
        <f t="shared" ca="1" si="1"/>
        <v>2004</v>
      </c>
      <c r="G718" s="17">
        <f t="shared" ca="1" si="38"/>
        <v>10981</v>
      </c>
      <c r="H718" s="3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0.13830000000000001</v>
      </c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5" customHeight="1" x14ac:dyDescent="0.3">
      <c r="A719" s="17" t="s">
        <v>644</v>
      </c>
      <c r="B719" s="17">
        <f t="shared" si="36"/>
        <v>7</v>
      </c>
      <c r="C719" s="17">
        <f t="shared" si="26"/>
        <v>55</v>
      </c>
      <c r="D719" s="17"/>
      <c r="E719" s="17">
        <f t="shared" si="37"/>
        <v>65919</v>
      </c>
      <c r="F719" s="17">
        <f t="shared" ca="1" si="1"/>
        <v>2004</v>
      </c>
      <c r="G719" s="17">
        <f t="shared" ca="1" si="38"/>
        <v>10706</v>
      </c>
      <c r="H719" s="3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5.2249908148576459E-4</v>
      </c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5" customHeight="1" x14ac:dyDescent="0.3">
      <c r="A720" s="17" t="s">
        <v>644</v>
      </c>
      <c r="B720" s="17">
        <f t="shared" si="36"/>
        <v>7</v>
      </c>
      <c r="C720" s="17">
        <f t="shared" si="26"/>
        <v>56</v>
      </c>
      <c r="D720" s="17"/>
      <c r="E720" s="17">
        <f t="shared" si="37"/>
        <v>65919</v>
      </c>
      <c r="F720" s="17">
        <f t="shared" ca="1" si="1"/>
        <v>2004</v>
      </c>
      <c r="G720" s="17">
        <f t="shared" ca="1" si="38"/>
        <v>10983</v>
      </c>
      <c r="H720" s="30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No</v>
      </c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5" customHeight="1" x14ac:dyDescent="0.3">
      <c r="A721" s="17" t="s">
        <v>644</v>
      </c>
      <c r="B721" s="17">
        <f t="shared" si="36"/>
        <v>7</v>
      </c>
      <c r="C721" s="17">
        <f t="shared" si="26"/>
        <v>57</v>
      </c>
      <c r="D721" s="17"/>
      <c r="E721" s="17">
        <f t="shared" si="37"/>
        <v>65919</v>
      </c>
      <c r="F721" s="17">
        <f t="shared" ca="1" si="1"/>
        <v>2004</v>
      </c>
      <c r="G721" s="17">
        <f t="shared" ca="1" si="38"/>
        <v>10989</v>
      </c>
      <c r="H721" s="3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660000000</v>
      </c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5" customHeight="1" x14ac:dyDescent="0.3">
      <c r="A722" s="17" t="s">
        <v>644</v>
      </c>
      <c r="B722" s="17">
        <f t="shared" si="36"/>
        <v>7</v>
      </c>
      <c r="C722" s="17">
        <f t="shared" si="26"/>
        <v>58</v>
      </c>
      <c r="D722" s="17"/>
      <c r="E722" s="17">
        <f t="shared" si="37"/>
        <v>65919</v>
      </c>
      <c r="F722" s="17">
        <f t="shared" ca="1" si="1"/>
        <v>2004</v>
      </c>
      <c r="G722" s="17">
        <f t="shared" ca="1" si="38"/>
        <v>10990</v>
      </c>
      <c r="H722" s="30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560000000</v>
      </c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5" customHeight="1" x14ac:dyDescent="0.3">
      <c r="A723" s="17" t="s">
        <v>644</v>
      </c>
      <c r="B723" s="17">
        <f t="shared" si="36"/>
        <v>7</v>
      </c>
      <c r="C723" s="17">
        <f t="shared" si="26"/>
        <v>59</v>
      </c>
      <c r="D723" s="17"/>
      <c r="E723" s="17">
        <f t="shared" si="37"/>
        <v>65919</v>
      </c>
      <c r="F723" s="17">
        <f t="shared" ca="1" si="1"/>
        <v>2004</v>
      </c>
      <c r="G723" s="17">
        <f t="shared" ca="1" si="38"/>
        <v>10991</v>
      </c>
      <c r="H723" s="3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-100000000</v>
      </c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5" customHeight="1" x14ac:dyDescent="0.3">
      <c r="A724" s="17" t="s">
        <v>644</v>
      </c>
      <c r="B724" s="17">
        <f t="shared" si="36"/>
        <v>7</v>
      </c>
      <c r="C724" s="17">
        <f t="shared" si="26"/>
        <v>60</v>
      </c>
      <c r="D724" s="17"/>
      <c r="E724" s="17">
        <f t="shared" si="37"/>
        <v>65919</v>
      </c>
      <c r="F724" s="17">
        <f t="shared" ca="1" si="1"/>
        <v>2004</v>
      </c>
      <c r="G724" s="17">
        <f t="shared" ca="1" si="38"/>
        <v>10992</v>
      </c>
      <c r="H724" s="3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1.1781999999999999</v>
      </c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5" customHeight="1" x14ac:dyDescent="0.3">
      <c r="A725" s="17" t="s">
        <v>644</v>
      </c>
      <c r="B725" s="17">
        <f t="shared" si="36"/>
        <v>7</v>
      </c>
      <c r="C725" s="17">
        <f t="shared" si="26"/>
        <v>61</v>
      </c>
      <c r="D725" s="17"/>
      <c r="E725" s="17">
        <f t="shared" si="37"/>
        <v>65919</v>
      </c>
      <c r="F725" s="17">
        <f t="shared" ca="1" si="1"/>
        <v>2004</v>
      </c>
      <c r="G725" s="17">
        <f t="shared" ca="1" si="38"/>
        <v>10993</v>
      </c>
      <c r="H725" s="30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62000000</v>
      </c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5" customHeight="1" x14ac:dyDescent="0.3">
      <c r="A726" s="17" t="s">
        <v>644</v>
      </c>
      <c r="B726" s="17">
        <f t="shared" si="36"/>
        <v>7</v>
      </c>
      <c r="C726" s="17">
        <f t="shared" si="26"/>
        <v>62</v>
      </c>
      <c r="D726" s="17"/>
      <c r="E726" s="17">
        <f t="shared" si="37"/>
        <v>65919</v>
      </c>
      <c r="F726" s="17">
        <f t="shared" ca="1" si="1"/>
        <v>2004</v>
      </c>
      <c r="G726" s="17">
        <f t="shared" ca="1" si="38"/>
        <v>10801</v>
      </c>
      <c r="H726" s="30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31000000</v>
      </c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5" customHeight="1" x14ac:dyDescent="0.3">
      <c r="A727" s="17" t="s">
        <v>644</v>
      </c>
      <c r="B727" s="17">
        <f t="shared" si="36"/>
        <v>7</v>
      </c>
      <c r="C727" s="17">
        <f t="shared" si="26"/>
        <v>63</v>
      </c>
      <c r="D727" s="17"/>
      <c r="E727" s="17">
        <f t="shared" si="37"/>
        <v>65919</v>
      </c>
      <c r="F727" s="17">
        <f t="shared" ca="1" si="1"/>
        <v>2004</v>
      </c>
      <c r="G727" s="17">
        <f t="shared" ca="1" si="38"/>
        <v>10802</v>
      </c>
      <c r="H727" s="30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5" customHeight="1" x14ac:dyDescent="0.3">
      <c r="A728" s="17" t="s">
        <v>644</v>
      </c>
      <c r="B728" s="17">
        <f t="shared" si="36"/>
        <v>7</v>
      </c>
      <c r="C728" s="17">
        <f t="shared" si="26"/>
        <v>64</v>
      </c>
      <c r="D728" s="17"/>
      <c r="E728" s="17">
        <f t="shared" si="37"/>
        <v>65919</v>
      </c>
      <c r="F728" s="17">
        <f t="shared" ca="1" si="1"/>
        <v>2004</v>
      </c>
      <c r="G728" s="17">
        <f t="shared" ca="1" si="38"/>
        <v>10803</v>
      </c>
      <c r="H728" s="3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5" customHeight="1" x14ac:dyDescent="0.3">
      <c r="A729" s="17" t="s">
        <v>644</v>
      </c>
      <c r="B729" s="17">
        <f t="shared" si="36"/>
        <v>7</v>
      </c>
      <c r="C729" s="17">
        <f t="shared" si="26"/>
        <v>65</v>
      </c>
      <c r="D729" s="17"/>
      <c r="E729" s="17">
        <f t="shared" si="37"/>
        <v>65919</v>
      </c>
      <c r="F729" s="17">
        <f t="shared" ca="1" si="1"/>
        <v>2004</v>
      </c>
      <c r="G729" s="17">
        <f t="shared" ca="1" si="38"/>
        <v>10804</v>
      </c>
      <c r="H729" s="3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5" customHeight="1" x14ac:dyDescent="0.3">
      <c r="A730" s="17" t="s">
        <v>644</v>
      </c>
      <c r="B730" s="17">
        <f t="shared" si="36"/>
        <v>7</v>
      </c>
      <c r="C730" s="17">
        <f t="shared" si="26"/>
        <v>66</v>
      </c>
      <c r="D730" s="17"/>
      <c r="E730" s="17">
        <f t="shared" si="37"/>
        <v>65919</v>
      </c>
      <c r="F730" s="17">
        <f t="shared" ca="1" si="1"/>
        <v>2004</v>
      </c>
      <c r="G730" s="17">
        <f t="shared" ca="1" si="38"/>
        <v>10805</v>
      </c>
      <c r="H730" s="3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5" customHeight="1" x14ac:dyDescent="0.3">
      <c r="A731" s="17" t="s">
        <v>644</v>
      </c>
      <c r="B731" s="17">
        <f t="shared" si="36"/>
        <v>7</v>
      </c>
      <c r="C731" s="17">
        <f t="shared" si="26"/>
        <v>67</v>
      </c>
      <c r="D731" s="17"/>
      <c r="E731" s="17">
        <f t="shared" si="37"/>
        <v>65919</v>
      </c>
      <c r="F731" s="17">
        <f t="shared" ca="1" si="1"/>
        <v>2004</v>
      </c>
      <c r="G731" s="17">
        <f t="shared" ca="1" si="38"/>
        <v>10806</v>
      </c>
      <c r="H731" s="30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5" customHeight="1" x14ac:dyDescent="0.3">
      <c r="A732" s="17" t="s">
        <v>644</v>
      </c>
      <c r="B732" s="17">
        <f t="shared" ref="B732:B757" si="39">B731</f>
        <v>7</v>
      </c>
      <c r="C732" s="17">
        <f t="shared" si="26"/>
        <v>68</v>
      </c>
      <c r="D732" s="17"/>
      <c r="E732" s="17">
        <f t="shared" si="37"/>
        <v>65919</v>
      </c>
      <c r="F732" s="17">
        <f t="shared" ca="1" si="1"/>
        <v>2004</v>
      </c>
      <c r="G732" s="17">
        <f t="shared" ca="1" si="38"/>
        <v>10807</v>
      </c>
      <c r="H732" s="30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5" customHeight="1" x14ac:dyDescent="0.3">
      <c r="A733" s="17" t="s">
        <v>644</v>
      </c>
      <c r="B733" s="17">
        <f t="shared" si="39"/>
        <v>7</v>
      </c>
      <c r="C733" s="17">
        <f t="shared" si="26"/>
        <v>69</v>
      </c>
      <c r="D733" s="17"/>
      <c r="E733" s="17">
        <f t="shared" si="37"/>
        <v>65919</v>
      </c>
      <c r="F733" s="17">
        <f t="shared" ca="1" si="1"/>
        <v>2004</v>
      </c>
      <c r="G733" s="17">
        <f t="shared" ca="1" si="38"/>
        <v>10808</v>
      </c>
      <c r="H733" s="3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5" customHeight="1" x14ac:dyDescent="0.3">
      <c r="A734" s="17" t="s">
        <v>644</v>
      </c>
      <c r="B734" s="17">
        <f t="shared" si="39"/>
        <v>7</v>
      </c>
      <c r="C734" s="17">
        <f t="shared" si="26"/>
        <v>70</v>
      </c>
      <c r="D734" s="17"/>
      <c r="E734" s="17">
        <f t="shared" si="37"/>
        <v>65919</v>
      </c>
      <c r="F734" s="17">
        <f t="shared" ca="1" si="1"/>
        <v>2004</v>
      </c>
      <c r="G734" s="17">
        <f t="shared" ca="1" si="38"/>
        <v>10809</v>
      </c>
      <c r="H734" s="30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5" customHeight="1" x14ac:dyDescent="0.3">
      <c r="A735" s="17" t="s">
        <v>644</v>
      </c>
      <c r="B735" s="17">
        <f t="shared" si="39"/>
        <v>7</v>
      </c>
      <c r="C735" s="17">
        <f t="shared" si="26"/>
        <v>71</v>
      </c>
      <c r="D735" s="17"/>
      <c r="E735" s="17">
        <f t="shared" si="37"/>
        <v>65919</v>
      </c>
      <c r="F735" s="17">
        <f t="shared" ca="1" si="1"/>
        <v>2004</v>
      </c>
      <c r="G735" s="17">
        <f t="shared" ca="1" si="38"/>
        <v>10810</v>
      </c>
      <c r="H735" s="30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5" customHeight="1" x14ac:dyDescent="0.3">
      <c r="A736" s="17" t="s">
        <v>644</v>
      </c>
      <c r="B736" s="17">
        <f t="shared" si="39"/>
        <v>7</v>
      </c>
      <c r="C736" s="17">
        <f t="shared" si="26"/>
        <v>72</v>
      </c>
      <c r="D736" s="17"/>
      <c r="E736" s="17">
        <f t="shared" si="37"/>
        <v>65919</v>
      </c>
      <c r="F736" s="17">
        <f t="shared" ca="1" si="1"/>
        <v>2004</v>
      </c>
      <c r="G736" s="17">
        <f t="shared" ca="1" si="38"/>
        <v>10811</v>
      </c>
      <c r="H736" s="30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5" customHeight="1" x14ac:dyDescent="0.3">
      <c r="A737" s="17" t="s">
        <v>644</v>
      </c>
      <c r="B737" s="17">
        <f t="shared" si="39"/>
        <v>7</v>
      </c>
      <c r="C737" s="17">
        <f t="shared" si="26"/>
        <v>73</v>
      </c>
      <c r="D737" s="17"/>
      <c r="E737" s="17">
        <f t="shared" si="37"/>
        <v>65919</v>
      </c>
      <c r="F737" s="17">
        <f t="shared" ca="1" si="1"/>
        <v>2004</v>
      </c>
      <c r="G737" s="17">
        <f t="shared" ca="1" si="38"/>
        <v>10812</v>
      </c>
      <c r="H737" s="30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5" customHeight="1" x14ac:dyDescent="0.3">
      <c r="A738" s="17" t="s">
        <v>644</v>
      </c>
      <c r="B738" s="17">
        <f t="shared" si="39"/>
        <v>7</v>
      </c>
      <c r="C738" s="17">
        <f t="shared" si="26"/>
        <v>74</v>
      </c>
      <c r="D738" s="17"/>
      <c r="E738" s="17">
        <f t="shared" si="37"/>
        <v>65919</v>
      </c>
      <c r="F738" s="17">
        <f t="shared" ca="1" si="1"/>
        <v>2004</v>
      </c>
      <c r="G738" s="17">
        <f t="shared" ca="1" si="38"/>
        <v>10813</v>
      </c>
      <c r="H738" s="3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5" customHeight="1" x14ac:dyDescent="0.3">
      <c r="A739" s="17" t="s">
        <v>644</v>
      </c>
      <c r="B739" s="17">
        <f t="shared" si="39"/>
        <v>7</v>
      </c>
      <c r="C739" s="17">
        <f t="shared" si="26"/>
        <v>75</v>
      </c>
      <c r="D739" s="17"/>
      <c r="E739" s="17">
        <f t="shared" si="37"/>
        <v>65919</v>
      </c>
      <c r="F739" s="17">
        <f t="shared" ca="1" si="1"/>
        <v>2004</v>
      </c>
      <c r="G739" s="17">
        <f t="shared" ca="1" si="38"/>
        <v>10814</v>
      </c>
      <c r="H739" s="3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5" customHeight="1" x14ac:dyDescent="0.3">
      <c r="A740" s="17" t="s">
        <v>644</v>
      </c>
      <c r="B740" s="17">
        <f t="shared" si="39"/>
        <v>7</v>
      </c>
      <c r="C740" s="17">
        <f t="shared" si="26"/>
        <v>76</v>
      </c>
      <c r="D740" s="17"/>
      <c r="E740" s="17">
        <f t="shared" si="37"/>
        <v>65919</v>
      </c>
      <c r="F740" s="17">
        <f t="shared" ca="1" si="1"/>
        <v>2004</v>
      </c>
      <c r="G740" s="17">
        <f t="shared" ca="1" si="38"/>
        <v>10815</v>
      </c>
      <c r="H740" s="3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600000</v>
      </c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5" customHeight="1" x14ac:dyDescent="0.3">
      <c r="A741" s="17" t="s">
        <v>644</v>
      </c>
      <c r="B741" s="17">
        <f t="shared" si="39"/>
        <v>7</v>
      </c>
      <c r="C741" s="17">
        <f t="shared" si="26"/>
        <v>77</v>
      </c>
      <c r="D741" s="17"/>
      <c r="E741" s="17">
        <f t="shared" si="37"/>
        <v>65919</v>
      </c>
      <c r="F741" s="17">
        <f t="shared" ca="1" si="1"/>
        <v>2004</v>
      </c>
      <c r="G741" s="17">
        <f t="shared" ca="1" si="38"/>
        <v>10816</v>
      </c>
      <c r="H741" s="30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-23800000</v>
      </c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5" customHeight="1" x14ac:dyDescent="0.3">
      <c r="A742" s="17" t="s">
        <v>644</v>
      </c>
      <c r="B742" s="17">
        <f t="shared" si="39"/>
        <v>7</v>
      </c>
      <c r="C742" s="17">
        <f t="shared" si="26"/>
        <v>78</v>
      </c>
      <c r="D742" s="17"/>
      <c r="E742" s="17">
        <f t="shared" si="37"/>
        <v>65919</v>
      </c>
      <c r="F742" s="17">
        <f t="shared" ca="1" si="1"/>
        <v>2004</v>
      </c>
      <c r="G742" s="17">
        <f t="shared" ca="1" si="38"/>
        <v>10817</v>
      </c>
      <c r="H742" s="30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5" customHeight="1" x14ac:dyDescent="0.3">
      <c r="A743" s="17" t="s">
        <v>644</v>
      </c>
      <c r="B743" s="17">
        <f t="shared" si="39"/>
        <v>7</v>
      </c>
      <c r="C743" s="17">
        <f t="shared" si="26"/>
        <v>79</v>
      </c>
      <c r="D743" s="17"/>
      <c r="E743" s="17">
        <f t="shared" si="37"/>
        <v>65919</v>
      </c>
      <c r="F743" s="17">
        <f t="shared" ca="1" si="1"/>
        <v>2004</v>
      </c>
      <c r="G743" s="17">
        <f t="shared" ca="1" si="38"/>
        <v>10818</v>
      </c>
      <c r="H743" s="30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5" customHeight="1" x14ac:dyDescent="0.3">
      <c r="A744" s="17" t="s">
        <v>644</v>
      </c>
      <c r="B744" s="17">
        <f t="shared" si="39"/>
        <v>7</v>
      </c>
      <c r="C744" s="17">
        <f t="shared" si="26"/>
        <v>80</v>
      </c>
      <c r="D744" s="17"/>
      <c r="E744" s="17">
        <f t="shared" si="37"/>
        <v>65919</v>
      </c>
      <c r="F744" s="17">
        <f t="shared" ca="1" si="1"/>
        <v>2004</v>
      </c>
      <c r="G744" s="17">
        <f t="shared" ca="1" si="38"/>
        <v>10819</v>
      </c>
      <c r="H744" s="30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700000</v>
      </c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5" customHeight="1" x14ac:dyDescent="0.3">
      <c r="A745" s="17" t="s">
        <v>644</v>
      </c>
      <c r="B745" s="17">
        <f t="shared" si="39"/>
        <v>7</v>
      </c>
      <c r="C745" s="17">
        <f t="shared" si="26"/>
        <v>81</v>
      </c>
      <c r="D745" s="17"/>
      <c r="E745" s="17">
        <f t="shared" si="37"/>
        <v>65919</v>
      </c>
      <c r="F745" s="17">
        <f t="shared" ca="1" si="1"/>
        <v>2004</v>
      </c>
      <c r="G745" s="17">
        <f t="shared" ca="1" si="38"/>
        <v>10820</v>
      </c>
      <c r="H745" s="3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5" customHeight="1" x14ac:dyDescent="0.3">
      <c r="A746" s="17" t="s">
        <v>644</v>
      </c>
      <c r="B746" s="17">
        <f t="shared" si="39"/>
        <v>7</v>
      </c>
      <c r="C746" s="17">
        <f t="shared" si="26"/>
        <v>82</v>
      </c>
      <c r="D746" s="17"/>
      <c r="E746" s="17">
        <f t="shared" si="37"/>
        <v>65919</v>
      </c>
      <c r="F746" s="17">
        <f t="shared" ca="1" si="1"/>
        <v>2004</v>
      </c>
      <c r="G746" s="17">
        <f t="shared" ca="1" si="38"/>
        <v>10821</v>
      </c>
      <c r="H746" s="3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5" customHeight="1" x14ac:dyDescent="0.3">
      <c r="A747" s="17" t="s">
        <v>644</v>
      </c>
      <c r="B747" s="17">
        <f t="shared" si="39"/>
        <v>7</v>
      </c>
      <c r="C747" s="17">
        <f t="shared" si="26"/>
        <v>83</v>
      </c>
      <c r="D747" s="17"/>
      <c r="E747" s="17">
        <f t="shared" si="37"/>
        <v>65919</v>
      </c>
      <c r="F747" s="17">
        <f t="shared" ca="1" si="1"/>
        <v>2004</v>
      </c>
      <c r="G747" s="17">
        <f t="shared" ca="1" si="38"/>
        <v>10822</v>
      </c>
      <c r="H747" s="3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5" customHeight="1" x14ac:dyDescent="0.3">
      <c r="A748" s="17" t="s">
        <v>644</v>
      </c>
      <c r="B748" s="17">
        <f t="shared" si="39"/>
        <v>7</v>
      </c>
      <c r="C748" s="17">
        <f t="shared" si="26"/>
        <v>84</v>
      </c>
      <c r="D748" s="17"/>
      <c r="E748" s="17">
        <f t="shared" si="37"/>
        <v>65919</v>
      </c>
      <c r="F748" s="17">
        <f t="shared" ca="1" si="1"/>
        <v>2004</v>
      </c>
      <c r="G748" s="17">
        <f t="shared" ca="1" si="38"/>
        <v>10829</v>
      </c>
      <c r="H748" s="3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5" customHeight="1" x14ac:dyDescent="0.3">
      <c r="A749" s="17" t="s">
        <v>644</v>
      </c>
      <c r="B749" s="17">
        <f t="shared" si="39"/>
        <v>7</v>
      </c>
      <c r="C749" s="17">
        <f t="shared" si="26"/>
        <v>85</v>
      </c>
      <c r="D749" s="17"/>
      <c r="E749" s="17">
        <f t="shared" si="37"/>
        <v>65919</v>
      </c>
      <c r="F749" s="17">
        <f t="shared" ca="1" si="1"/>
        <v>2004</v>
      </c>
      <c r="G749" s="17">
        <f t="shared" ca="1" si="38"/>
        <v>10823</v>
      </c>
      <c r="H749" s="30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8500000</v>
      </c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5" customHeight="1" x14ac:dyDescent="0.3">
      <c r="A750" s="17" t="s">
        <v>644</v>
      </c>
      <c r="B750" s="17">
        <f t="shared" si="39"/>
        <v>7</v>
      </c>
      <c r="C750" s="17">
        <f t="shared" si="26"/>
        <v>86</v>
      </c>
      <c r="D750" s="17"/>
      <c r="E750" s="17">
        <f t="shared" si="37"/>
        <v>65919</v>
      </c>
      <c r="F750" s="17">
        <f t="shared" ca="1" si="1"/>
        <v>2004</v>
      </c>
      <c r="G750" s="17">
        <f t="shared" ca="1" si="38"/>
        <v>10798</v>
      </c>
      <c r="H750" s="30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5" customHeight="1" x14ac:dyDescent="0.3">
      <c r="A751" s="17" t="s">
        <v>644</v>
      </c>
      <c r="B751" s="17">
        <f t="shared" si="39"/>
        <v>7</v>
      </c>
      <c r="C751" s="17">
        <f t="shared" si="26"/>
        <v>87</v>
      </c>
      <c r="D751" s="17"/>
      <c r="E751" s="17">
        <f t="shared" si="37"/>
        <v>65919</v>
      </c>
      <c r="F751" s="17">
        <f t="shared" ca="1" si="1"/>
        <v>2004</v>
      </c>
      <c r="G751" s="17">
        <f t="shared" ca="1" si="38"/>
        <v>10799</v>
      </c>
      <c r="H751" s="30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5" customHeight="1" x14ac:dyDescent="0.3">
      <c r="A752" s="17" t="s">
        <v>644</v>
      </c>
      <c r="B752" s="17">
        <f t="shared" si="39"/>
        <v>7</v>
      </c>
      <c r="C752" s="17">
        <f t="shared" si="26"/>
        <v>88</v>
      </c>
      <c r="D752" s="17"/>
      <c r="E752" s="17">
        <f t="shared" si="37"/>
        <v>65919</v>
      </c>
      <c r="F752" s="17">
        <f t="shared" ca="1" si="1"/>
        <v>2004</v>
      </c>
      <c r="G752" s="17">
        <f t="shared" ca="1" si="38"/>
        <v>10800</v>
      </c>
      <c r="H752" s="3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5" customHeight="1" x14ac:dyDescent="0.3">
      <c r="A753" s="17" t="s">
        <v>644</v>
      </c>
      <c r="B753" s="17">
        <f t="shared" si="39"/>
        <v>7</v>
      </c>
      <c r="C753" s="17">
        <f t="shared" si="26"/>
        <v>89</v>
      </c>
      <c r="D753" s="17"/>
      <c r="E753" s="17">
        <f t="shared" si="37"/>
        <v>65919</v>
      </c>
      <c r="F753" s="17">
        <f t="shared" ca="1" si="1"/>
        <v>2004</v>
      </c>
      <c r="G753" s="17">
        <f t="shared" ca="1" si="38"/>
        <v>10824</v>
      </c>
      <c r="H753" s="30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5" customHeight="1" x14ac:dyDescent="0.3">
      <c r="A754" s="17" t="s">
        <v>644</v>
      </c>
      <c r="B754" s="17">
        <f t="shared" si="39"/>
        <v>7</v>
      </c>
      <c r="C754" s="17">
        <f t="shared" si="26"/>
        <v>90</v>
      </c>
      <c r="D754" s="17"/>
      <c r="E754" s="17">
        <f t="shared" si="37"/>
        <v>65919</v>
      </c>
      <c r="F754" s="17">
        <f t="shared" ca="1" si="1"/>
        <v>2004</v>
      </c>
      <c r="G754" s="17">
        <f t="shared" ca="1" si="38"/>
        <v>10825</v>
      </c>
      <c r="H754" s="3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5" customHeight="1" x14ac:dyDescent="0.3">
      <c r="A755" s="17" t="s">
        <v>644</v>
      </c>
      <c r="B755" s="17">
        <f t="shared" si="39"/>
        <v>7</v>
      </c>
      <c r="C755" s="17">
        <f t="shared" si="26"/>
        <v>91</v>
      </c>
      <c r="D755" s="17"/>
      <c r="E755" s="17">
        <f t="shared" si="37"/>
        <v>65919</v>
      </c>
      <c r="F755" s="17">
        <f t="shared" ca="1" si="1"/>
        <v>2004</v>
      </c>
      <c r="G755" s="17">
        <f t="shared" ca="1" si="38"/>
        <v>10826</v>
      </c>
      <c r="H755" s="3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5" customHeight="1" x14ac:dyDescent="0.3">
      <c r="A756" s="17" t="s">
        <v>644</v>
      </c>
      <c r="B756" s="17">
        <f t="shared" si="39"/>
        <v>7</v>
      </c>
      <c r="C756" s="17">
        <f t="shared" si="26"/>
        <v>92</v>
      </c>
      <c r="D756" s="17"/>
      <c r="E756" s="17">
        <f t="shared" si="37"/>
        <v>65919</v>
      </c>
      <c r="F756" s="17">
        <f t="shared" ca="1" si="1"/>
        <v>2004</v>
      </c>
      <c r="G756" s="17">
        <f t="shared" ca="1" si="38"/>
        <v>10828</v>
      </c>
      <c r="H756" s="3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5" customHeight="1" x14ac:dyDescent="0.3">
      <c r="A757" s="17" t="s">
        <v>644</v>
      </c>
      <c r="B757" s="17">
        <f t="shared" si="39"/>
        <v>7</v>
      </c>
      <c r="C757" s="17">
        <f t="shared" si="26"/>
        <v>93</v>
      </c>
      <c r="D757" s="17"/>
      <c r="E757" s="17">
        <f t="shared" si="37"/>
        <v>65919</v>
      </c>
      <c r="F757" s="17">
        <f t="shared" ca="1" si="1"/>
        <v>2004</v>
      </c>
      <c r="G757" s="17">
        <f t="shared" ca="1" si="38"/>
        <v>10827</v>
      </c>
      <c r="H757" s="2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5" customHeight="1" x14ac:dyDescent="0.3">
      <c r="A758" s="17" t="s">
        <v>644</v>
      </c>
      <c r="B758" s="17">
        <f t="shared" ref="B758:B822" si="40">B693+1</f>
        <v>8</v>
      </c>
      <c r="C758" s="17">
        <f t="shared" si="26"/>
        <v>3</v>
      </c>
      <c r="D758" s="17"/>
      <c r="E758" s="17">
        <f t="shared" si="37"/>
        <v>65919</v>
      </c>
      <c r="F758" s="17">
        <f t="shared" ca="1" si="1"/>
        <v>2005</v>
      </c>
      <c r="G758" s="17">
        <f t="shared" ca="1" si="38"/>
        <v>10703</v>
      </c>
      <c r="H758" s="2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2005</v>
      </c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5" customHeight="1" x14ac:dyDescent="0.3">
      <c r="A759" s="17" t="s">
        <v>644</v>
      </c>
      <c r="B759" s="17">
        <f t="shared" si="40"/>
        <v>8</v>
      </c>
      <c r="C759" s="17">
        <f t="shared" si="26"/>
        <v>4</v>
      </c>
      <c r="D759" s="17"/>
      <c r="E759" s="17">
        <f t="shared" si="37"/>
        <v>65919</v>
      </c>
      <c r="F759" s="17">
        <f t="shared" ca="1" si="1"/>
        <v>2005</v>
      </c>
      <c r="G759" s="17">
        <f t="shared" ca="1" si="38"/>
        <v>10845</v>
      </c>
      <c r="H759" s="29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The Office Of The State Actuary</v>
      </c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5" customHeight="1" x14ac:dyDescent="0.3">
      <c r="A760" s="17" t="s">
        <v>644</v>
      </c>
      <c r="B760" s="17">
        <f t="shared" si="40"/>
        <v>8</v>
      </c>
      <c r="C760" s="17">
        <f t="shared" si="26"/>
        <v>5</v>
      </c>
      <c r="D760" s="17"/>
      <c r="E760" s="17">
        <f t="shared" si="37"/>
        <v>65919</v>
      </c>
      <c r="F760" s="17">
        <f t="shared" ca="1" si="1"/>
        <v>2005</v>
      </c>
      <c r="G760" s="17">
        <f t="shared" ca="1" si="38"/>
        <v>10924</v>
      </c>
      <c r="H760" s="3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0.14450000000000002</v>
      </c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5" customHeight="1" x14ac:dyDescent="0.3">
      <c r="A761" s="17" t="s">
        <v>644</v>
      </c>
      <c r="B761" s="17">
        <f t="shared" si="40"/>
        <v>8</v>
      </c>
      <c r="C761" s="17">
        <f t="shared" si="26"/>
        <v>6</v>
      </c>
      <c r="D761" s="17"/>
      <c r="E761" s="17">
        <f t="shared" si="37"/>
        <v>65919</v>
      </c>
      <c r="F761" s="17">
        <f t="shared" ca="1" si="1"/>
        <v>2005</v>
      </c>
      <c r="G761" s="17">
        <f t="shared" ca="1" si="38"/>
        <v>10925</v>
      </c>
      <c r="H761" s="3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7.7499999999999999E-2</v>
      </c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5" customHeight="1" x14ac:dyDescent="0.3">
      <c r="A762" s="17" t="s">
        <v>644</v>
      </c>
      <c r="B762" s="17">
        <f t="shared" si="40"/>
        <v>8</v>
      </c>
      <c r="C762" s="17">
        <f t="shared" si="26"/>
        <v>7</v>
      </c>
      <c r="D762" s="17"/>
      <c r="E762" s="17">
        <f t="shared" si="37"/>
        <v>65919</v>
      </c>
      <c r="F762" s="17">
        <f t="shared" ca="1" si="1"/>
        <v>2005</v>
      </c>
      <c r="G762" s="17">
        <f t="shared" ca="1" si="38"/>
        <v>10926</v>
      </c>
      <c r="H762" s="3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6.7000000000000004E-2</v>
      </c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5" customHeight="1" x14ac:dyDescent="0.3">
      <c r="A763" s="17" t="s">
        <v>644</v>
      </c>
      <c r="B763" s="17">
        <f t="shared" si="40"/>
        <v>8</v>
      </c>
      <c r="C763" s="17">
        <f t="shared" si="26"/>
        <v>8</v>
      </c>
      <c r="D763" s="17"/>
      <c r="E763" s="17">
        <f t="shared" si="37"/>
        <v>65919</v>
      </c>
      <c r="F763" s="17">
        <f t="shared" ca="1" si="1"/>
        <v>2005</v>
      </c>
      <c r="G763" s="17">
        <f t="shared" ca="1" si="38"/>
        <v>10704</v>
      </c>
      <c r="H763" s="3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5" customHeight="1" x14ac:dyDescent="0.3">
      <c r="A764" s="17" t="s">
        <v>644</v>
      </c>
      <c r="B764" s="17">
        <f t="shared" si="40"/>
        <v>8</v>
      </c>
      <c r="C764" s="17">
        <f t="shared" si="26"/>
        <v>9</v>
      </c>
      <c r="D764" s="17"/>
      <c r="E764" s="17">
        <f t="shared" si="37"/>
        <v>65919</v>
      </c>
      <c r="F764" s="17">
        <f t="shared" ca="1" si="1"/>
        <v>2005</v>
      </c>
      <c r="G764" s="17">
        <f t="shared" ca="1" si="38"/>
        <v>10928</v>
      </c>
      <c r="H764" s="31" t="str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N/A</v>
      </c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5" customHeight="1" x14ac:dyDescent="0.3">
      <c r="A765" s="17" t="s">
        <v>644</v>
      </c>
      <c r="B765" s="17">
        <f t="shared" si="40"/>
        <v>8</v>
      </c>
      <c r="C765" s="17">
        <f t="shared" si="26"/>
        <v>10</v>
      </c>
      <c r="D765" s="17"/>
      <c r="E765" s="17">
        <f t="shared" si="37"/>
        <v>65919</v>
      </c>
      <c r="F765" s="17">
        <f t="shared" ca="1" si="1"/>
        <v>2005</v>
      </c>
      <c r="G765" s="17">
        <f t="shared" ca="1" si="38"/>
        <v>10929</v>
      </c>
      <c r="H765" s="31" t="str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N/A</v>
      </c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5" customHeight="1" x14ac:dyDescent="0.3">
      <c r="A766" s="17" t="s">
        <v>644</v>
      </c>
      <c r="B766" s="17">
        <f t="shared" si="40"/>
        <v>8</v>
      </c>
      <c r="C766" s="17">
        <f t="shared" si="26"/>
        <v>11</v>
      </c>
      <c r="D766" s="17"/>
      <c r="E766" s="17">
        <f t="shared" si="37"/>
        <v>65919</v>
      </c>
      <c r="F766" s="17">
        <f t="shared" ca="1" si="1"/>
        <v>2005</v>
      </c>
      <c r="G766" s="17">
        <f t="shared" ca="1" si="38"/>
        <v>10930</v>
      </c>
      <c r="H766" s="3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5" customHeight="1" x14ac:dyDescent="0.3">
      <c r="A767" s="17" t="s">
        <v>644</v>
      </c>
      <c r="B767" s="17">
        <f t="shared" si="40"/>
        <v>8</v>
      </c>
      <c r="C767" s="17">
        <f t="shared" si="26"/>
        <v>12</v>
      </c>
      <c r="D767" s="17"/>
      <c r="E767" s="17">
        <f t="shared" si="37"/>
        <v>65919</v>
      </c>
      <c r="F767" s="17">
        <f t="shared" ca="1" si="1"/>
        <v>2005</v>
      </c>
      <c r="G767" s="17">
        <f t="shared" ca="1" si="38"/>
        <v>10705</v>
      </c>
      <c r="H767" s="3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1316000</v>
      </c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5" customHeight="1" x14ac:dyDescent="0.3">
      <c r="A768" s="17" t="s">
        <v>644</v>
      </c>
      <c r="B768" s="17">
        <f t="shared" si="40"/>
        <v>8</v>
      </c>
      <c r="C768" s="17">
        <f t="shared" si="26"/>
        <v>13</v>
      </c>
      <c r="D768" s="17"/>
      <c r="E768" s="17">
        <f t="shared" si="37"/>
        <v>65919</v>
      </c>
      <c r="F768" s="17">
        <f t="shared" ca="1" si="1"/>
        <v>2005</v>
      </c>
      <c r="G768" s="17">
        <f t="shared" ca="1" si="38"/>
        <v>10842</v>
      </c>
      <c r="H768" s="3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5" customHeight="1" x14ac:dyDescent="0.3">
      <c r="A769" s="17" t="s">
        <v>644</v>
      </c>
      <c r="B769" s="17">
        <f t="shared" si="40"/>
        <v>8</v>
      </c>
      <c r="C769" s="17">
        <f t="shared" si="26"/>
        <v>14</v>
      </c>
      <c r="D769" s="17"/>
      <c r="E769" s="17">
        <f t="shared" si="37"/>
        <v>65919</v>
      </c>
      <c r="F769" s="17">
        <f t="shared" ca="1" si="1"/>
        <v>2005</v>
      </c>
      <c r="G769" s="17">
        <f t="shared" ca="1" si="38"/>
        <v>10843</v>
      </c>
      <c r="H769" s="3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5" customHeight="1" x14ac:dyDescent="0.3">
      <c r="A770" s="17" t="s">
        <v>644</v>
      </c>
      <c r="B770" s="17">
        <f t="shared" si="40"/>
        <v>8</v>
      </c>
      <c r="C770" s="17">
        <f t="shared" si="26"/>
        <v>15</v>
      </c>
      <c r="D770" s="17"/>
      <c r="E770" s="17">
        <f t="shared" si="37"/>
        <v>65919</v>
      </c>
      <c r="F770" s="17">
        <f t="shared" ca="1" si="1"/>
        <v>2005</v>
      </c>
      <c r="G770" s="17">
        <f t="shared" ca="1" si="38"/>
        <v>10931</v>
      </c>
      <c r="H770" s="3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5" customHeight="1" x14ac:dyDescent="0.3">
      <c r="A771" s="17" t="s">
        <v>644</v>
      </c>
      <c r="B771" s="17">
        <f t="shared" si="40"/>
        <v>8</v>
      </c>
      <c r="C771" s="17">
        <f t="shared" si="26"/>
        <v>16</v>
      </c>
      <c r="D771" s="17"/>
      <c r="E771" s="17">
        <f t="shared" si="37"/>
        <v>65919</v>
      </c>
      <c r="F771" s="17">
        <f t="shared" ca="1" si="1"/>
        <v>2005</v>
      </c>
      <c r="G771" s="17">
        <f t="shared" ca="1" si="38"/>
        <v>10932</v>
      </c>
      <c r="H771" s="3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5" customHeight="1" x14ac:dyDescent="0.3">
      <c r="A772" s="17" t="s">
        <v>644</v>
      </c>
      <c r="B772" s="17">
        <f t="shared" si="40"/>
        <v>8</v>
      </c>
      <c r="C772" s="17">
        <f t="shared" si="26"/>
        <v>17</v>
      </c>
      <c r="D772" s="17"/>
      <c r="E772" s="17">
        <f t="shared" ref="E772:E835" si="41">plan_id</f>
        <v>65919</v>
      </c>
      <c r="F772" s="17">
        <f t="shared" ca="1" si="1"/>
        <v>2005</v>
      </c>
      <c r="G772" s="17">
        <f t="shared" ref="G772:G835" ca="1" si="42">VLOOKUP(INDIRECT(CHAR(39)&amp;$A772&amp;CHAR(39)&amp;"!r2c"&amp;$C772,0),variables,2,0)</f>
        <v>10933</v>
      </c>
      <c r="H772" s="3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7.7499999999999999E-2</v>
      </c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5" customHeight="1" x14ac:dyDescent="0.3">
      <c r="A773" s="17" t="s">
        <v>644</v>
      </c>
      <c r="B773" s="17">
        <f t="shared" si="40"/>
        <v>8</v>
      </c>
      <c r="C773" s="17">
        <f t="shared" si="26"/>
        <v>18</v>
      </c>
      <c r="D773" s="17"/>
      <c r="E773" s="17">
        <f t="shared" si="41"/>
        <v>65919</v>
      </c>
      <c r="F773" s="17">
        <f t="shared" ca="1" si="1"/>
        <v>2005</v>
      </c>
      <c r="G773" s="17">
        <f t="shared" ca="1" si="42"/>
        <v>10934</v>
      </c>
      <c r="H773" s="3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6.7000000000000004E-2</v>
      </c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5" customHeight="1" x14ac:dyDescent="0.3">
      <c r="A774" s="17" t="s">
        <v>644</v>
      </c>
      <c r="B774" s="17">
        <f t="shared" si="40"/>
        <v>8</v>
      </c>
      <c r="C774" s="17">
        <f t="shared" si="26"/>
        <v>19</v>
      </c>
      <c r="D774" s="17"/>
      <c r="E774" s="17">
        <f t="shared" si="41"/>
        <v>65919</v>
      </c>
      <c r="F774" s="17">
        <f t="shared" ca="1" si="1"/>
        <v>2005</v>
      </c>
      <c r="G774" s="17">
        <f t="shared" ca="1" si="42"/>
        <v>10935</v>
      </c>
      <c r="H774" s="29" t="str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Single Rate</v>
      </c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5" customHeight="1" x14ac:dyDescent="0.3">
      <c r="A775" s="17" t="s">
        <v>644</v>
      </c>
      <c r="B775" s="17">
        <f t="shared" si="40"/>
        <v>8</v>
      </c>
      <c r="C775" s="17">
        <f t="shared" si="26"/>
        <v>20</v>
      </c>
      <c r="D775" s="17"/>
      <c r="E775" s="17">
        <f t="shared" si="41"/>
        <v>65919</v>
      </c>
      <c r="F775" s="17">
        <f t="shared" ca="1" si="1"/>
        <v>2005</v>
      </c>
      <c r="G775" s="17">
        <f t="shared" ca="1" si="42"/>
        <v>10937</v>
      </c>
      <c r="H775" s="3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5" customHeight="1" x14ac:dyDescent="0.3">
      <c r="A776" s="17" t="s">
        <v>644</v>
      </c>
      <c r="B776" s="17">
        <f t="shared" si="40"/>
        <v>8</v>
      </c>
      <c r="C776" s="17">
        <f t="shared" si="26"/>
        <v>21</v>
      </c>
      <c r="D776" s="17"/>
      <c r="E776" s="17">
        <f t="shared" si="41"/>
        <v>65919</v>
      </c>
      <c r="F776" s="17">
        <f t="shared" ca="1" si="1"/>
        <v>2005</v>
      </c>
      <c r="G776" s="17">
        <f t="shared" ca="1" si="42"/>
        <v>10938</v>
      </c>
      <c r="H776" s="3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5" customHeight="1" x14ac:dyDescent="0.3">
      <c r="A777" s="17" t="s">
        <v>644</v>
      </c>
      <c r="B777" s="17">
        <f t="shared" si="40"/>
        <v>8</v>
      </c>
      <c r="C777" s="17">
        <f t="shared" si="26"/>
        <v>22</v>
      </c>
      <c r="D777" s="17"/>
      <c r="E777" s="17">
        <f t="shared" si="41"/>
        <v>65919</v>
      </c>
      <c r="F777" s="17">
        <f t="shared" ca="1" si="1"/>
        <v>2005</v>
      </c>
      <c r="G777" s="17">
        <f t="shared" ca="1" si="42"/>
        <v>11007</v>
      </c>
      <c r="H777" s="29" t="str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Accrued Benefit Formula= 2% x YOS x AFC (Max= 75% AFC)</v>
      </c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5" customHeight="1" x14ac:dyDescent="0.3">
      <c r="A778" s="17" t="s">
        <v>644</v>
      </c>
      <c r="B778" s="17">
        <f t="shared" si="40"/>
        <v>8</v>
      </c>
      <c r="C778" s="17">
        <f t="shared" si="26"/>
        <v>23</v>
      </c>
      <c r="D778" s="17"/>
      <c r="E778" s="17">
        <f t="shared" si="41"/>
        <v>65919</v>
      </c>
      <c r="F778" s="17">
        <f t="shared" ca="1" si="1"/>
        <v>2005</v>
      </c>
      <c r="G778" s="17">
        <f t="shared" ca="1" si="42"/>
        <v>10941</v>
      </c>
      <c r="H778" s="29" t="str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COLA</v>
      </c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5" customHeight="1" x14ac:dyDescent="0.3">
      <c r="A779" s="17" t="s">
        <v>644</v>
      </c>
      <c r="B779" s="17">
        <f t="shared" si="40"/>
        <v>8</v>
      </c>
      <c r="C779" s="17">
        <f t="shared" si="26"/>
        <v>24</v>
      </c>
      <c r="D779" s="17"/>
      <c r="E779" s="17">
        <f t="shared" si="41"/>
        <v>65919</v>
      </c>
      <c r="F779" s="17">
        <f t="shared" ca="1" si="1"/>
        <v>2005</v>
      </c>
      <c r="G779" s="17">
        <f t="shared" ca="1" si="42"/>
        <v>10942</v>
      </c>
      <c r="H779" s="29" t="str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Percentage</v>
      </c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5" customHeight="1" x14ac:dyDescent="0.3">
      <c r="A780" s="17" t="s">
        <v>644</v>
      </c>
      <c r="B780" s="17">
        <f t="shared" si="40"/>
        <v>8</v>
      </c>
      <c r="C780" s="17">
        <f t="shared" si="26"/>
        <v>25</v>
      </c>
      <c r="D780" s="17"/>
      <c r="E780" s="17">
        <f t="shared" si="41"/>
        <v>65919</v>
      </c>
      <c r="F780" s="17">
        <f t="shared" ca="1" si="1"/>
        <v>2005</v>
      </c>
      <c r="G780" s="17">
        <f t="shared" ca="1" si="42"/>
        <v>10701</v>
      </c>
      <c r="H780" s="3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0.03</v>
      </c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5" customHeight="1" x14ac:dyDescent="0.3">
      <c r="A781" s="17" t="s">
        <v>644</v>
      </c>
      <c r="B781" s="17">
        <f t="shared" si="40"/>
        <v>8</v>
      </c>
      <c r="C781" s="17">
        <f t="shared" si="26"/>
        <v>26</v>
      </c>
      <c r="D781" s="17"/>
      <c r="E781" s="17">
        <f t="shared" si="41"/>
        <v>65919</v>
      </c>
      <c r="F781" s="17">
        <f t="shared" ca="1" si="1"/>
        <v>2005</v>
      </c>
      <c r="G781" s="17">
        <f t="shared" ca="1" si="42"/>
        <v>10702</v>
      </c>
      <c r="H781" s="3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5" customHeight="1" x14ac:dyDescent="0.3">
      <c r="A782" s="17" t="s">
        <v>644</v>
      </c>
      <c r="B782" s="17">
        <f t="shared" si="40"/>
        <v>8</v>
      </c>
      <c r="C782" s="17">
        <f t="shared" si="26"/>
        <v>27</v>
      </c>
      <c r="D782" s="17"/>
      <c r="E782" s="17">
        <f t="shared" si="41"/>
        <v>65919</v>
      </c>
      <c r="F782" s="17">
        <f t="shared" ca="1" si="1"/>
        <v>2005</v>
      </c>
      <c r="G782" s="17">
        <f t="shared" ca="1" si="42"/>
        <v>10943</v>
      </c>
      <c r="H782" s="2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5" customHeight="1" x14ac:dyDescent="0.3">
      <c r="A783" s="17" t="s">
        <v>644</v>
      </c>
      <c r="B783" s="17">
        <f t="shared" si="40"/>
        <v>8</v>
      </c>
      <c r="C783" s="17">
        <f t="shared" si="26"/>
        <v>28</v>
      </c>
      <c r="D783" s="17"/>
      <c r="E783" s="17">
        <f t="shared" si="41"/>
        <v>65919</v>
      </c>
      <c r="F783" s="17">
        <f t="shared" ca="1" si="1"/>
        <v>2005</v>
      </c>
      <c r="G783" s="17">
        <f t="shared" ca="1" si="42"/>
        <v>10944</v>
      </c>
      <c r="H783" s="31" t="str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No</v>
      </c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5" customHeight="1" x14ac:dyDescent="0.3">
      <c r="A784" s="17" t="s">
        <v>644</v>
      </c>
      <c r="B784" s="17">
        <f t="shared" si="40"/>
        <v>8</v>
      </c>
      <c r="C784" s="17">
        <f t="shared" si="26"/>
        <v>29</v>
      </c>
      <c r="D784" s="17"/>
      <c r="E784" s="17">
        <f t="shared" si="41"/>
        <v>65919</v>
      </c>
      <c r="F784" s="17">
        <f t="shared" ca="1" si="1"/>
        <v>2005</v>
      </c>
      <c r="G784" s="17">
        <f t="shared" ca="1" si="42"/>
        <v>10945</v>
      </c>
      <c r="H784" s="31" t="str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No</v>
      </c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5" customHeight="1" x14ac:dyDescent="0.3">
      <c r="A785" s="17" t="s">
        <v>644</v>
      </c>
      <c r="B785" s="17">
        <f t="shared" si="40"/>
        <v>8</v>
      </c>
      <c r="C785" s="17">
        <f t="shared" si="26"/>
        <v>30</v>
      </c>
      <c r="D785" s="17"/>
      <c r="E785" s="17">
        <f t="shared" si="41"/>
        <v>65919</v>
      </c>
      <c r="F785" s="17">
        <f t="shared" ca="1" si="1"/>
        <v>2005</v>
      </c>
      <c r="G785" s="17">
        <f t="shared" ca="1" si="42"/>
        <v>10947</v>
      </c>
      <c r="H785" s="2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5" customHeight="1" x14ac:dyDescent="0.3">
      <c r="A786" s="17" t="s">
        <v>644</v>
      </c>
      <c r="B786" s="17">
        <f t="shared" si="40"/>
        <v>8</v>
      </c>
      <c r="C786" s="17">
        <f t="shared" si="26"/>
        <v>31</v>
      </c>
      <c r="D786" s="17"/>
      <c r="E786" s="17">
        <f t="shared" si="41"/>
        <v>65919</v>
      </c>
      <c r="F786" s="17">
        <f t="shared" ca="1" si="1"/>
        <v>2005</v>
      </c>
      <c r="G786" s="17">
        <f t="shared" ca="1" si="42"/>
        <v>10948</v>
      </c>
      <c r="H786" s="31" t="str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No</v>
      </c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5" customHeight="1" x14ac:dyDescent="0.3">
      <c r="A787" s="17" t="s">
        <v>644</v>
      </c>
      <c r="B787" s="17">
        <f t="shared" si="40"/>
        <v>8</v>
      </c>
      <c r="C787" s="17">
        <f t="shared" si="26"/>
        <v>32</v>
      </c>
      <c r="D787" s="17"/>
      <c r="E787" s="17">
        <f t="shared" si="41"/>
        <v>65919</v>
      </c>
      <c r="F787" s="17">
        <f t="shared" ca="1" si="1"/>
        <v>2005</v>
      </c>
      <c r="G787" s="17">
        <f t="shared" ca="1" si="42"/>
        <v>10949</v>
      </c>
      <c r="H787" s="31" t="str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No</v>
      </c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5" customHeight="1" x14ac:dyDescent="0.3">
      <c r="A788" s="17" t="s">
        <v>644</v>
      </c>
      <c r="B788" s="17">
        <f t="shared" si="40"/>
        <v>8</v>
      </c>
      <c r="C788" s="17">
        <f t="shared" si="26"/>
        <v>33</v>
      </c>
      <c r="D788" s="17"/>
      <c r="E788" s="17">
        <f t="shared" si="41"/>
        <v>65919</v>
      </c>
      <c r="F788" s="17">
        <f t="shared" ca="1" si="1"/>
        <v>2005</v>
      </c>
      <c r="G788" s="17">
        <f t="shared" ca="1" si="42"/>
        <v>10951</v>
      </c>
      <c r="H788" s="31" t="str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No</v>
      </c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5" customHeight="1" x14ac:dyDescent="0.3">
      <c r="A789" s="17" t="s">
        <v>644</v>
      </c>
      <c r="B789" s="17">
        <f t="shared" si="40"/>
        <v>8</v>
      </c>
      <c r="C789" s="17">
        <f t="shared" si="26"/>
        <v>34</v>
      </c>
      <c r="D789" s="17"/>
      <c r="E789" s="17">
        <f t="shared" si="41"/>
        <v>65919</v>
      </c>
      <c r="F789" s="17">
        <f t="shared" ca="1" si="1"/>
        <v>2005</v>
      </c>
      <c r="G789" s="17">
        <f t="shared" ca="1" si="42"/>
        <v>10950</v>
      </c>
      <c r="H789" s="31" t="str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No</v>
      </c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5" customHeight="1" x14ac:dyDescent="0.3">
      <c r="A790" s="17" t="s">
        <v>644</v>
      </c>
      <c r="B790" s="17">
        <f t="shared" si="40"/>
        <v>8</v>
      </c>
      <c r="C790" s="17">
        <f t="shared" si="26"/>
        <v>35</v>
      </c>
      <c r="D790" s="17"/>
      <c r="E790" s="17">
        <f t="shared" si="41"/>
        <v>65919</v>
      </c>
      <c r="F790" s="17">
        <f t="shared" ca="1" si="1"/>
        <v>2005</v>
      </c>
      <c r="G790" s="17">
        <f t="shared" ca="1" si="42"/>
        <v>10954</v>
      </c>
      <c r="H790" s="3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3.5000000000000003E-2</v>
      </c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5" customHeight="1" x14ac:dyDescent="0.3">
      <c r="A791" s="17" t="s">
        <v>644</v>
      </c>
      <c r="B791" s="17">
        <f t="shared" si="40"/>
        <v>8</v>
      </c>
      <c r="C791" s="17">
        <f t="shared" si="26"/>
        <v>36</v>
      </c>
      <c r="D791" s="17"/>
      <c r="E791" s="17">
        <f t="shared" si="41"/>
        <v>65919</v>
      </c>
      <c r="F791" s="17">
        <f t="shared" ca="1" si="1"/>
        <v>2005</v>
      </c>
      <c r="G791" s="17">
        <f t="shared" ca="1" si="42"/>
        <v>10955</v>
      </c>
      <c r="H791" s="3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0.08</v>
      </c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5" customHeight="1" x14ac:dyDescent="0.3">
      <c r="A792" s="17" t="s">
        <v>644</v>
      </c>
      <c r="B792" s="17">
        <f t="shared" si="40"/>
        <v>8</v>
      </c>
      <c r="C792" s="17">
        <f t="shared" si="26"/>
        <v>37</v>
      </c>
      <c r="D792" s="17"/>
      <c r="E792" s="17">
        <f t="shared" si="41"/>
        <v>65919</v>
      </c>
      <c r="F792" s="17">
        <f t="shared" ca="1" si="1"/>
        <v>2005</v>
      </c>
      <c r="G792" s="17">
        <f t="shared" ca="1" si="42"/>
        <v>10956</v>
      </c>
      <c r="H792" s="3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5.6249999999999996E-4</v>
      </c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5" customHeight="1" x14ac:dyDescent="0.3">
      <c r="A793" s="17" t="s">
        <v>644</v>
      </c>
      <c r="B793" s="17">
        <f t="shared" si="40"/>
        <v>8</v>
      </c>
      <c r="C793" s="17">
        <f t="shared" si="26"/>
        <v>38</v>
      </c>
      <c r="D793" s="17"/>
      <c r="E793" s="17">
        <f t="shared" si="41"/>
        <v>65919</v>
      </c>
      <c r="F793" s="17">
        <f t="shared" ca="1" si="1"/>
        <v>2005</v>
      </c>
      <c r="G793" s="17">
        <f t="shared" ca="1" si="42"/>
        <v>10959</v>
      </c>
      <c r="H793" s="3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4.4999999999999998E-2</v>
      </c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5" customHeight="1" x14ac:dyDescent="0.3">
      <c r="A794" s="17" t="s">
        <v>644</v>
      </c>
      <c r="B794" s="17">
        <f t="shared" si="40"/>
        <v>8</v>
      </c>
      <c r="C794" s="17">
        <f t="shared" si="26"/>
        <v>39</v>
      </c>
      <c r="D794" s="17"/>
      <c r="E794" s="17">
        <f t="shared" si="41"/>
        <v>65919</v>
      </c>
      <c r="F794" s="17">
        <f t="shared" ca="1" si="1"/>
        <v>2005</v>
      </c>
      <c r="G794" s="17">
        <f t="shared" ca="1" si="42"/>
        <v>10962</v>
      </c>
      <c r="H794" s="29" t="str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Pg.no.61</v>
      </c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5" customHeight="1" x14ac:dyDescent="0.3">
      <c r="A795" s="17" t="s">
        <v>644</v>
      </c>
      <c r="B795" s="17">
        <f t="shared" si="40"/>
        <v>8</v>
      </c>
      <c r="C795" s="17">
        <f t="shared" si="26"/>
        <v>40</v>
      </c>
      <c r="D795" s="17"/>
      <c r="E795" s="17">
        <f t="shared" si="41"/>
        <v>65919</v>
      </c>
      <c r="F795" s="17">
        <f t="shared" ca="1" si="1"/>
        <v>2005</v>
      </c>
      <c r="G795" s="17">
        <f t="shared" ca="1" si="42"/>
        <v>10964</v>
      </c>
      <c r="H795" s="29" t="str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Pg.no.50</v>
      </c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5" customHeight="1" x14ac:dyDescent="0.3">
      <c r="A796" s="17" t="s">
        <v>644</v>
      </c>
      <c r="B796" s="17">
        <f t="shared" si="40"/>
        <v>8</v>
      </c>
      <c r="C796" s="17">
        <f t="shared" si="26"/>
        <v>41</v>
      </c>
      <c r="D796" s="17"/>
      <c r="E796" s="17">
        <f t="shared" si="41"/>
        <v>65919</v>
      </c>
      <c r="F796" s="17">
        <f t="shared" ca="1" si="1"/>
        <v>2005</v>
      </c>
      <c r="G796" s="17">
        <f t="shared" ca="1" si="42"/>
        <v>10967</v>
      </c>
      <c r="H796" s="29" t="str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RP-2000 Combined healthy table</v>
      </c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5" customHeight="1" x14ac:dyDescent="0.3">
      <c r="A797" s="17" t="s">
        <v>644</v>
      </c>
      <c r="B797" s="17">
        <f t="shared" si="40"/>
        <v>8</v>
      </c>
      <c r="C797" s="17">
        <f t="shared" si="26"/>
        <v>42</v>
      </c>
      <c r="D797" s="17"/>
      <c r="E797" s="17">
        <f t="shared" si="41"/>
        <v>65919</v>
      </c>
      <c r="F797" s="17">
        <f t="shared" ca="1" si="1"/>
        <v>2005</v>
      </c>
      <c r="G797" s="17">
        <f t="shared" ca="1" si="42"/>
        <v>10968</v>
      </c>
      <c r="H797" s="2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2000</v>
      </c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5" customHeight="1" x14ac:dyDescent="0.3">
      <c r="A798" s="17" t="s">
        <v>644</v>
      </c>
      <c r="B798" s="17">
        <f t="shared" si="40"/>
        <v>8</v>
      </c>
      <c r="C798" s="17">
        <f t="shared" si="26"/>
        <v>43</v>
      </c>
      <c r="D798" s="17"/>
      <c r="E798" s="17">
        <f t="shared" si="41"/>
        <v>65919</v>
      </c>
      <c r="F798" s="17">
        <f t="shared" ca="1" si="1"/>
        <v>2005</v>
      </c>
      <c r="G798" s="17">
        <f t="shared" ca="1" si="42"/>
        <v>10969</v>
      </c>
      <c r="H798" s="2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5" customHeight="1" x14ac:dyDescent="0.3">
      <c r="A799" s="17" t="s">
        <v>644</v>
      </c>
      <c r="B799" s="17">
        <f t="shared" si="40"/>
        <v>8</v>
      </c>
      <c r="C799" s="17">
        <f t="shared" si="26"/>
        <v>44</v>
      </c>
      <c r="D799" s="17"/>
      <c r="E799" s="17">
        <f t="shared" si="41"/>
        <v>65919</v>
      </c>
      <c r="F799" s="17">
        <f t="shared" ca="1" si="1"/>
        <v>2005</v>
      </c>
      <c r="G799" s="17">
        <f t="shared" ca="1" si="42"/>
        <v>10970</v>
      </c>
      <c r="H799" s="2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5" customHeight="1" x14ac:dyDescent="0.3">
      <c r="A800" s="17" t="s">
        <v>644</v>
      </c>
      <c r="B800" s="17">
        <f t="shared" si="40"/>
        <v>8</v>
      </c>
      <c r="C800" s="17">
        <f t="shared" si="26"/>
        <v>45</v>
      </c>
      <c r="D800" s="17"/>
      <c r="E800" s="17">
        <f t="shared" si="41"/>
        <v>65919</v>
      </c>
      <c r="F800" s="17">
        <f t="shared" ca="1" si="1"/>
        <v>2005</v>
      </c>
      <c r="G800" s="17">
        <f t="shared" ca="1" si="42"/>
        <v>10971</v>
      </c>
      <c r="H800" s="2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5" customHeight="1" x14ac:dyDescent="0.3">
      <c r="A801" s="17" t="s">
        <v>644</v>
      </c>
      <c r="B801" s="17">
        <f t="shared" si="40"/>
        <v>8</v>
      </c>
      <c r="C801" s="17">
        <f t="shared" si="26"/>
        <v>46</v>
      </c>
      <c r="D801" s="17"/>
      <c r="E801" s="17">
        <f t="shared" si="41"/>
        <v>65919</v>
      </c>
      <c r="F801" s="17">
        <f t="shared" ca="1" si="1"/>
        <v>2005</v>
      </c>
      <c r="G801" s="17">
        <f t="shared" ca="1" si="42"/>
        <v>10972</v>
      </c>
      <c r="H801" s="29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N/A</v>
      </c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5" customHeight="1" x14ac:dyDescent="0.3">
      <c r="A802" s="17" t="s">
        <v>644</v>
      </c>
      <c r="B802" s="17">
        <f t="shared" si="40"/>
        <v>8</v>
      </c>
      <c r="C802" s="17">
        <f t="shared" si="26"/>
        <v>47</v>
      </c>
      <c r="D802" s="17"/>
      <c r="E802" s="17">
        <f t="shared" si="41"/>
        <v>65919</v>
      </c>
      <c r="F802" s="17">
        <f t="shared" ca="1" si="1"/>
        <v>2005</v>
      </c>
      <c r="G802" s="17">
        <f t="shared" ca="1" si="42"/>
        <v>10973</v>
      </c>
      <c r="H802" s="29" t="str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N/A</v>
      </c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5" customHeight="1" x14ac:dyDescent="0.3">
      <c r="A803" s="17" t="s">
        <v>644</v>
      </c>
      <c r="B803" s="17">
        <f t="shared" si="40"/>
        <v>8</v>
      </c>
      <c r="C803" s="17">
        <f t="shared" si="26"/>
        <v>48</v>
      </c>
      <c r="D803" s="17"/>
      <c r="E803" s="17">
        <f t="shared" si="41"/>
        <v>65919</v>
      </c>
      <c r="F803" s="17">
        <f t="shared" ca="1" si="1"/>
        <v>2005</v>
      </c>
      <c r="G803" s="17">
        <f t="shared" ca="1" si="42"/>
        <v>10975</v>
      </c>
      <c r="H803" s="29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 xml:space="preserve">Aggregate   </v>
      </c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5" customHeight="1" x14ac:dyDescent="0.3">
      <c r="A804" s="17" t="s">
        <v>644</v>
      </c>
      <c r="B804" s="17">
        <f t="shared" si="40"/>
        <v>8</v>
      </c>
      <c r="C804" s="17">
        <f t="shared" si="26"/>
        <v>49</v>
      </c>
      <c r="D804" s="17"/>
      <c r="E804" s="17">
        <f t="shared" si="41"/>
        <v>65919</v>
      </c>
      <c r="F804" s="17">
        <f t="shared" ca="1" si="1"/>
        <v>2005</v>
      </c>
      <c r="G804" s="17">
        <f t="shared" ca="1" si="42"/>
        <v>10976</v>
      </c>
      <c r="H804" s="3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0.08</v>
      </c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5" customHeight="1" x14ac:dyDescent="0.3">
      <c r="A805" s="17" t="s">
        <v>644</v>
      </c>
      <c r="B805" s="17">
        <f t="shared" si="40"/>
        <v>8</v>
      </c>
      <c r="C805" s="17">
        <f t="shared" si="26"/>
        <v>50</v>
      </c>
      <c r="D805" s="17"/>
      <c r="E805" s="17">
        <f t="shared" si="41"/>
        <v>65919</v>
      </c>
      <c r="F805" s="17">
        <f t="shared" ca="1" si="1"/>
        <v>2005</v>
      </c>
      <c r="G805" s="17">
        <f t="shared" ca="1" si="42"/>
        <v>10977</v>
      </c>
      <c r="H805" s="31" t="str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No</v>
      </c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5" customHeight="1" x14ac:dyDescent="0.3">
      <c r="A806" s="17" t="s">
        <v>644</v>
      </c>
      <c r="B806" s="17">
        <f t="shared" si="40"/>
        <v>8</v>
      </c>
      <c r="C806" s="17">
        <f t="shared" si="26"/>
        <v>51</v>
      </c>
      <c r="D806" s="17"/>
      <c r="E806" s="17">
        <f t="shared" si="41"/>
        <v>65919</v>
      </c>
      <c r="F806" s="17">
        <f t="shared" ca="1" si="1"/>
        <v>2005</v>
      </c>
      <c r="G806" s="17">
        <f t="shared" ca="1" si="42"/>
        <v>10978</v>
      </c>
      <c r="H806" s="3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0.08</v>
      </c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5" customHeight="1" x14ac:dyDescent="0.3">
      <c r="A807" s="17" t="s">
        <v>644</v>
      </c>
      <c r="B807" s="17">
        <f t="shared" si="40"/>
        <v>8</v>
      </c>
      <c r="C807" s="17">
        <f t="shared" si="26"/>
        <v>52</v>
      </c>
      <c r="D807" s="17"/>
      <c r="E807" s="17">
        <f t="shared" si="41"/>
        <v>65919</v>
      </c>
      <c r="F807" s="17">
        <f t="shared" ca="1" si="1"/>
        <v>2005</v>
      </c>
      <c r="G807" s="17">
        <f t="shared" ca="1" si="42"/>
        <v>10979</v>
      </c>
      <c r="H807" s="29" t="str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8 Years</v>
      </c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5" customHeight="1" x14ac:dyDescent="0.3">
      <c r="A808" s="17" t="s">
        <v>644</v>
      </c>
      <c r="B808" s="17">
        <f t="shared" si="40"/>
        <v>8</v>
      </c>
      <c r="C808" s="17">
        <f t="shared" si="26"/>
        <v>53</v>
      </c>
      <c r="D808" s="17"/>
      <c r="E808" s="17">
        <f t="shared" si="41"/>
        <v>65919</v>
      </c>
      <c r="F808" s="17">
        <f t="shared" ca="1" si="1"/>
        <v>2005</v>
      </c>
      <c r="G808" s="17">
        <f t="shared" ca="1" si="42"/>
        <v>10980</v>
      </c>
      <c r="H808" s="3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9.1999999999999998E-2</v>
      </c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5" customHeight="1" x14ac:dyDescent="0.3">
      <c r="A809" s="17" t="s">
        <v>644</v>
      </c>
      <c r="B809" s="17">
        <f t="shared" si="40"/>
        <v>8</v>
      </c>
      <c r="C809" s="17">
        <f t="shared" si="26"/>
        <v>54</v>
      </c>
      <c r="D809" s="17"/>
      <c r="E809" s="17">
        <f t="shared" si="41"/>
        <v>65919</v>
      </c>
      <c r="F809" s="17">
        <f t="shared" ca="1" si="1"/>
        <v>2005</v>
      </c>
      <c r="G809" s="17">
        <f t="shared" ca="1" si="42"/>
        <v>10981</v>
      </c>
      <c r="H809" s="3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0.1757</v>
      </c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5" customHeight="1" x14ac:dyDescent="0.3">
      <c r="A810" s="17" t="s">
        <v>644</v>
      </c>
      <c r="B810" s="17">
        <f t="shared" si="40"/>
        <v>8</v>
      </c>
      <c r="C810" s="17">
        <f t="shared" si="26"/>
        <v>55</v>
      </c>
      <c r="D810" s="17"/>
      <c r="E810" s="17">
        <f t="shared" si="41"/>
        <v>65919</v>
      </c>
      <c r="F810" s="17">
        <f t="shared" ca="1" si="1"/>
        <v>2005</v>
      </c>
      <c r="G810" s="17">
        <f t="shared" ca="1" si="42"/>
        <v>10706</v>
      </c>
      <c r="H810" s="3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4.9457487283347196E-4</v>
      </c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5" customHeight="1" x14ac:dyDescent="0.3">
      <c r="A811" s="17" t="s">
        <v>644</v>
      </c>
      <c r="B811" s="17">
        <f t="shared" si="40"/>
        <v>8</v>
      </c>
      <c r="C811" s="17">
        <f t="shared" si="26"/>
        <v>56</v>
      </c>
      <c r="D811" s="17"/>
      <c r="E811" s="17">
        <f t="shared" si="41"/>
        <v>65919</v>
      </c>
      <c r="F811" s="17">
        <f t="shared" ca="1" si="1"/>
        <v>2005</v>
      </c>
      <c r="G811" s="17">
        <f t="shared" ca="1" si="42"/>
        <v>10983</v>
      </c>
      <c r="H811" s="30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No</v>
      </c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5" customHeight="1" x14ac:dyDescent="0.3">
      <c r="A812" s="17" t="s">
        <v>644</v>
      </c>
      <c r="B812" s="17">
        <f t="shared" si="40"/>
        <v>8</v>
      </c>
      <c r="C812" s="17">
        <f t="shared" si="26"/>
        <v>57</v>
      </c>
      <c r="D812" s="17"/>
      <c r="E812" s="17">
        <f t="shared" si="41"/>
        <v>65919</v>
      </c>
      <c r="F812" s="17">
        <f t="shared" ca="1" si="1"/>
        <v>2005</v>
      </c>
      <c r="G812" s="17">
        <f t="shared" ca="1" si="42"/>
        <v>10989</v>
      </c>
      <c r="H812" s="3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694000000</v>
      </c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5" customHeight="1" x14ac:dyDescent="0.3">
      <c r="A813" s="17" t="s">
        <v>644</v>
      </c>
      <c r="B813" s="17">
        <f t="shared" si="40"/>
        <v>8</v>
      </c>
      <c r="C813" s="17">
        <f t="shared" si="26"/>
        <v>58</v>
      </c>
      <c r="D813" s="17"/>
      <c r="E813" s="17">
        <f t="shared" si="41"/>
        <v>65919</v>
      </c>
      <c r="F813" s="17">
        <f t="shared" ca="1" si="1"/>
        <v>2005</v>
      </c>
      <c r="G813" s="17">
        <f t="shared" ca="1" si="42"/>
        <v>10990</v>
      </c>
      <c r="H813" s="30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614000000</v>
      </c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5" customHeight="1" x14ac:dyDescent="0.3">
      <c r="A814" s="17" t="s">
        <v>644</v>
      </c>
      <c r="B814" s="17">
        <f t="shared" si="40"/>
        <v>8</v>
      </c>
      <c r="C814" s="17">
        <f t="shared" si="26"/>
        <v>59</v>
      </c>
      <c r="D814" s="17"/>
      <c r="E814" s="17">
        <f t="shared" si="41"/>
        <v>65919</v>
      </c>
      <c r="F814" s="17">
        <f t="shared" ca="1" si="1"/>
        <v>2005</v>
      </c>
      <c r="G814" s="17">
        <f t="shared" ca="1" si="42"/>
        <v>10991</v>
      </c>
      <c r="H814" s="3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-80000000</v>
      </c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5" customHeight="1" x14ac:dyDescent="0.3">
      <c r="A815" s="17" t="s">
        <v>644</v>
      </c>
      <c r="B815" s="17">
        <f t="shared" si="40"/>
        <v>8</v>
      </c>
      <c r="C815" s="17">
        <f t="shared" si="26"/>
        <v>60</v>
      </c>
      <c r="D815" s="17"/>
      <c r="E815" s="17">
        <f t="shared" si="41"/>
        <v>65919</v>
      </c>
      <c r="F815" s="17">
        <f t="shared" ca="1" si="1"/>
        <v>2005</v>
      </c>
      <c r="G815" s="17">
        <f t="shared" ca="1" si="42"/>
        <v>10992</v>
      </c>
      <c r="H815" s="3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1.1306</v>
      </c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5" customHeight="1" x14ac:dyDescent="0.3">
      <c r="A816" s="17" t="s">
        <v>644</v>
      </c>
      <c r="B816" s="17">
        <f t="shared" si="40"/>
        <v>8</v>
      </c>
      <c r="C816" s="17">
        <f t="shared" si="26"/>
        <v>61</v>
      </c>
      <c r="D816" s="17"/>
      <c r="E816" s="17">
        <f t="shared" si="41"/>
        <v>65919</v>
      </c>
      <c r="F816" s="17">
        <f t="shared" ca="1" si="1"/>
        <v>2005</v>
      </c>
      <c r="G816" s="17">
        <f t="shared" ca="1" si="42"/>
        <v>10993</v>
      </c>
      <c r="H816" s="30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61000000</v>
      </c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5" customHeight="1" x14ac:dyDescent="0.3">
      <c r="A817" s="17" t="s">
        <v>644</v>
      </c>
      <c r="B817" s="17">
        <f t="shared" si="40"/>
        <v>8</v>
      </c>
      <c r="C817" s="17">
        <f t="shared" si="26"/>
        <v>62</v>
      </c>
      <c r="D817" s="17"/>
      <c r="E817" s="17">
        <f t="shared" si="41"/>
        <v>65919</v>
      </c>
      <c r="F817" s="17">
        <f t="shared" ca="1" si="1"/>
        <v>2005</v>
      </c>
      <c r="G817" s="17">
        <f t="shared" ca="1" si="42"/>
        <v>10801</v>
      </c>
      <c r="H817" s="30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-8000000</v>
      </c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5" customHeight="1" x14ac:dyDescent="0.3">
      <c r="A818" s="17" t="s">
        <v>644</v>
      </c>
      <c r="B818" s="17">
        <f t="shared" si="40"/>
        <v>8</v>
      </c>
      <c r="C818" s="17">
        <f t="shared" si="26"/>
        <v>63</v>
      </c>
      <c r="D818" s="17"/>
      <c r="E818" s="17">
        <f t="shared" si="41"/>
        <v>65919</v>
      </c>
      <c r="F818" s="17">
        <f t="shared" ca="1" si="1"/>
        <v>2005</v>
      </c>
      <c r="G818" s="17">
        <f t="shared" ca="1" si="42"/>
        <v>10802</v>
      </c>
      <c r="H818" s="30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5" customHeight="1" x14ac:dyDescent="0.3">
      <c r="A819" s="17" t="s">
        <v>644</v>
      </c>
      <c r="B819" s="17">
        <f t="shared" si="40"/>
        <v>8</v>
      </c>
      <c r="C819" s="17">
        <f t="shared" si="26"/>
        <v>64</v>
      </c>
      <c r="D819" s="17"/>
      <c r="E819" s="17">
        <f t="shared" si="41"/>
        <v>65919</v>
      </c>
      <c r="F819" s="17">
        <f t="shared" ca="1" si="1"/>
        <v>2005</v>
      </c>
      <c r="G819" s="17">
        <f t="shared" ca="1" si="42"/>
        <v>10803</v>
      </c>
      <c r="H819" s="3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5" customHeight="1" x14ac:dyDescent="0.3">
      <c r="A820" s="17" t="s">
        <v>644</v>
      </c>
      <c r="B820" s="17">
        <f t="shared" si="40"/>
        <v>8</v>
      </c>
      <c r="C820" s="17">
        <f t="shared" si="26"/>
        <v>65</v>
      </c>
      <c r="D820" s="17"/>
      <c r="E820" s="17">
        <f t="shared" si="41"/>
        <v>65919</v>
      </c>
      <c r="F820" s="17">
        <f t="shared" ca="1" si="1"/>
        <v>2005</v>
      </c>
      <c r="G820" s="17">
        <f t="shared" ca="1" si="42"/>
        <v>10804</v>
      </c>
      <c r="H820" s="3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5" customHeight="1" x14ac:dyDescent="0.3">
      <c r="A821" s="17" t="s">
        <v>644</v>
      </c>
      <c r="B821" s="17">
        <f t="shared" si="40"/>
        <v>8</v>
      </c>
      <c r="C821" s="17">
        <f t="shared" si="26"/>
        <v>66</v>
      </c>
      <c r="D821" s="17"/>
      <c r="E821" s="17">
        <f t="shared" si="41"/>
        <v>65919</v>
      </c>
      <c r="F821" s="17">
        <f t="shared" ca="1" si="1"/>
        <v>2005</v>
      </c>
      <c r="G821" s="17">
        <f t="shared" ca="1" si="42"/>
        <v>10805</v>
      </c>
      <c r="H821" s="3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5" customHeight="1" x14ac:dyDescent="0.3">
      <c r="A822" s="17" t="s">
        <v>644</v>
      </c>
      <c r="B822" s="17">
        <f t="shared" si="40"/>
        <v>8</v>
      </c>
      <c r="C822" s="17">
        <f t="shared" si="26"/>
        <v>67</v>
      </c>
      <c r="D822" s="17"/>
      <c r="E822" s="17">
        <f t="shared" si="41"/>
        <v>65919</v>
      </c>
      <c r="F822" s="17">
        <f t="shared" ca="1" si="1"/>
        <v>2005</v>
      </c>
      <c r="G822" s="17">
        <f t="shared" ca="1" si="42"/>
        <v>10806</v>
      </c>
      <c r="H822" s="30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5" customHeight="1" x14ac:dyDescent="0.3">
      <c r="A823" s="17" t="s">
        <v>644</v>
      </c>
      <c r="B823" s="17">
        <f t="shared" ref="B823:B848" si="43">B822</f>
        <v>8</v>
      </c>
      <c r="C823" s="17">
        <f t="shared" si="26"/>
        <v>68</v>
      </c>
      <c r="D823" s="17"/>
      <c r="E823" s="17">
        <f t="shared" si="41"/>
        <v>65919</v>
      </c>
      <c r="F823" s="17">
        <f t="shared" ca="1" si="1"/>
        <v>2005</v>
      </c>
      <c r="G823" s="17">
        <f t="shared" ca="1" si="42"/>
        <v>10807</v>
      </c>
      <c r="H823" s="30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5" customHeight="1" x14ac:dyDescent="0.3">
      <c r="A824" s="17" t="s">
        <v>644</v>
      </c>
      <c r="B824" s="17">
        <f t="shared" si="43"/>
        <v>8</v>
      </c>
      <c r="C824" s="17">
        <f t="shared" si="26"/>
        <v>69</v>
      </c>
      <c r="D824" s="17"/>
      <c r="E824" s="17">
        <f t="shared" si="41"/>
        <v>65919</v>
      </c>
      <c r="F824" s="17">
        <f t="shared" ca="1" si="1"/>
        <v>2005</v>
      </c>
      <c r="G824" s="17">
        <f t="shared" ca="1" si="42"/>
        <v>10808</v>
      </c>
      <c r="H824" s="3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5" customHeight="1" x14ac:dyDescent="0.3">
      <c r="A825" s="17" t="s">
        <v>644</v>
      </c>
      <c r="B825" s="17">
        <f t="shared" si="43"/>
        <v>8</v>
      </c>
      <c r="C825" s="17">
        <f t="shared" si="26"/>
        <v>70</v>
      </c>
      <c r="D825" s="17"/>
      <c r="E825" s="17">
        <f t="shared" si="41"/>
        <v>65919</v>
      </c>
      <c r="F825" s="17">
        <f t="shared" ca="1" si="1"/>
        <v>2005</v>
      </c>
      <c r="G825" s="17">
        <f t="shared" ca="1" si="42"/>
        <v>10809</v>
      </c>
      <c r="H825" s="30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5" customHeight="1" x14ac:dyDescent="0.3">
      <c r="A826" s="17" t="s">
        <v>644</v>
      </c>
      <c r="B826" s="17">
        <f t="shared" si="43"/>
        <v>8</v>
      </c>
      <c r="C826" s="17">
        <f t="shared" si="26"/>
        <v>71</v>
      </c>
      <c r="D826" s="17"/>
      <c r="E826" s="17">
        <f t="shared" si="41"/>
        <v>65919</v>
      </c>
      <c r="F826" s="17">
        <f t="shared" ca="1" si="1"/>
        <v>2005</v>
      </c>
      <c r="G826" s="17">
        <f t="shared" ca="1" si="42"/>
        <v>10810</v>
      </c>
      <c r="H826" s="30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5" customHeight="1" x14ac:dyDescent="0.3">
      <c r="A827" s="17" t="s">
        <v>644</v>
      </c>
      <c r="B827" s="17">
        <f t="shared" si="43"/>
        <v>8</v>
      </c>
      <c r="C827" s="17">
        <f t="shared" si="26"/>
        <v>72</v>
      </c>
      <c r="D827" s="17"/>
      <c r="E827" s="17">
        <f t="shared" si="41"/>
        <v>65919</v>
      </c>
      <c r="F827" s="17">
        <f t="shared" ca="1" si="1"/>
        <v>2005</v>
      </c>
      <c r="G827" s="17">
        <f t="shared" ca="1" si="42"/>
        <v>10811</v>
      </c>
      <c r="H827" s="30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5" customHeight="1" x14ac:dyDescent="0.3">
      <c r="A828" s="17" t="s">
        <v>644</v>
      </c>
      <c r="B828" s="17">
        <f t="shared" si="43"/>
        <v>8</v>
      </c>
      <c r="C828" s="17">
        <f t="shared" si="26"/>
        <v>73</v>
      </c>
      <c r="D828" s="17"/>
      <c r="E828" s="17">
        <f t="shared" si="41"/>
        <v>65919</v>
      </c>
      <c r="F828" s="17">
        <f t="shared" ca="1" si="1"/>
        <v>2005</v>
      </c>
      <c r="G828" s="17">
        <f t="shared" ca="1" si="42"/>
        <v>10812</v>
      </c>
      <c r="H828" s="30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5" customHeight="1" x14ac:dyDescent="0.3">
      <c r="A829" s="17" t="s">
        <v>644</v>
      </c>
      <c r="B829" s="17">
        <f t="shared" si="43"/>
        <v>8</v>
      </c>
      <c r="C829" s="17">
        <f t="shared" si="26"/>
        <v>74</v>
      </c>
      <c r="D829" s="17"/>
      <c r="E829" s="17">
        <f t="shared" si="41"/>
        <v>65919</v>
      </c>
      <c r="F829" s="17">
        <f t="shared" ca="1" si="1"/>
        <v>2005</v>
      </c>
      <c r="G829" s="17">
        <f t="shared" ca="1" si="42"/>
        <v>10813</v>
      </c>
      <c r="H829" s="3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5" customHeight="1" x14ac:dyDescent="0.3">
      <c r="A830" s="17" t="s">
        <v>644</v>
      </c>
      <c r="B830" s="17">
        <f t="shared" si="43"/>
        <v>8</v>
      </c>
      <c r="C830" s="17">
        <f t="shared" si="26"/>
        <v>75</v>
      </c>
      <c r="D830" s="17"/>
      <c r="E830" s="17">
        <f t="shared" si="41"/>
        <v>65919</v>
      </c>
      <c r="F830" s="17">
        <f t="shared" ca="1" si="1"/>
        <v>2005</v>
      </c>
      <c r="G830" s="17">
        <f t="shared" ca="1" si="42"/>
        <v>10814</v>
      </c>
      <c r="H830" s="3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5" customHeight="1" x14ac:dyDescent="0.3">
      <c r="A831" s="17" t="s">
        <v>644</v>
      </c>
      <c r="B831" s="17">
        <f t="shared" si="43"/>
        <v>8</v>
      </c>
      <c r="C831" s="17">
        <f t="shared" si="26"/>
        <v>76</v>
      </c>
      <c r="D831" s="17"/>
      <c r="E831" s="17">
        <f t="shared" si="41"/>
        <v>65919</v>
      </c>
      <c r="F831" s="17">
        <f t="shared" ca="1" si="1"/>
        <v>2005</v>
      </c>
      <c r="G831" s="17">
        <f t="shared" ca="1" si="42"/>
        <v>10815</v>
      </c>
      <c r="H831" s="3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-1400000</v>
      </c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5" customHeight="1" x14ac:dyDescent="0.3">
      <c r="A832" s="17" t="s">
        <v>644</v>
      </c>
      <c r="B832" s="17">
        <f t="shared" si="43"/>
        <v>8</v>
      </c>
      <c r="C832" s="17">
        <f t="shared" si="26"/>
        <v>77</v>
      </c>
      <c r="D832" s="17"/>
      <c r="E832" s="17">
        <f t="shared" si="41"/>
        <v>65919</v>
      </c>
      <c r="F832" s="17">
        <f t="shared" ca="1" si="1"/>
        <v>2005</v>
      </c>
      <c r="G832" s="17">
        <f t="shared" ca="1" si="42"/>
        <v>10816</v>
      </c>
      <c r="H832" s="30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-2300000</v>
      </c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5" customHeight="1" x14ac:dyDescent="0.3">
      <c r="A833" s="17" t="s">
        <v>644</v>
      </c>
      <c r="B833" s="17">
        <f t="shared" si="43"/>
        <v>8</v>
      </c>
      <c r="C833" s="17">
        <f t="shared" si="26"/>
        <v>78</v>
      </c>
      <c r="D833" s="17"/>
      <c r="E833" s="17">
        <f t="shared" si="41"/>
        <v>65919</v>
      </c>
      <c r="F833" s="17">
        <f t="shared" ca="1" si="1"/>
        <v>2005</v>
      </c>
      <c r="G833" s="17">
        <f t="shared" ca="1" si="42"/>
        <v>10817</v>
      </c>
      <c r="H833" s="30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5" customHeight="1" x14ac:dyDescent="0.3">
      <c r="A834" s="17" t="s">
        <v>644</v>
      </c>
      <c r="B834" s="17">
        <f t="shared" si="43"/>
        <v>8</v>
      </c>
      <c r="C834" s="17">
        <f t="shared" si="26"/>
        <v>79</v>
      </c>
      <c r="D834" s="17"/>
      <c r="E834" s="17">
        <f t="shared" si="41"/>
        <v>65919</v>
      </c>
      <c r="F834" s="17">
        <f t="shared" ca="1" si="1"/>
        <v>2005</v>
      </c>
      <c r="G834" s="17">
        <f t="shared" ca="1" si="42"/>
        <v>10818</v>
      </c>
      <c r="H834" s="30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5" customHeight="1" x14ac:dyDescent="0.3">
      <c r="A835" s="17" t="s">
        <v>644</v>
      </c>
      <c r="B835" s="17">
        <f t="shared" si="43"/>
        <v>8</v>
      </c>
      <c r="C835" s="17">
        <f t="shared" si="26"/>
        <v>80</v>
      </c>
      <c r="D835" s="17"/>
      <c r="E835" s="17">
        <f t="shared" si="41"/>
        <v>65919</v>
      </c>
      <c r="F835" s="17">
        <f t="shared" ca="1" si="1"/>
        <v>2005</v>
      </c>
      <c r="G835" s="17">
        <f t="shared" ca="1" si="42"/>
        <v>10819</v>
      </c>
      <c r="H835" s="30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500000</v>
      </c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5" customHeight="1" x14ac:dyDescent="0.3">
      <c r="A836" s="17" t="s">
        <v>644</v>
      </c>
      <c r="B836" s="17">
        <f t="shared" si="43"/>
        <v>8</v>
      </c>
      <c r="C836" s="17">
        <f t="shared" si="26"/>
        <v>81</v>
      </c>
      <c r="D836" s="17"/>
      <c r="E836" s="17">
        <f t="shared" ref="E836:E899" si="44">plan_id</f>
        <v>65919</v>
      </c>
      <c r="F836" s="17">
        <f t="shared" ca="1" si="1"/>
        <v>2005</v>
      </c>
      <c r="G836" s="17">
        <f t="shared" ref="G836:G899" ca="1" si="45">VLOOKUP(INDIRECT(CHAR(39)&amp;$A836&amp;CHAR(39)&amp;"!r2c"&amp;$C836,0),variables,2,0)</f>
        <v>10820</v>
      </c>
      <c r="H836" s="3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5" customHeight="1" x14ac:dyDescent="0.3">
      <c r="A837" s="17" t="s">
        <v>644</v>
      </c>
      <c r="B837" s="17">
        <f t="shared" si="43"/>
        <v>8</v>
      </c>
      <c r="C837" s="17">
        <f t="shared" si="26"/>
        <v>82</v>
      </c>
      <c r="D837" s="17"/>
      <c r="E837" s="17">
        <f t="shared" si="44"/>
        <v>65919</v>
      </c>
      <c r="F837" s="17">
        <f t="shared" ca="1" si="1"/>
        <v>2005</v>
      </c>
      <c r="G837" s="17">
        <f t="shared" ca="1" si="45"/>
        <v>10821</v>
      </c>
      <c r="H837" s="3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5" customHeight="1" x14ac:dyDescent="0.3">
      <c r="A838" s="17" t="s">
        <v>644</v>
      </c>
      <c r="B838" s="17">
        <f t="shared" si="43"/>
        <v>8</v>
      </c>
      <c r="C838" s="17">
        <f t="shared" si="26"/>
        <v>83</v>
      </c>
      <c r="D838" s="17"/>
      <c r="E838" s="17">
        <f t="shared" si="44"/>
        <v>65919</v>
      </c>
      <c r="F838" s="17">
        <f t="shared" ca="1" si="1"/>
        <v>2005</v>
      </c>
      <c r="G838" s="17">
        <f t="shared" ca="1" si="45"/>
        <v>10822</v>
      </c>
      <c r="H838" s="3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5" customHeight="1" x14ac:dyDescent="0.3">
      <c r="A839" s="17" t="s">
        <v>644</v>
      </c>
      <c r="B839" s="17">
        <f t="shared" si="43"/>
        <v>8</v>
      </c>
      <c r="C839" s="17">
        <f t="shared" si="26"/>
        <v>84</v>
      </c>
      <c r="D839" s="17"/>
      <c r="E839" s="17">
        <f t="shared" si="44"/>
        <v>65919</v>
      </c>
      <c r="F839" s="17">
        <f t="shared" ca="1" si="1"/>
        <v>2005</v>
      </c>
      <c r="G839" s="17">
        <f t="shared" ca="1" si="45"/>
        <v>10829</v>
      </c>
      <c r="H839" s="3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5" customHeight="1" x14ac:dyDescent="0.3">
      <c r="A840" s="17" t="s">
        <v>644</v>
      </c>
      <c r="B840" s="17">
        <f t="shared" si="43"/>
        <v>8</v>
      </c>
      <c r="C840" s="17">
        <f t="shared" si="26"/>
        <v>85</v>
      </c>
      <c r="D840" s="17"/>
      <c r="E840" s="17">
        <f t="shared" si="44"/>
        <v>65919</v>
      </c>
      <c r="F840" s="17">
        <f t="shared" ca="1" si="1"/>
        <v>2005</v>
      </c>
      <c r="G840" s="17">
        <f t="shared" ca="1" si="45"/>
        <v>10823</v>
      </c>
      <c r="H840" s="30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-11200000</v>
      </c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5" customHeight="1" x14ac:dyDescent="0.3">
      <c r="A841" s="17" t="s">
        <v>644</v>
      </c>
      <c r="B841" s="17">
        <f t="shared" si="43"/>
        <v>8</v>
      </c>
      <c r="C841" s="17">
        <f t="shared" si="26"/>
        <v>86</v>
      </c>
      <c r="D841" s="17"/>
      <c r="E841" s="17">
        <f t="shared" si="44"/>
        <v>65919</v>
      </c>
      <c r="F841" s="17">
        <f t="shared" ca="1" si="1"/>
        <v>2005</v>
      </c>
      <c r="G841" s="17">
        <f t="shared" ca="1" si="45"/>
        <v>10798</v>
      </c>
      <c r="H841" s="30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5" customHeight="1" x14ac:dyDescent="0.3">
      <c r="A842" s="17" t="s">
        <v>644</v>
      </c>
      <c r="B842" s="17">
        <f t="shared" si="43"/>
        <v>8</v>
      </c>
      <c r="C842" s="17">
        <f t="shared" si="26"/>
        <v>87</v>
      </c>
      <c r="D842" s="17"/>
      <c r="E842" s="17">
        <f t="shared" si="44"/>
        <v>65919</v>
      </c>
      <c r="F842" s="17">
        <f t="shared" ca="1" si="1"/>
        <v>2005</v>
      </c>
      <c r="G842" s="17">
        <f t="shared" ca="1" si="45"/>
        <v>10799</v>
      </c>
      <c r="H842" s="30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5" customHeight="1" x14ac:dyDescent="0.3">
      <c r="A843" s="17" t="s">
        <v>644</v>
      </c>
      <c r="B843" s="17">
        <f t="shared" si="43"/>
        <v>8</v>
      </c>
      <c r="C843" s="17">
        <f t="shared" si="26"/>
        <v>88</v>
      </c>
      <c r="D843" s="17"/>
      <c r="E843" s="17">
        <f t="shared" si="44"/>
        <v>65919</v>
      </c>
      <c r="F843" s="17">
        <f t="shared" ca="1" si="1"/>
        <v>2005</v>
      </c>
      <c r="G843" s="17">
        <f t="shared" ca="1" si="45"/>
        <v>10800</v>
      </c>
      <c r="H843" s="3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5" customHeight="1" x14ac:dyDescent="0.3">
      <c r="A844" s="17" t="s">
        <v>644</v>
      </c>
      <c r="B844" s="17">
        <f t="shared" si="43"/>
        <v>8</v>
      </c>
      <c r="C844" s="17">
        <f t="shared" si="26"/>
        <v>89</v>
      </c>
      <c r="D844" s="17"/>
      <c r="E844" s="17">
        <f t="shared" si="44"/>
        <v>65919</v>
      </c>
      <c r="F844" s="17">
        <f t="shared" ca="1" si="1"/>
        <v>2005</v>
      </c>
      <c r="G844" s="17">
        <f t="shared" ca="1" si="45"/>
        <v>10824</v>
      </c>
      <c r="H844" s="30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5" customHeight="1" x14ac:dyDescent="0.3">
      <c r="A845" s="17" t="s">
        <v>644</v>
      </c>
      <c r="B845" s="17">
        <f t="shared" si="43"/>
        <v>8</v>
      </c>
      <c r="C845" s="17">
        <f t="shared" si="26"/>
        <v>90</v>
      </c>
      <c r="D845" s="17"/>
      <c r="E845" s="17">
        <f t="shared" si="44"/>
        <v>65919</v>
      </c>
      <c r="F845" s="17">
        <f t="shared" ca="1" si="1"/>
        <v>2005</v>
      </c>
      <c r="G845" s="17">
        <f t="shared" ca="1" si="45"/>
        <v>10825</v>
      </c>
      <c r="H845" s="3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5" customHeight="1" x14ac:dyDescent="0.3">
      <c r="A846" s="17" t="s">
        <v>644</v>
      </c>
      <c r="B846" s="17">
        <f t="shared" si="43"/>
        <v>8</v>
      </c>
      <c r="C846" s="17">
        <f t="shared" si="26"/>
        <v>91</v>
      </c>
      <c r="D846" s="17"/>
      <c r="E846" s="17">
        <f t="shared" si="44"/>
        <v>65919</v>
      </c>
      <c r="F846" s="17">
        <f t="shared" ca="1" si="1"/>
        <v>2005</v>
      </c>
      <c r="G846" s="17">
        <f t="shared" ca="1" si="45"/>
        <v>10826</v>
      </c>
      <c r="H846" s="3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5" customHeight="1" x14ac:dyDescent="0.3">
      <c r="A847" s="17" t="s">
        <v>644</v>
      </c>
      <c r="B847" s="17">
        <f t="shared" si="43"/>
        <v>8</v>
      </c>
      <c r="C847" s="17">
        <f t="shared" si="26"/>
        <v>92</v>
      </c>
      <c r="D847" s="17"/>
      <c r="E847" s="17">
        <f t="shared" si="44"/>
        <v>65919</v>
      </c>
      <c r="F847" s="17">
        <f t="shared" ca="1" si="1"/>
        <v>2005</v>
      </c>
      <c r="G847" s="17">
        <f t="shared" ca="1" si="45"/>
        <v>10828</v>
      </c>
      <c r="H847" s="3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5" customHeight="1" x14ac:dyDescent="0.3">
      <c r="A848" s="17" t="s">
        <v>644</v>
      </c>
      <c r="B848" s="17">
        <f t="shared" si="43"/>
        <v>8</v>
      </c>
      <c r="C848" s="17">
        <f t="shared" si="26"/>
        <v>93</v>
      </c>
      <c r="D848" s="17"/>
      <c r="E848" s="17">
        <f t="shared" si="44"/>
        <v>65919</v>
      </c>
      <c r="F848" s="17">
        <f t="shared" ca="1" si="1"/>
        <v>2005</v>
      </c>
      <c r="G848" s="17">
        <f t="shared" ca="1" si="45"/>
        <v>10827</v>
      </c>
      <c r="H848" s="2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5" customHeight="1" x14ac:dyDescent="0.3">
      <c r="A849" s="17" t="s">
        <v>644</v>
      </c>
      <c r="B849" s="17">
        <f t="shared" ref="B849:B913" si="46">B784+1</f>
        <v>9</v>
      </c>
      <c r="C849" s="17">
        <f t="shared" si="26"/>
        <v>3</v>
      </c>
      <c r="D849" s="17"/>
      <c r="E849" s="17">
        <f t="shared" si="44"/>
        <v>65919</v>
      </c>
      <c r="F849" s="17">
        <f t="shared" ca="1" si="1"/>
        <v>2006</v>
      </c>
      <c r="G849" s="17">
        <f t="shared" ca="1" si="45"/>
        <v>10703</v>
      </c>
      <c r="H849" s="2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2006</v>
      </c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5" customHeight="1" x14ac:dyDescent="0.3">
      <c r="A850" s="17" t="s">
        <v>644</v>
      </c>
      <c r="B850" s="17">
        <f t="shared" si="46"/>
        <v>9</v>
      </c>
      <c r="C850" s="17">
        <f t="shared" si="26"/>
        <v>4</v>
      </c>
      <c r="D850" s="17"/>
      <c r="E850" s="17">
        <f t="shared" si="44"/>
        <v>65919</v>
      </c>
      <c r="F850" s="17">
        <f t="shared" ca="1" si="1"/>
        <v>2006</v>
      </c>
      <c r="G850" s="17">
        <f t="shared" ca="1" si="45"/>
        <v>10845</v>
      </c>
      <c r="H850" s="2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The Office Of The State Actuary</v>
      </c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5" customHeight="1" x14ac:dyDescent="0.3">
      <c r="A851" s="17" t="s">
        <v>644</v>
      </c>
      <c r="B851" s="17">
        <f t="shared" si="46"/>
        <v>9</v>
      </c>
      <c r="C851" s="17">
        <f t="shared" si="26"/>
        <v>5</v>
      </c>
      <c r="D851" s="17"/>
      <c r="E851" s="17">
        <f t="shared" si="44"/>
        <v>65919</v>
      </c>
      <c r="F851" s="17">
        <f t="shared" ca="1" si="1"/>
        <v>2006</v>
      </c>
      <c r="G851" s="17">
        <f t="shared" ca="1" si="45"/>
        <v>10924</v>
      </c>
      <c r="H851" s="3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0.1328</v>
      </c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5" customHeight="1" x14ac:dyDescent="0.3">
      <c r="A852" s="17" t="s">
        <v>644</v>
      </c>
      <c r="B852" s="17">
        <f t="shared" si="46"/>
        <v>9</v>
      </c>
      <c r="C852" s="17">
        <f t="shared" si="26"/>
        <v>6</v>
      </c>
      <c r="D852" s="17"/>
      <c r="E852" s="17">
        <f t="shared" si="44"/>
        <v>65919</v>
      </c>
      <c r="F852" s="17">
        <f t="shared" ca="1" si="1"/>
        <v>2006</v>
      </c>
      <c r="G852" s="17">
        <f t="shared" ca="1" si="45"/>
        <v>10925</v>
      </c>
      <c r="H852" s="3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7.2999999999999995E-2</v>
      </c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5" customHeight="1" x14ac:dyDescent="0.3">
      <c r="A853" s="17" t="s">
        <v>644</v>
      </c>
      <c r="B853" s="17">
        <f t="shared" si="46"/>
        <v>9</v>
      </c>
      <c r="C853" s="17">
        <f t="shared" si="26"/>
        <v>7</v>
      </c>
      <c r="D853" s="17"/>
      <c r="E853" s="17">
        <f t="shared" si="44"/>
        <v>65919</v>
      </c>
      <c r="F853" s="17">
        <f t="shared" ca="1" si="1"/>
        <v>2006</v>
      </c>
      <c r="G853" s="17">
        <f t="shared" ca="1" si="45"/>
        <v>10926</v>
      </c>
      <c r="H853" s="3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5.9799999999999999E-2</v>
      </c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5" customHeight="1" x14ac:dyDescent="0.3">
      <c r="A854" s="17" t="s">
        <v>644</v>
      </c>
      <c r="B854" s="17">
        <f t="shared" si="46"/>
        <v>9</v>
      </c>
      <c r="C854" s="17">
        <f t="shared" si="26"/>
        <v>8</v>
      </c>
      <c r="D854" s="17"/>
      <c r="E854" s="17">
        <f t="shared" si="44"/>
        <v>65919</v>
      </c>
      <c r="F854" s="17">
        <f t="shared" ca="1" si="1"/>
        <v>2006</v>
      </c>
      <c r="G854" s="17">
        <f t="shared" ca="1" si="45"/>
        <v>10704</v>
      </c>
      <c r="H854" s="3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5" customHeight="1" x14ac:dyDescent="0.3">
      <c r="A855" s="17" t="s">
        <v>644</v>
      </c>
      <c r="B855" s="17">
        <f t="shared" si="46"/>
        <v>9</v>
      </c>
      <c r="C855" s="17">
        <f t="shared" si="26"/>
        <v>9</v>
      </c>
      <c r="D855" s="17"/>
      <c r="E855" s="17">
        <f t="shared" si="44"/>
        <v>65919</v>
      </c>
      <c r="F855" s="17">
        <f t="shared" ca="1" si="1"/>
        <v>2006</v>
      </c>
      <c r="G855" s="17">
        <f t="shared" ca="1" si="45"/>
        <v>10928</v>
      </c>
      <c r="H855" s="31" t="str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N/A</v>
      </c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5" customHeight="1" x14ac:dyDescent="0.3">
      <c r="A856" s="17" t="s">
        <v>644</v>
      </c>
      <c r="B856" s="17">
        <f t="shared" si="46"/>
        <v>9</v>
      </c>
      <c r="C856" s="17">
        <f t="shared" si="26"/>
        <v>10</v>
      </c>
      <c r="D856" s="17"/>
      <c r="E856" s="17">
        <f t="shared" si="44"/>
        <v>65919</v>
      </c>
      <c r="F856" s="17">
        <f t="shared" ca="1" si="1"/>
        <v>2006</v>
      </c>
      <c r="G856" s="17">
        <f t="shared" ca="1" si="45"/>
        <v>10929</v>
      </c>
      <c r="H856" s="31" t="str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N/A</v>
      </c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5" customHeight="1" x14ac:dyDescent="0.3">
      <c r="A857" s="17" t="s">
        <v>644</v>
      </c>
      <c r="B857" s="17">
        <f t="shared" si="46"/>
        <v>9</v>
      </c>
      <c r="C857" s="17">
        <f t="shared" si="26"/>
        <v>11</v>
      </c>
      <c r="D857" s="17"/>
      <c r="E857" s="17">
        <f t="shared" si="44"/>
        <v>65919</v>
      </c>
      <c r="F857" s="17">
        <f t="shared" ca="1" si="1"/>
        <v>2006</v>
      </c>
      <c r="G857" s="17">
        <f t="shared" ca="1" si="45"/>
        <v>10930</v>
      </c>
      <c r="H857" s="3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5" customHeight="1" x14ac:dyDescent="0.3">
      <c r="A858" s="17" t="s">
        <v>644</v>
      </c>
      <c r="B858" s="17">
        <f t="shared" si="46"/>
        <v>9</v>
      </c>
      <c r="C858" s="17">
        <f t="shared" si="26"/>
        <v>12</v>
      </c>
      <c r="D858" s="17"/>
      <c r="E858" s="17">
        <f t="shared" si="44"/>
        <v>65919</v>
      </c>
      <c r="F858" s="17">
        <f t="shared" ca="1" si="1"/>
        <v>2006</v>
      </c>
      <c r="G858" s="17">
        <f t="shared" ca="1" si="45"/>
        <v>10705</v>
      </c>
      <c r="H858" s="3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3134000</v>
      </c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5" customHeight="1" x14ac:dyDescent="0.3">
      <c r="A859" s="17" t="s">
        <v>644</v>
      </c>
      <c r="B859" s="17">
        <f t="shared" si="46"/>
        <v>9</v>
      </c>
      <c r="C859" s="17">
        <f t="shared" si="26"/>
        <v>13</v>
      </c>
      <c r="D859" s="17"/>
      <c r="E859" s="17">
        <f t="shared" si="44"/>
        <v>65919</v>
      </c>
      <c r="F859" s="17">
        <f t="shared" ca="1" si="1"/>
        <v>2006</v>
      </c>
      <c r="G859" s="17">
        <f t="shared" ca="1" si="45"/>
        <v>10842</v>
      </c>
      <c r="H859" s="3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5" customHeight="1" x14ac:dyDescent="0.3">
      <c r="A860" s="17" t="s">
        <v>644</v>
      </c>
      <c r="B860" s="17">
        <f t="shared" si="46"/>
        <v>9</v>
      </c>
      <c r="C860" s="17">
        <f t="shared" si="26"/>
        <v>14</v>
      </c>
      <c r="D860" s="17"/>
      <c r="E860" s="17">
        <f t="shared" si="44"/>
        <v>65919</v>
      </c>
      <c r="F860" s="17">
        <f t="shared" ca="1" si="1"/>
        <v>2006</v>
      </c>
      <c r="G860" s="17">
        <f t="shared" ca="1" si="45"/>
        <v>10843</v>
      </c>
      <c r="H860" s="3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5" customHeight="1" x14ac:dyDescent="0.3">
      <c r="A861" s="17" t="s">
        <v>644</v>
      </c>
      <c r="B861" s="17">
        <f t="shared" si="46"/>
        <v>9</v>
      </c>
      <c r="C861" s="17">
        <f t="shared" si="26"/>
        <v>15</v>
      </c>
      <c r="D861" s="17"/>
      <c r="E861" s="17">
        <f t="shared" si="44"/>
        <v>65919</v>
      </c>
      <c r="F861" s="17">
        <f t="shared" ca="1" si="1"/>
        <v>2006</v>
      </c>
      <c r="G861" s="17">
        <f t="shared" ca="1" si="45"/>
        <v>10931</v>
      </c>
      <c r="H861" s="3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5" customHeight="1" x14ac:dyDescent="0.3">
      <c r="A862" s="17" t="s">
        <v>644</v>
      </c>
      <c r="B862" s="17">
        <f t="shared" si="46"/>
        <v>9</v>
      </c>
      <c r="C862" s="17">
        <f t="shared" si="26"/>
        <v>16</v>
      </c>
      <c r="D862" s="17"/>
      <c r="E862" s="17">
        <f t="shared" si="44"/>
        <v>65919</v>
      </c>
      <c r="F862" s="17">
        <f t="shared" ca="1" si="1"/>
        <v>2006</v>
      </c>
      <c r="G862" s="17">
        <f t="shared" ca="1" si="45"/>
        <v>10932</v>
      </c>
      <c r="H862" s="3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5" customHeight="1" x14ac:dyDescent="0.3">
      <c r="A863" s="17" t="s">
        <v>644</v>
      </c>
      <c r="B863" s="17">
        <f t="shared" si="46"/>
        <v>9</v>
      </c>
      <c r="C863" s="17">
        <f t="shared" si="26"/>
        <v>17</v>
      </c>
      <c r="D863" s="17"/>
      <c r="E863" s="17">
        <f t="shared" si="44"/>
        <v>65919</v>
      </c>
      <c r="F863" s="17">
        <f t="shared" ca="1" si="1"/>
        <v>2006</v>
      </c>
      <c r="G863" s="17">
        <f t="shared" ca="1" si="45"/>
        <v>10933</v>
      </c>
      <c r="H863" s="3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7.2999999999999995E-2</v>
      </c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5" customHeight="1" x14ac:dyDescent="0.3">
      <c r="A864" s="17" t="s">
        <v>644</v>
      </c>
      <c r="B864" s="17">
        <f t="shared" si="46"/>
        <v>9</v>
      </c>
      <c r="C864" s="17">
        <f t="shared" si="26"/>
        <v>18</v>
      </c>
      <c r="D864" s="17"/>
      <c r="E864" s="17">
        <f t="shared" si="44"/>
        <v>65919</v>
      </c>
      <c r="F864" s="17">
        <f t="shared" ca="1" si="1"/>
        <v>2006</v>
      </c>
      <c r="G864" s="17">
        <f t="shared" ca="1" si="45"/>
        <v>10934</v>
      </c>
      <c r="H864" s="3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5.9799999999999999E-2</v>
      </c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5" customHeight="1" x14ac:dyDescent="0.3">
      <c r="A865" s="17" t="s">
        <v>644</v>
      </c>
      <c r="B865" s="17">
        <f t="shared" si="46"/>
        <v>9</v>
      </c>
      <c r="C865" s="17">
        <f t="shared" si="26"/>
        <v>19</v>
      </c>
      <c r="D865" s="17"/>
      <c r="E865" s="17">
        <f t="shared" si="44"/>
        <v>65919</v>
      </c>
      <c r="F865" s="17">
        <f t="shared" ca="1" si="1"/>
        <v>2006</v>
      </c>
      <c r="G865" s="17">
        <f t="shared" ca="1" si="45"/>
        <v>10935</v>
      </c>
      <c r="H865" s="29" t="str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Single Rate</v>
      </c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5" customHeight="1" x14ac:dyDescent="0.3">
      <c r="A866" s="17" t="s">
        <v>644</v>
      </c>
      <c r="B866" s="17">
        <f t="shared" si="46"/>
        <v>9</v>
      </c>
      <c r="C866" s="17">
        <f t="shared" si="26"/>
        <v>20</v>
      </c>
      <c r="D866" s="17"/>
      <c r="E866" s="17">
        <f t="shared" si="44"/>
        <v>65919</v>
      </c>
      <c r="F866" s="17">
        <f t="shared" ca="1" si="1"/>
        <v>2006</v>
      </c>
      <c r="G866" s="17">
        <f t="shared" ca="1" si="45"/>
        <v>10937</v>
      </c>
      <c r="H866" s="3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5" customHeight="1" x14ac:dyDescent="0.3">
      <c r="A867" s="17" t="s">
        <v>644</v>
      </c>
      <c r="B867" s="17">
        <f t="shared" si="46"/>
        <v>9</v>
      </c>
      <c r="C867" s="17">
        <f t="shared" si="26"/>
        <v>21</v>
      </c>
      <c r="D867" s="17"/>
      <c r="E867" s="17">
        <f t="shared" si="44"/>
        <v>65919</v>
      </c>
      <c r="F867" s="17">
        <f t="shared" ca="1" si="1"/>
        <v>2006</v>
      </c>
      <c r="G867" s="17">
        <f t="shared" ca="1" si="45"/>
        <v>10938</v>
      </c>
      <c r="H867" s="3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5" customHeight="1" x14ac:dyDescent="0.3">
      <c r="A868" s="17" t="s">
        <v>644</v>
      </c>
      <c r="B868" s="17">
        <f t="shared" si="46"/>
        <v>9</v>
      </c>
      <c r="C868" s="17">
        <f t="shared" si="26"/>
        <v>22</v>
      </c>
      <c r="D868" s="17"/>
      <c r="E868" s="17">
        <f t="shared" si="44"/>
        <v>65919</v>
      </c>
      <c r="F868" s="17">
        <f t="shared" ca="1" si="1"/>
        <v>2006</v>
      </c>
      <c r="G868" s="17">
        <f t="shared" ca="1" si="45"/>
        <v>11007</v>
      </c>
      <c r="H868" s="29" t="str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Accrued Benefit Formula= 2% x YOS x AFC (Max= 75% AFC)</v>
      </c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5" customHeight="1" x14ac:dyDescent="0.3">
      <c r="A869" s="17" t="s">
        <v>644</v>
      </c>
      <c r="B869" s="17">
        <f t="shared" si="46"/>
        <v>9</v>
      </c>
      <c r="C869" s="17">
        <f t="shared" si="26"/>
        <v>23</v>
      </c>
      <c r="D869" s="17"/>
      <c r="E869" s="17">
        <f t="shared" si="44"/>
        <v>65919</v>
      </c>
      <c r="F869" s="17">
        <f t="shared" ca="1" si="1"/>
        <v>2006</v>
      </c>
      <c r="G869" s="17">
        <f t="shared" ca="1" si="45"/>
        <v>10941</v>
      </c>
      <c r="H869" s="29" t="str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COLA</v>
      </c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5" customHeight="1" x14ac:dyDescent="0.3">
      <c r="A870" s="17" t="s">
        <v>644</v>
      </c>
      <c r="B870" s="17">
        <f t="shared" si="46"/>
        <v>9</v>
      </c>
      <c r="C870" s="17">
        <f t="shared" si="26"/>
        <v>24</v>
      </c>
      <c r="D870" s="17"/>
      <c r="E870" s="17">
        <f t="shared" si="44"/>
        <v>65919</v>
      </c>
      <c r="F870" s="17">
        <f t="shared" ca="1" si="1"/>
        <v>2006</v>
      </c>
      <c r="G870" s="17">
        <f t="shared" ca="1" si="45"/>
        <v>10942</v>
      </c>
      <c r="H870" s="29" t="str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Percentage</v>
      </c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5" customHeight="1" x14ac:dyDescent="0.3">
      <c r="A871" s="17" t="s">
        <v>644</v>
      </c>
      <c r="B871" s="17">
        <f t="shared" si="46"/>
        <v>9</v>
      </c>
      <c r="C871" s="17">
        <f t="shared" si="26"/>
        <v>25</v>
      </c>
      <c r="D871" s="17"/>
      <c r="E871" s="17">
        <f t="shared" si="44"/>
        <v>65919</v>
      </c>
      <c r="F871" s="17">
        <f t="shared" ca="1" si="1"/>
        <v>2006</v>
      </c>
      <c r="G871" s="17">
        <f t="shared" ca="1" si="45"/>
        <v>10701</v>
      </c>
      <c r="H871" s="3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0.03</v>
      </c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5" customHeight="1" x14ac:dyDescent="0.3">
      <c r="A872" s="17" t="s">
        <v>644</v>
      </c>
      <c r="B872" s="17">
        <f t="shared" si="46"/>
        <v>9</v>
      </c>
      <c r="C872" s="17">
        <f t="shared" si="26"/>
        <v>26</v>
      </c>
      <c r="D872" s="17"/>
      <c r="E872" s="17">
        <f t="shared" si="44"/>
        <v>65919</v>
      </c>
      <c r="F872" s="17">
        <f t="shared" ca="1" si="1"/>
        <v>2006</v>
      </c>
      <c r="G872" s="17">
        <f t="shared" ca="1" si="45"/>
        <v>10702</v>
      </c>
      <c r="H872" s="3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5" customHeight="1" x14ac:dyDescent="0.3">
      <c r="A873" s="17" t="s">
        <v>644</v>
      </c>
      <c r="B873" s="17">
        <f t="shared" si="46"/>
        <v>9</v>
      </c>
      <c r="C873" s="17">
        <f t="shared" si="26"/>
        <v>27</v>
      </c>
      <c r="D873" s="17"/>
      <c r="E873" s="17">
        <f t="shared" si="44"/>
        <v>65919</v>
      </c>
      <c r="F873" s="17">
        <f t="shared" ca="1" si="1"/>
        <v>2006</v>
      </c>
      <c r="G873" s="17">
        <f t="shared" ca="1" si="45"/>
        <v>10943</v>
      </c>
      <c r="H873" s="2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5" customHeight="1" x14ac:dyDescent="0.3">
      <c r="A874" s="17" t="s">
        <v>644</v>
      </c>
      <c r="B874" s="17">
        <f t="shared" si="46"/>
        <v>9</v>
      </c>
      <c r="C874" s="17">
        <f t="shared" si="26"/>
        <v>28</v>
      </c>
      <c r="D874" s="17"/>
      <c r="E874" s="17">
        <f t="shared" si="44"/>
        <v>65919</v>
      </c>
      <c r="F874" s="17">
        <f t="shared" ca="1" si="1"/>
        <v>2006</v>
      </c>
      <c r="G874" s="17">
        <f t="shared" ca="1" si="45"/>
        <v>10944</v>
      </c>
      <c r="H874" s="31" t="str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No</v>
      </c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5" customHeight="1" x14ac:dyDescent="0.3">
      <c r="A875" s="17" t="s">
        <v>644</v>
      </c>
      <c r="B875" s="17">
        <f t="shared" si="46"/>
        <v>9</v>
      </c>
      <c r="C875" s="17">
        <f t="shared" si="26"/>
        <v>29</v>
      </c>
      <c r="D875" s="17"/>
      <c r="E875" s="17">
        <f t="shared" si="44"/>
        <v>65919</v>
      </c>
      <c r="F875" s="17">
        <f t="shared" ca="1" si="1"/>
        <v>2006</v>
      </c>
      <c r="G875" s="17">
        <f t="shared" ca="1" si="45"/>
        <v>10945</v>
      </c>
      <c r="H875" s="31" t="str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No</v>
      </c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5" customHeight="1" x14ac:dyDescent="0.3">
      <c r="A876" s="17" t="s">
        <v>644</v>
      </c>
      <c r="B876" s="17">
        <f t="shared" si="46"/>
        <v>9</v>
      </c>
      <c r="C876" s="17">
        <f t="shared" si="26"/>
        <v>30</v>
      </c>
      <c r="D876" s="17"/>
      <c r="E876" s="17">
        <f t="shared" si="44"/>
        <v>65919</v>
      </c>
      <c r="F876" s="17">
        <f t="shared" ca="1" si="1"/>
        <v>2006</v>
      </c>
      <c r="G876" s="17">
        <f t="shared" ca="1" si="45"/>
        <v>10947</v>
      </c>
      <c r="H876" s="2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5" customHeight="1" x14ac:dyDescent="0.3">
      <c r="A877" s="17" t="s">
        <v>644</v>
      </c>
      <c r="B877" s="17">
        <f t="shared" si="46"/>
        <v>9</v>
      </c>
      <c r="C877" s="17">
        <f t="shared" si="26"/>
        <v>31</v>
      </c>
      <c r="D877" s="17"/>
      <c r="E877" s="17">
        <f t="shared" si="44"/>
        <v>65919</v>
      </c>
      <c r="F877" s="17">
        <f t="shared" ca="1" si="1"/>
        <v>2006</v>
      </c>
      <c r="G877" s="17">
        <f t="shared" ca="1" si="45"/>
        <v>10948</v>
      </c>
      <c r="H877" s="31" t="str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No</v>
      </c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5" customHeight="1" x14ac:dyDescent="0.3">
      <c r="A878" s="17" t="s">
        <v>644</v>
      </c>
      <c r="B878" s="17">
        <f t="shared" si="46"/>
        <v>9</v>
      </c>
      <c r="C878" s="17">
        <f t="shared" si="26"/>
        <v>32</v>
      </c>
      <c r="D878" s="17"/>
      <c r="E878" s="17">
        <f t="shared" si="44"/>
        <v>65919</v>
      </c>
      <c r="F878" s="17">
        <f t="shared" ca="1" si="1"/>
        <v>2006</v>
      </c>
      <c r="G878" s="17">
        <f t="shared" ca="1" si="45"/>
        <v>10949</v>
      </c>
      <c r="H878" s="31" t="str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No</v>
      </c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5" customHeight="1" x14ac:dyDescent="0.3">
      <c r="A879" s="17" t="s">
        <v>644</v>
      </c>
      <c r="B879" s="17">
        <f t="shared" si="46"/>
        <v>9</v>
      </c>
      <c r="C879" s="17">
        <f t="shared" si="26"/>
        <v>33</v>
      </c>
      <c r="D879" s="17"/>
      <c r="E879" s="17">
        <f t="shared" si="44"/>
        <v>65919</v>
      </c>
      <c r="F879" s="17">
        <f t="shared" ca="1" si="1"/>
        <v>2006</v>
      </c>
      <c r="G879" s="17">
        <f t="shared" ca="1" si="45"/>
        <v>10951</v>
      </c>
      <c r="H879" s="31" t="str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No</v>
      </c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5" customHeight="1" x14ac:dyDescent="0.3">
      <c r="A880" s="17" t="s">
        <v>644</v>
      </c>
      <c r="B880" s="17">
        <f t="shared" si="46"/>
        <v>9</v>
      </c>
      <c r="C880" s="17">
        <f t="shared" si="26"/>
        <v>34</v>
      </c>
      <c r="D880" s="17"/>
      <c r="E880" s="17">
        <f t="shared" si="44"/>
        <v>65919</v>
      </c>
      <c r="F880" s="17">
        <f t="shared" ca="1" si="1"/>
        <v>2006</v>
      </c>
      <c r="G880" s="17">
        <f t="shared" ca="1" si="45"/>
        <v>10950</v>
      </c>
      <c r="H880" s="31" t="str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No</v>
      </c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5" customHeight="1" x14ac:dyDescent="0.3">
      <c r="A881" s="17" t="s">
        <v>644</v>
      </c>
      <c r="B881" s="17">
        <f t="shared" si="46"/>
        <v>9</v>
      </c>
      <c r="C881" s="17">
        <f t="shared" si="26"/>
        <v>35</v>
      </c>
      <c r="D881" s="17"/>
      <c r="E881" s="17">
        <f t="shared" si="44"/>
        <v>65919</v>
      </c>
      <c r="F881" s="17">
        <f t="shared" ca="1" si="1"/>
        <v>2006</v>
      </c>
      <c r="G881" s="17">
        <f t="shared" ca="1" si="45"/>
        <v>10954</v>
      </c>
      <c r="H881" s="3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3.5000000000000003E-2</v>
      </c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5" customHeight="1" x14ac:dyDescent="0.3">
      <c r="A882" s="17" t="s">
        <v>644</v>
      </c>
      <c r="B882" s="17">
        <f t="shared" si="46"/>
        <v>9</v>
      </c>
      <c r="C882" s="17">
        <f t="shared" si="26"/>
        <v>36</v>
      </c>
      <c r="D882" s="17"/>
      <c r="E882" s="17">
        <f t="shared" si="44"/>
        <v>65919</v>
      </c>
      <c r="F882" s="17">
        <f t="shared" ca="1" si="1"/>
        <v>2006</v>
      </c>
      <c r="G882" s="17">
        <f t="shared" ca="1" si="45"/>
        <v>10955</v>
      </c>
      <c r="H882" s="3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0.08</v>
      </c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5" customHeight="1" x14ac:dyDescent="0.3">
      <c r="A883" s="17" t="s">
        <v>644</v>
      </c>
      <c r="B883" s="17">
        <f t="shared" si="46"/>
        <v>9</v>
      </c>
      <c r="C883" s="17">
        <f t="shared" si="26"/>
        <v>37</v>
      </c>
      <c r="D883" s="17"/>
      <c r="E883" s="17">
        <f t="shared" si="44"/>
        <v>65919</v>
      </c>
      <c r="F883" s="17">
        <f t="shared" ca="1" si="1"/>
        <v>2006</v>
      </c>
      <c r="G883" s="17">
        <f t="shared" ca="1" si="45"/>
        <v>10956</v>
      </c>
      <c r="H883" s="3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5.6249999999999996E-4</v>
      </c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5" customHeight="1" x14ac:dyDescent="0.3">
      <c r="A884" s="17" t="s">
        <v>644</v>
      </c>
      <c r="B884" s="17">
        <f t="shared" si="46"/>
        <v>9</v>
      </c>
      <c r="C884" s="17">
        <f t="shared" si="26"/>
        <v>38</v>
      </c>
      <c r="D884" s="17"/>
      <c r="E884" s="17">
        <f t="shared" si="44"/>
        <v>65919</v>
      </c>
      <c r="F884" s="17">
        <f t="shared" ca="1" si="1"/>
        <v>2006</v>
      </c>
      <c r="G884" s="17">
        <f t="shared" ca="1" si="45"/>
        <v>10959</v>
      </c>
      <c r="H884" s="3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4.4999999999999998E-2</v>
      </c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5" customHeight="1" x14ac:dyDescent="0.3">
      <c r="A885" s="17" t="s">
        <v>644</v>
      </c>
      <c r="B885" s="17">
        <f t="shared" si="46"/>
        <v>9</v>
      </c>
      <c r="C885" s="17">
        <f t="shared" si="26"/>
        <v>39</v>
      </c>
      <c r="D885" s="17"/>
      <c r="E885" s="17">
        <f t="shared" si="44"/>
        <v>65919</v>
      </c>
      <c r="F885" s="17">
        <f t="shared" ca="1" si="1"/>
        <v>2006</v>
      </c>
      <c r="G885" s="17">
        <f t="shared" ca="1" si="45"/>
        <v>10962</v>
      </c>
      <c r="H885" s="29" t="str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Pg.no.64</v>
      </c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5" customHeight="1" x14ac:dyDescent="0.3">
      <c r="A886" s="17" t="s">
        <v>644</v>
      </c>
      <c r="B886" s="17">
        <f t="shared" si="46"/>
        <v>9</v>
      </c>
      <c r="C886" s="17">
        <f t="shared" si="26"/>
        <v>40</v>
      </c>
      <c r="D886" s="17"/>
      <c r="E886" s="17">
        <f t="shared" si="44"/>
        <v>65919</v>
      </c>
      <c r="F886" s="17">
        <f t="shared" ca="1" si="1"/>
        <v>2006</v>
      </c>
      <c r="G886" s="17">
        <f t="shared" ca="1" si="45"/>
        <v>10964</v>
      </c>
      <c r="H886" s="29" t="str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Pg.no.53</v>
      </c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5" customHeight="1" x14ac:dyDescent="0.3">
      <c r="A887" s="17" t="s">
        <v>644</v>
      </c>
      <c r="B887" s="17">
        <f t="shared" si="46"/>
        <v>9</v>
      </c>
      <c r="C887" s="17">
        <f t="shared" si="26"/>
        <v>41</v>
      </c>
      <c r="D887" s="17"/>
      <c r="E887" s="17">
        <f t="shared" si="44"/>
        <v>65919</v>
      </c>
      <c r="F887" s="17">
        <f t="shared" ca="1" si="1"/>
        <v>2006</v>
      </c>
      <c r="G887" s="17">
        <f t="shared" ca="1" si="45"/>
        <v>10967</v>
      </c>
      <c r="H887" s="29" t="str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RP-2000 Combined healthy table</v>
      </c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5" customHeight="1" x14ac:dyDescent="0.3">
      <c r="A888" s="17" t="s">
        <v>644</v>
      </c>
      <c r="B888" s="17">
        <f t="shared" si="46"/>
        <v>9</v>
      </c>
      <c r="C888" s="17">
        <f t="shared" si="26"/>
        <v>42</v>
      </c>
      <c r="D888" s="17"/>
      <c r="E888" s="17">
        <f t="shared" si="44"/>
        <v>65919</v>
      </c>
      <c r="F888" s="17">
        <f t="shared" ca="1" si="1"/>
        <v>2006</v>
      </c>
      <c r="G888" s="17">
        <f t="shared" ca="1" si="45"/>
        <v>10968</v>
      </c>
      <c r="H888" s="2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2000</v>
      </c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5" customHeight="1" x14ac:dyDescent="0.3">
      <c r="A889" s="17" t="s">
        <v>644</v>
      </c>
      <c r="B889" s="17">
        <f t="shared" si="46"/>
        <v>9</v>
      </c>
      <c r="C889" s="17">
        <f t="shared" si="26"/>
        <v>43</v>
      </c>
      <c r="D889" s="17"/>
      <c r="E889" s="17">
        <f t="shared" si="44"/>
        <v>65919</v>
      </c>
      <c r="F889" s="17">
        <f t="shared" ca="1" si="1"/>
        <v>2006</v>
      </c>
      <c r="G889" s="17">
        <f t="shared" ca="1" si="45"/>
        <v>10969</v>
      </c>
      <c r="H889" s="29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5" customHeight="1" x14ac:dyDescent="0.3">
      <c r="A890" s="17" t="s">
        <v>644</v>
      </c>
      <c r="B890" s="17">
        <f t="shared" si="46"/>
        <v>9</v>
      </c>
      <c r="C890" s="17">
        <f t="shared" si="26"/>
        <v>44</v>
      </c>
      <c r="D890" s="17"/>
      <c r="E890" s="17">
        <f t="shared" si="44"/>
        <v>65919</v>
      </c>
      <c r="F890" s="17">
        <f t="shared" ca="1" si="1"/>
        <v>2006</v>
      </c>
      <c r="G890" s="17">
        <f t="shared" ca="1" si="45"/>
        <v>10970</v>
      </c>
      <c r="H890" s="2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5" customHeight="1" x14ac:dyDescent="0.3">
      <c r="A891" s="17" t="s">
        <v>644</v>
      </c>
      <c r="B891" s="17">
        <f t="shared" si="46"/>
        <v>9</v>
      </c>
      <c r="C891" s="17">
        <f t="shared" si="26"/>
        <v>45</v>
      </c>
      <c r="D891" s="17"/>
      <c r="E891" s="17">
        <f t="shared" si="44"/>
        <v>65919</v>
      </c>
      <c r="F891" s="17">
        <f t="shared" ca="1" si="1"/>
        <v>2006</v>
      </c>
      <c r="G891" s="17">
        <f t="shared" ca="1" si="45"/>
        <v>10971</v>
      </c>
      <c r="H891" s="2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5" customHeight="1" x14ac:dyDescent="0.3">
      <c r="A892" s="17" t="s">
        <v>644</v>
      </c>
      <c r="B892" s="17">
        <f t="shared" si="46"/>
        <v>9</v>
      </c>
      <c r="C892" s="17">
        <f t="shared" si="26"/>
        <v>46</v>
      </c>
      <c r="D892" s="17"/>
      <c r="E892" s="17">
        <f t="shared" si="44"/>
        <v>65919</v>
      </c>
      <c r="F892" s="17">
        <f t="shared" ca="1" si="1"/>
        <v>2006</v>
      </c>
      <c r="G892" s="17">
        <f t="shared" ca="1" si="45"/>
        <v>10972</v>
      </c>
      <c r="H892" s="29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N/A</v>
      </c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5" customHeight="1" x14ac:dyDescent="0.3">
      <c r="A893" s="17" t="s">
        <v>644</v>
      </c>
      <c r="B893" s="17">
        <f t="shared" si="46"/>
        <v>9</v>
      </c>
      <c r="C893" s="17">
        <f t="shared" si="26"/>
        <v>47</v>
      </c>
      <c r="D893" s="17"/>
      <c r="E893" s="17">
        <f t="shared" si="44"/>
        <v>65919</v>
      </c>
      <c r="F893" s="17">
        <f t="shared" ca="1" si="1"/>
        <v>2006</v>
      </c>
      <c r="G893" s="17">
        <f t="shared" ca="1" si="45"/>
        <v>10973</v>
      </c>
      <c r="H893" s="29" t="str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N/A</v>
      </c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5" customHeight="1" x14ac:dyDescent="0.3">
      <c r="A894" s="17" t="s">
        <v>644</v>
      </c>
      <c r="B894" s="17">
        <f t="shared" si="46"/>
        <v>9</v>
      </c>
      <c r="C894" s="17">
        <f t="shared" si="26"/>
        <v>48</v>
      </c>
      <c r="D894" s="17"/>
      <c r="E894" s="17">
        <f t="shared" si="44"/>
        <v>65919</v>
      </c>
      <c r="F894" s="17">
        <f t="shared" ca="1" si="1"/>
        <v>2006</v>
      </c>
      <c r="G894" s="17">
        <f t="shared" ca="1" si="45"/>
        <v>10975</v>
      </c>
      <c r="H894" s="29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 xml:space="preserve">Aggregate   </v>
      </c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5" customHeight="1" x14ac:dyDescent="0.3">
      <c r="A895" s="17" t="s">
        <v>644</v>
      </c>
      <c r="B895" s="17">
        <f t="shared" si="46"/>
        <v>9</v>
      </c>
      <c r="C895" s="17">
        <f t="shared" si="26"/>
        <v>49</v>
      </c>
      <c r="D895" s="17"/>
      <c r="E895" s="17">
        <f t="shared" si="44"/>
        <v>65919</v>
      </c>
      <c r="F895" s="17">
        <f t="shared" ca="1" si="1"/>
        <v>2006</v>
      </c>
      <c r="G895" s="17">
        <f t="shared" ca="1" si="45"/>
        <v>10976</v>
      </c>
      <c r="H895" s="3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0.08</v>
      </c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5" customHeight="1" x14ac:dyDescent="0.3">
      <c r="A896" s="17" t="s">
        <v>644</v>
      </c>
      <c r="B896" s="17">
        <f t="shared" si="46"/>
        <v>9</v>
      </c>
      <c r="C896" s="17">
        <f t="shared" si="26"/>
        <v>50</v>
      </c>
      <c r="D896" s="17"/>
      <c r="E896" s="17">
        <f t="shared" si="44"/>
        <v>65919</v>
      </c>
      <c r="F896" s="17">
        <f t="shared" ca="1" si="1"/>
        <v>2006</v>
      </c>
      <c r="G896" s="17">
        <f t="shared" ca="1" si="45"/>
        <v>10977</v>
      </c>
      <c r="H896" s="31" t="str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No</v>
      </c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5" customHeight="1" x14ac:dyDescent="0.3">
      <c r="A897" s="17" t="s">
        <v>644</v>
      </c>
      <c r="B897" s="17">
        <f t="shared" si="46"/>
        <v>9</v>
      </c>
      <c r="C897" s="17">
        <f t="shared" si="26"/>
        <v>51</v>
      </c>
      <c r="D897" s="17"/>
      <c r="E897" s="17">
        <f t="shared" si="44"/>
        <v>65919</v>
      </c>
      <c r="F897" s="17">
        <f t="shared" ca="1" si="1"/>
        <v>2006</v>
      </c>
      <c r="G897" s="17">
        <f t="shared" ca="1" si="45"/>
        <v>10978</v>
      </c>
      <c r="H897" s="3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0.08</v>
      </c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5" customHeight="1" x14ac:dyDescent="0.3">
      <c r="A898" s="17" t="s">
        <v>644</v>
      </c>
      <c r="B898" s="17">
        <f t="shared" si="46"/>
        <v>9</v>
      </c>
      <c r="C898" s="17">
        <f t="shared" si="26"/>
        <v>52</v>
      </c>
      <c r="D898" s="17"/>
      <c r="E898" s="17">
        <f t="shared" si="44"/>
        <v>65919</v>
      </c>
      <c r="F898" s="17">
        <f t="shared" ca="1" si="1"/>
        <v>2006</v>
      </c>
      <c r="G898" s="17">
        <f t="shared" ca="1" si="45"/>
        <v>10979</v>
      </c>
      <c r="H898" s="29" t="str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8 Years</v>
      </c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5" customHeight="1" x14ac:dyDescent="0.3">
      <c r="A899" s="17" t="s">
        <v>644</v>
      </c>
      <c r="B899" s="17">
        <f t="shared" si="46"/>
        <v>9</v>
      </c>
      <c r="C899" s="17">
        <f t="shared" si="26"/>
        <v>53</v>
      </c>
      <c r="D899" s="17"/>
      <c r="E899" s="17">
        <f t="shared" si="44"/>
        <v>65919</v>
      </c>
      <c r="F899" s="17">
        <f t="shared" ca="1" si="1"/>
        <v>2006</v>
      </c>
      <c r="G899" s="17">
        <f t="shared" ca="1" si="45"/>
        <v>10980</v>
      </c>
      <c r="H899" s="3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0.109</v>
      </c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5" customHeight="1" x14ac:dyDescent="0.3">
      <c r="A900" s="17" t="s">
        <v>644</v>
      </c>
      <c r="B900" s="17">
        <f t="shared" si="46"/>
        <v>9</v>
      </c>
      <c r="C900" s="17">
        <f t="shared" si="26"/>
        <v>54</v>
      </c>
      <c r="D900" s="17"/>
      <c r="E900" s="17">
        <f t="shared" ref="E900:E963" si="47">plan_id</f>
        <v>65919</v>
      </c>
      <c r="F900" s="17">
        <f t="shared" ca="1" si="1"/>
        <v>2006</v>
      </c>
      <c r="G900" s="17">
        <f t="shared" ref="G900:G963" ca="1" si="48">VLOOKUP(INDIRECT(CHAR(39)&amp;$A900&amp;CHAR(39)&amp;"!r2c"&amp;$C900,0),variables,2,0)</f>
        <v>10981</v>
      </c>
      <c r="H900" s="3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0.158</v>
      </c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5" customHeight="1" x14ac:dyDescent="0.3">
      <c r="A901" s="17" t="s">
        <v>644</v>
      </c>
      <c r="B901" s="17">
        <f t="shared" si="46"/>
        <v>9</v>
      </c>
      <c r="C901" s="17">
        <f t="shared" si="26"/>
        <v>55</v>
      </c>
      <c r="D901" s="17"/>
      <c r="E901" s="17">
        <f t="shared" si="47"/>
        <v>65919</v>
      </c>
      <c r="F901" s="17">
        <f t="shared" ca="1" si="1"/>
        <v>2006</v>
      </c>
      <c r="G901" s="17">
        <f t="shared" ca="1" si="48"/>
        <v>10706</v>
      </c>
      <c r="H901" s="3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4.9867691724774345E-4</v>
      </c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5" customHeight="1" x14ac:dyDescent="0.3">
      <c r="A902" s="17" t="s">
        <v>644</v>
      </c>
      <c r="B902" s="17">
        <f t="shared" si="46"/>
        <v>9</v>
      </c>
      <c r="C902" s="17">
        <f t="shared" si="26"/>
        <v>56</v>
      </c>
      <c r="D902" s="17"/>
      <c r="E902" s="17">
        <f t="shared" si="47"/>
        <v>65919</v>
      </c>
      <c r="F902" s="17">
        <f t="shared" ca="1" si="1"/>
        <v>2006</v>
      </c>
      <c r="G902" s="17">
        <f t="shared" ca="1" si="48"/>
        <v>10983</v>
      </c>
      <c r="H902" s="30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No</v>
      </c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5" customHeight="1" x14ac:dyDescent="0.3">
      <c r="A903" s="17" t="s">
        <v>644</v>
      </c>
      <c r="B903" s="17">
        <f t="shared" si="46"/>
        <v>9</v>
      </c>
      <c r="C903" s="17">
        <f t="shared" si="26"/>
        <v>57</v>
      </c>
      <c r="D903" s="17"/>
      <c r="E903" s="17">
        <f t="shared" si="47"/>
        <v>65919</v>
      </c>
      <c r="F903" s="17">
        <f t="shared" ca="1" si="1"/>
        <v>2006</v>
      </c>
      <c r="G903" s="17">
        <f t="shared" ca="1" si="48"/>
        <v>10989</v>
      </c>
      <c r="H903" s="3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743000000</v>
      </c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5" customHeight="1" x14ac:dyDescent="0.3">
      <c r="A904" s="17" t="s">
        <v>644</v>
      </c>
      <c r="B904" s="17">
        <f t="shared" si="46"/>
        <v>9</v>
      </c>
      <c r="C904" s="17">
        <f t="shared" si="26"/>
        <v>58</v>
      </c>
      <c r="D904" s="17"/>
      <c r="E904" s="17">
        <f t="shared" si="47"/>
        <v>65919</v>
      </c>
      <c r="F904" s="17">
        <f t="shared" ca="1" si="1"/>
        <v>2006</v>
      </c>
      <c r="G904" s="17">
        <f t="shared" ca="1" si="48"/>
        <v>10990</v>
      </c>
      <c r="H904" s="30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654000000</v>
      </c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5" customHeight="1" x14ac:dyDescent="0.3">
      <c r="A905" s="17" t="s">
        <v>644</v>
      </c>
      <c r="B905" s="17">
        <f t="shared" si="46"/>
        <v>9</v>
      </c>
      <c r="C905" s="17">
        <f t="shared" si="26"/>
        <v>59</v>
      </c>
      <c r="D905" s="17"/>
      <c r="E905" s="17">
        <f t="shared" si="47"/>
        <v>65919</v>
      </c>
      <c r="F905" s="17">
        <f t="shared" ca="1" si="1"/>
        <v>2006</v>
      </c>
      <c r="G905" s="17">
        <f t="shared" ca="1" si="48"/>
        <v>10991</v>
      </c>
      <c r="H905" s="3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-89000000</v>
      </c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5" customHeight="1" x14ac:dyDescent="0.3">
      <c r="A906" s="17" t="s">
        <v>644</v>
      </c>
      <c r="B906" s="17">
        <f t="shared" si="46"/>
        <v>9</v>
      </c>
      <c r="C906" s="17">
        <f t="shared" si="26"/>
        <v>60</v>
      </c>
      <c r="D906" s="17"/>
      <c r="E906" s="17">
        <f t="shared" si="47"/>
        <v>65919</v>
      </c>
      <c r="F906" s="17">
        <f t="shared" ca="1" si="1"/>
        <v>2006</v>
      </c>
      <c r="G906" s="17">
        <f t="shared" ca="1" si="48"/>
        <v>10992</v>
      </c>
      <c r="H906" s="3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1.1362000000000001</v>
      </c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5" customHeight="1" x14ac:dyDescent="0.3">
      <c r="A907" s="17" t="s">
        <v>644</v>
      </c>
      <c r="B907" s="17">
        <f t="shared" si="46"/>
        <v>9</v>
      </c>
      <c r="C907" s="17">
        <f t="shared" si="26"/>
        <v>61</v>
      </c>
      <c r="D907" s="17"/>
      <c r="E907" s="17">
        <f t="shared" si="47"/>
        <v>65919</v>
      </c>
      <c r="F907" s="17">
        <f t="shared" ca="1" si="1"/>
        <v>2006</v>
      </c>
      <c r="G907" s="17">
        <f t="shared" ca="1" si="48"/>
        <v>10993</v>
      </c>
      <c r="H907" s="30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63000000</v>
      </c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5" customHeight="1" x14ac:dyDescent="0.3">
      <c r="A908" s="17" t="s">
        <v>644</v>
      </c>
      <c r="B908" s="17">
        <f t="shared" si="46"/>
        <v>9</v>
      </c>
      <c r="C908" s="17">
        <f t="shared" si="26"/>
        <v>62</v>
      </c>
      <c r="D908" s="17"/>
      <c r="E908" s="17">
        <f t="shared" si="47"/>
        <v>65919</v>
      </c>
      <c r="F908" s="17">
        <f t="shared" ca="1" si="1"/>
        <v>2006</v>
      </c>
      <c r="G908" s="17">
        <f t="shared" ca="1" si="48"/>
        <v>10801</v>
      </c>
      <c r="H908" s="30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-19600000</v>
      </c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5" customHeight="1" x14ac:dyDescent="0.3">
      <c r="A909" s="17" t="s">
        <v>644</v>
      </c>
      <c r="B909" s="17">
        <f t="shared" si="46"/>
        <v>9</v>
      </c>
      <c r="C909" s="17">
        <f t="shared" si="26"/>
        <v>63</v>
      </c>
      <c r="D909" s="17"/>
      <c r="E909" s="17">
        <f t="shared" si="47"/>
        <v>65919</v>
      </c>
      <c r="F909" s="17">
        <f t="shared" ca="1" si="1"/>
        <v>2006</v>
      </c>
      <c r="G909" s="17">
        <f t="shared" ca="1" si="48"/>
        <v>10802</v>
      </c>
      <c r="H909" s="30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5" customHeight="1" x14ac:dyDescent="0.3">
      <c r="A910" s="17" t="s">
        <v>644</v>
      </c>
      <c r="B910" s="17">
        <f t="shared" si="46"/>
        <v>9</v>
      </c>
      <c r="C910" s="17">
        <f t="shared" si="26"/>
        <v>64</v>
      </c>
      <c r="D910" s="17"/>
      <c r="E910" s="17">
        <f t="shared" si="47"/>
        <v>65919</v>
      </c>
      <c r="F910" s="17">
        <f t="shared" ca="1" si="1"/>
        <v>2006</v>
      </c>
      <c r="G910" s="17">
        <f t="shared" ca="1" si="48"/>
        <v>10803</v>
      </c>
      <c r="H910" s="3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5" customHeight="1" x14ac:dyDescent="0.3">
      <c r="A911" s="17" t="s">
        <v>644</v>
      </c>
      <c r="B911" s="17">
        <f t="shared" si="46"/>
        <v>9</v>
      </c>
      <c r="C911" s="17">
        <f t="shared" si="26"/>
        <v>65</v>
      </c>
      <c r="D911" s="17"/>
      <c r="E911" s="17">
        <f t="shared" si="47"/>
        <v>65919</v>
      </c>
      <c r="F911" s="17">
        <f t="shared" ca="1" si="1"/>
        <v>2006</v>
      </c>
      <c r="G911" s="17">
        <f t="shared" ca="1" si="48"/>
        <v>10804</v>
      </c>
      <c r="H911" s="3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5" customHeight="1" x14ac:dyDescent="0.3">
      <c r="A912" s="17" t="s">
        <v>644</v>
      </c>
      <c r="B912" s="17">
        <f t="shared" si="46"/>
        <v>9</v>
      </c>
      <c r="C912" s="17">
        <f t="shared" si="26"/>
        <v>66</v>
      </c>
      <c r="D912" s="17"/>
      <c r="E912" s="17">
        <f t="shared" si="47"/>
        <v>65919</v>
      </c>
      <c r="F912" s="17">
        <f t="shared" ca="1" si="1"/>
        <v>2006</v>
      </c>
      <c r="G912" s="17">
        <f t="shared" ca="1" si="48"/>
        <v>10805</v>
      </c>
      <c r="H912" s="3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5" customHeight="1" x14ac:dyDescent="0.3">
      <c r="A913" s="17" t="s">
        <v>644</v>
      </c>
      <c r="B913" s="17">
        <f t="shared" si="46"/>
        <v>9</v>
      </c>
      <c r="C913" s="17">
        <f t="shared" si="26"/>
        <v>67</v>
      </c>
      <c r="D913" s="17"/>
      <c r="E913" s="17">
        <f t="shared" si="47"/>
        <v>65919</v>
      </c>
      <c r="F913" s="17">
        <f t="shared" ca="1" si="1"/>
        <v>2006</v>
      </c>
      <c r="G913" s="17">
        <f t="shared" ca="1" si="48"/>
        <v>10806</v>
      </c>
      <c r="H913" s="30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5" customHeight="1" x14ac:dyDescent="0.3">
      <c r="A914" s="17" t="s">
        <v>644</v>
      </c>
      <c r="B914" s="17">
        <f t="shared" ref="B914:B939" si="49">B913</f>
        <v>9</v>
      </c>
      <c r="C914" s="17">
        <f t="shared" si="26"/>
        <v>68</v>
      </c>
      <c r="D914" s="17"/>
      <c r="E914" s="17">
        <f t="shared" si="47"/>
        <v>65919</v>
      </c>
      <c r="F914" s="17">
        <f t="shared" ca="1" si="1"/>
        <v>2006</v>
      </c>
      <c r="G914" s="17">
        <f t="shared" ca="1" si="48"/>
        <v>10807</v>
      </c>
      <c r="H914" s="30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5" customHeight="1" x14ac:dyDescent="0.3">
      <c r="A915" s="17" t="s">
        <v>644</v>
      </c>
      <c r="B915" s="17">
        <f t="shared" si="49"/>
        <v>9</v>
      </c>
      <c r="C915" s="17">
        <f t="shared" si="26"/>
        <v>69</v>
      </c>
      <c r="D915" s="17"/>
      <c r="E915" s="17">
        <f t="shared" si="47"/>
        <v>65919</v>
      </c>
      <c r="F915" s="17">
        <f t="shared" ca="1" si="1"/>
        <v>2006</v>
      </c>
      <c r="G915" s="17">
        <f t="shared" ca="1" si="48"/>
        <v>10808</v>
      </c>
      <c r="H915" s="3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5" customHeight="1" x14ac:dyDescent="0.3">
      <c r="A916" s="17" t="s">
        <v>644</v>
      </c>
      <c r="B916" s="17">
        <f t="shared" si="49"/>
        <v>9</v>
      </c>
      <c r="C916" s="17">
        <f t="shared" si="26"/>
        <v>70</v>
      </c>
      <c r="D916" s="17"/>
      <c r="E916" s="17">
        <f t="shared" si="47"/>
        <v>65919</v>
      </c>
      <c r="F916" s="17">
        <f t="shared" ca="1" si="1"/>
        <v>2006</v>
      </c>
      <c r="G916" s="17">
        <f t="shared" ca="1" si="48"/>
        <v>10809</v>
      </c>
      <c r="H916" s="30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5" customHeight="1" x14ac:dyDescent="0.3">
      <c r="A917" s="17" t="s">
        <v>644</v>
      </c>
      <c r="B917" s="17">
        <f t="shared" si="49"/>
        <v>9</v>
      </c>
      <c r="C917" s="17">
        <f t="shared" si="26"/>
        <v>71</v>
      </c>
      <c r="D917" s="17"/>
      <c r="E917" s="17">
        <f t="shared" si="47"/>
        <v>65919</v>
      </c>
      <c r="F917" s="17">
        <f t="shared" ca="1" si="1"/>
        <v>2006</v>
      </c>
      <c r="G917" s="17">
        <f t="shared" ca="1" si="48"/>
        <v>10810</v>
      </c>
      <c r="H917" s="30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5" customHeight="1" x14ac:dyDescent="0.3">
      <c r="A918" s="17" t="s">
        <v>644</v>
      </c>
      <c r="B918" s="17">
        <f t="shared" si="49"/>
        <v>9</v>
      </c>
      <c r="C918" s="17">
        <f t="shared" si="26"/>
        <v>72</v>
      </c>
      <c r="D918" s="17"/>
      <c r="E918" s="17">
        <f t="shared" si="47"/>
        <v>65919</v>
      </c>
      <c r="F918" s="17">
        <f t="shared" ca="1" si="1"/>
        <v>2006</v>
      </c>
      <c r="G918" s="17">
        <f t="shared" ca="1" si="48"/>
        <v>10811</v>
      </c>
      <c r="H918" s="30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5" customHeight="1" x14ac:dyDescent="0.3">
      <c r="A919" s="17" t="s">
        <v>644</v>
      </c>
      <c r="B919" s="17">
        <f t="shared" si="49"/>
        <v>9</v>
      </c>
      <c r="C919" s="17">
        <f t="shared" si="26"/>
        <v>73</v>
      </c>
      <c r="D919" s="17"/>
      <c r="E919" s="17">
        <f t="shared" si="47"/>
        <v>65919</v>
      </c>
      <c r="F919" s="17">
        <f t="shared" ca="1" si="1"/>
        <v>2006</v>
      </c>
      <c r="G919" s="17">
        <f t="shared" ca="1" si="48"/>
        <v>10812</v>
      </c>
      <c r="H919" s="30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5" customHeight="1" x14ac:dyDescent="0.3">
      <c r="A920" s="17" t="s">
        <v>644</v>
      </c>
      <c r="B920" s="17">
        <f t="shared" si="49"/>
        <v>9</v>
      </c>
      <c r="C920" s="17">
        <f t="shared" si="26"/>
        <v>74</v>
      </c>
      <c r="D920" s="17"/>
      <c r="E920" s="17">
        <f t="shared" si="47"/>
        <v>65919</v>
      </c>
      <c r="F920" s="17">
        <f t="shared" ca="1" si="1"/>
        <v>2006</v>
      </c>
      <c r="G920" s="17">
        <f t="shared" ca="1" si="48"/>
        <v>10813</v>
      </c>
      <c r="H920" s="3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5" customHeight="1" x14ac:dyDescent="0.3">
      <c r="A921" s="17" t="s">
        <v>644</v>
      </c>
      <c r="B921" s="17">
        <f t="shared" si="49"/>
        <v>9</v>
      </c>
      <c r="C921" s="17">
        <f t="shared" si="26"/>
        <v>75</v>
      </c>
      <c r="D921" s="17"/>
      <c r="E921" s="17">
        <f t="shared" si="47"/>
        <v>65919</v>
      </c>
      <c r="F921" s="17">
        <f t="shared" ca="1" si="1"/>
        <v>2006</v>
      </c>
      <c r="G921" s="17">
        <f t="shared" ca="1" si="48"/>
        <v>10814</v>
      </c>
      <c r="H921" s="3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5" customHeight="1" x14ac:dyDescent="0.3">
      <c r="A922" s="17" t="s">
        <v>644</v>
      </c>
      <c r="B922" s="17">
        <f t="shared" si="49"/>
        <v>9</v>
      </c>
      <c r="C922" s="17">
        <f t="shared" si="26"/>
        <v>76</v>
      </c>
      <c r="D922" s="17"/>
      <c r="E922" s="17">
        <f t="shared" si="47"/>
        <v>65919</v>
      </c>
      <c r="F922" s="17">
        <f t="shared" ca="1" si="1"/>
        <v>2006</v>
      </c>
      <c r="G922" s="17">
        <f t="shared" ca="1" si="48"/>
        <v>10815</v>
      </c>
      <c r="H922" s="3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-1200000</v>
      </c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5" customHeight="1" x14ac:dyDescent="0.3">
      <c r="A923" s="17" t="s">
        <v>644</v>
      </c>
      <c r="B923" s="17">
        <f t="shared" si="49"/>
        <v>9</v>
      </c>
      <c r="C923" s="17">
        <f t="shared" si="26"/>
        <v>77</v>
      </c>
      <c r="D923" s="17"/>
      <c r="E923" s="17">
        <f t="shared" si="47"/>
        <v>65919</v>
      </c>
      <c r="F923" s="17">
        <f t="shared" ca="1" si="1"/>
        <v>2006</v>
      </c>
      <c r="G923" s="17">
        <f t="shared" ca="1" si="48"/>
        <v>10816</v>
      </c>
      <c r="H923" s="30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1900000</v>
      </c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5" customHeight="1" x14ac:dyDescent="0.3">
      <c r="A924" s="17" t="s">
        <v>644</v>
      </c>
      <c r="B924" s="17">
        <f t="shared" si="49"/>
        <v>9</v>
      </c>
      <c r="C924" s="17">
        <f t="shared" si="26"/>
        <v>78</v>
      </c>
      <c r="D924" s="17"/>
      <c r="E924" s="17">
        <f t="shared" si="47"/>
        <v>65919</v>
      </c>
      <c r="F924" s="17">
        <f t="shared" ca="1" si="1"/>
        <v>2006</v>
      </c>
      <c r="G924" s="17">
        <f t="shared" ca="1" si="48"/>
        <v>10817</v>
      </c>
      <c r="H924" s="30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5" customHeight="1" x14ac:dyDescent="0.3">
      <c r="A925" s="17" t="s">
        <v>644</v>
      </c>
      <c r="B925" s="17">
        <f t="shared" si="49"/>
        <v>9</v>
      </c>
      <c r="C925" s="17">
        <f t="shared" si="26"/>
        <v>79</v>
      </c>
      <c r="D925" s="17"/>
      <c r="E925" s="17">
        <f t="shared" si="47"/>
        <v>65919</v>
      </c>
      <c r="F925" s="17">
        <f t="shared" ca="1" si="1"/>
        <v>2006</v>
      </c>
      <c r="G925" s="17">
        <f t="shared" ca="1" si="48"/>
        <v>10818</v>
      </c>
      <c r="H925" s="30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5" customHeight="1" x14ac:dyDescent="0.3">
      <c r="A926" s="17" t="s">
        <v>644</v>
      </c>
      <c r="B926" s="17">
        <f t="shared" si="49"/>
        <v>9</v>
      </c>
      <c r="C926" s="17">
        <f t="shared" si="26"/>
        <v>80</v>
      </c>
      <c r="D926" s="17"/>
      <c r="E926" s="17">
        <f t="shared" si="47"/>
        <v>65919</v>
      </c>
      <c r="F926" s="17">
        <f t="shared" ca="1" si="1"/>
        <v>2006</v>
      </c>
      <c r="G926" s="17">
        <f t="shared" ca="1" si="48"/>
        <v>10819</v>
      </c>
      <c r="H926" s="30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700000</v>
      </c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5" customHeight="1" x14ac:dyDescent="0.3">
      <c r="A927" s="17" t="s">
        <v>644</v>
      </c>
      <c r="B927" s="17">
        <f t="shared" si="49"/>
        <v>9</v>
      </c>
      <c r="C927" s="17">
        <f t="shared" si="26"/>
        <v>81</v>
      </c>
      <c r="D927" s="17"/>
      <c r="E927" s="17">
        <f t="shared" si="47"/>
        <v>65919</v>
      </c>
      <c r="F927" s="17">
        <f t="shared" ca="1" si="1"/>
        <v>2006</v>
      </c>
      <c r="G927" s="17">
        <f t="shared" ca="1" si="48"/>
        <v>10820</v>
      </c>
      <c r="H927" s="3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5" customHeight="1" x14ac:dyDescent="0.3">
      <c r="A928" s="17" t="s">
        <v>644</v>
      </c>
      <c r="B928" s="17">
        <f t="shared" si="49"/>
        <v>9</v>
      </c>
      <c r="C928" s="17">
        <f t="shared" si="26"/>
        <v>82</v>
      </c>
      <c r="D928" s="17"/>
      <c r="E928" s="17">
        <f t="shared" si="47"/>
        <v>65919</v>
      </c>
      <c r="F928" s="17">
        <f t="shared" ca="1" si="1"/>
        <v>2006</v>
      </c>
      <c r="G928" s="17">
        <f t="shared" ca="1" si="48"/>
        <v>10821</v>
      </c>
      <c r="H928" s="3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5" customHeight="1" x14ac:dyDescent="0.3">
      <c r="A929" s="17" t="s">
        <v>644</v>
      </c>
      <c r="B929" s="17">
        <f t="shared" si="49"/>
        <v>9</v>
      </c>
      <c r="C929" s="17">
        <f t="shared" si="26"/>
        <v>83</v>
      </c>
      <c r="D929" s="17"/>
      <c r="E929" s="17">
        <f t="shared" si="47"/>
        <v>65919</v>
      </c>
      <c r="F929" s="17">
        <f t="shared" ca="1" si="1"/>
        <v>2006</v>
      </c>
      <c r="G929" s="17">
        <f t="shared" ca="1" si="48"/>
        <v>10822</v>
      </c>
      <c r="H929" s="3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5" customHeight="1" x14ac:dyDescent="0.3">
      <c r="A930" s="17" t="s">
        <v>644</v>
      </c>
      <c r="B930" s="17">
        <f t="shared" si="49"/>
        <v>9</v>
      </c>
      <c r="C930" s="17">
        <f t="shared" si="26"/>
        <v>84</v>
      </c>
      <c r="D930" s="17"/>
      <c r="E930" s="17">
        <f t="shared" si="47"/>
        <v>65919</v>
      </c>
      <c r="F930" s="17">
        <f t="shared" ca="1" si="1"/>
        <v>2006</v>
      </c>
      <c r="G930" s="17">
        <f t="shared" ca="1" si="48"/>
        <v>10829</v>
      </c>
      <c r="H930" s="3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5" customHeight="1" x14ac:dyDescent="0.3">
      <c r="A931" s="17" t="s">
        <v>644</v>
      </c>
      <c r="B931" s="17">
        <f t="shared" si="49"/>
        <v>9</v>
      </c>
      <c r="C931" s="17">
        <f t="shared" si="26"/>
        <v>85</v>
      </c>
      <c r="D931" s="17"/>
      <c r="E931" s="17">
        <f t="shared" si="47"/>
        <v>65919</v>
      </c>
      <c r="F931" s="17">
        <f t="shared" ca="1" si="1"/>
        <v>2006</v>
      </c>
      <c r="G931" s="17">
        <f t="shared" ca="1" si="48"/>
        <v>10823</v>
      </c>
      <c r="H931" s="30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-18200000</v>
      </c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5" customHeight="1" x14ac:dyDescent="0.3">
      <c r="A932" s="17" t="s">
        <v>644</v>
      </c>
      <c r="B932" s="17">
        <f t="shared" si="49"/>
        <v>9</v>
      </c>
      <c r="C932" s="17">
        <f t="shared" si="26"/>
        <v>86</v>
      </c>
      <c r="D932" s="17"/>
      <c r="E932" s="17">
        <f t="shared" si="47"/>
        <v>65919</v>
      </c>
      <c r="F932" s="17">
        <f t="shared" ca="1" si="1"/>
        <v>2006</v>
      </c>
      <c r="G932" s="17">
        <f t="shared" ca="1" si="48"/>
        <v>10798</v>
      </c>
      <c r="H932" s="30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5" customHeight="1" x14ac:dyDescent="0.3">
      <c r="A933" s="17" t="s">
        <v>644</v>
      </c>
      <c r="B933" s="17">
        <f t="shared" si="49"/>
        <v>9</v>
      </c>
      <c r="C933" s="17">
        <f t="shared" si="26"/>
        <v>87</v>
      </c>
      <c r="D933" s="17"/>
      <c r="E933" s="17">
        <f t="shared" si="47"/>
        <v>65919</v>
      </c>
      <c r="F933" s="17">
        <f t="shared" ca="1" si="1"/>
        <v>2006</v>
      </c>
      <c r="G933" s="17">
        <f t="shared" ca="1" si="48"/>
        <v>10799</v>
      </c>
      <c r="H933" s="30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5" customHeight="1" x14ac:dyDescent="0.3">
      <c r="A934" s="17" t="s">
        <v>644</v>
      </c>
      <c r="B934" s="17">
        <f t="shared" si="49"/>
        <v>9</v>
      </c>
      <c r="C934" s="17">
        <f t="shared" si="26"/>
        <v>88</v>
      </c>
      <c r="D934" s="17"/>
      <c r="E934" s="17">
        <f t="shared" si="47"/>
        <v>65919</v>
      </c>
      <c r="F934" s="17">
        <f t="shared" ca="1" si="1"/>
        <v>2006</v>
      </c>
      <c r="G934" s="17">
        <f t="shared" ca="1" si="48"/>
        <v>10800</v>
      </c>
      <c r="H934" s="3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5" customHeight="1" x14ac:dyDescent="0.3">
      <c r="A935" s="17" t="s">
        <v>644</v>
      </c>
      <c r="B935" s="17">
        <f t="shared" si="49"/>
        <v>9</v>
      </c>
      <c r="C935" s="17">
        <f t="shared" si="26"/>
        <v>89</v>
      </c>
      <c r="D935" s="17"/>
      <c r="E935" s="17">
        <f t="shared" si="47"/>
        <v>65919</v>
      </c>
      <c r="F935" s="17">
        <f t="shared" ca="1" si="1"/>
        <v>2006</v>
      </c>
      <c r="G935" s="17">
        <f t="shared" ca="1" si="48"/>
        <v>10824</v>
      </c>
      <c r="H935" s="30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5" customHeight="1" x14ac:dyDescent="0.3">
      <c r="A936" s="17" t="s">
        <v>644</v>
      </c>
      <c r="B936" s="17">
        <f t="shared" si="49"/>
        <v>9</v>
      </c>
      <c r="C936" s="17">
        <f t="shared" si="26"/>
        <v>90</v>
      </c>
      <c r="D936" s="17"/>
      <c r="E936" s="17">
        <f t="shared" si="47"/>
        <v>65919</v>
      </c>
      <c r="F936" s="17">
        <f t="shared" ca="1" si="1"/>
        <v>2006</v>
      </c>
      <c r="G936" s="17">
        <f t="shared" ca="1" si="48"/>
        <v>10825</v>
      </c>
      <c r="H936" s="3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5" customHeight="1" x14ac:dyDescent="0.3">
      <c r="A937" s="17" t="s">
        <v>644</v>
      </c>
      <c r="B937" s="17">
        <f t="shared" si="49"/>
        <v>9</v>
      </c>
      <c r="C937" s="17">
        <f t="shared" si="26"/>
        <v>91</v>
      </c>
      <c r="D937" s="17"/>
      <c r="E937" s="17">
        <f t="shared" si="47"/>
        <v>65919</v>
      </c>
      <c r="F937" s="17">
        <f t="shared" ca="1" si="1"/>
        <v>2006</v>
      </c>
      <c r="G937" s="17">
        <f t="shared" ca="1" si="48"/>
        <v>10826</v>
      </c>
      <c r="H937" s="3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5" customHeight="1" x14ac:dyDescent="0.3">
      <c r="A938" s="17" t="s">
        <v>644</v>
      </c>
      <c r="B938" s="17">
        <f t="shared" si="49"/>
        <v>9</v>
      </c>
      <c r="C938" s="17">
        <f t="shared" si="26"/>
        <v>92</v>
      </c>
      <c r="D938" s="17"/>
      <c r="E938" s="17">
        <f t="shared" si="47"/>
        <v>65919</v>
      </c>
      <c r="F938" s="17">
        <f t="shared" ca="1" si="1"/>
        <v>2006</v>
      </c>
      <c r="G938" s="17">
        <f t="shared" ca="1" si="48"/>
        <v>10828</v>
      </c>
      <c r="H938" s="3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5" customHeight="1" x14ac:dyDescent="0.3">
      <c r="A939" s="17" t="s">
        <v>644</v>
      </c>
      <c r="B939" s="17">
        <f t="shared" si="49"/>
        <v>9</v>
      </c>
      <c r="C939" s="17">
        <f t="shared" si="26"/>
        <v>93</v>
      </c>
      <c r="D939" s="17"/>
      <c r="E939" s="17">
        <f t="shared" si="47"/>
        <v>65919</v>
      </c>
      <c r="F939" s="17">
        <f t="shared" ca="1" si="1"/>
        <v>2006</v>
      </c>
      <c r="G939" s="17">
        <f t="shared" ca="1" si="48"/>
        <v>10827</v>
      </c>
      <c r="H939" s="2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5" customHeight="1" x14ac:dyDescent="0.3">
      <c r="A940" s="17" t="s">
        <v>644</v>
      </c>
      <c r="B940" s="17">
        <f t="shared" ref="B940:B1004" si="50">B875+1</f>
        <v>10</v>
      </c>
      <c r="C940" s="17">
        <f t="shared" si="26"/>
        <v>3</v>
      </c>
      <c r="D940" s="17"/>
      <c r="E940" s="17">
        <f t="shared" si="47"/>
        <v>65919</v>
      </c>
      <c r="F940" s="17">
        <f t="shared" ca="1" si="1"/>
        <v>2007</v>
      </c>
      <c r="G940" s="17">
        <f t="shared" ca="1" si="48"/>
        <v>10703</v>
      </c>
      <c r="H940" s="2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2007</v>
      </c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5" customHeight="1" x14ac:dyDescent="0.3">
      <c r="A941" s="17" t="s">
        <v>644</v>
      </c>
      <c r="B941" s="17">
        <f t="shared" si="50"/>
        <v>10</v>
      </c>
      <c r="C941" s="17">
        <f t="shared" si="26"/>
        <v>4</v>
      </c>
      <c r="D941" s="17"/>
      <c r="E941" s="17">
        <f t="shared" si="47"/>
        <v>65919</v>
      </c>
      <c r="F941" s="17">
        <f t="shared" ca="1" si="1"/>
        <v>2007</v>
      </c>
      <c r="G941" s="17">
        <f t="shared" ca="1" si="48"/>
        <v>10845</v>
      </c>
      <c r="H941" s="2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The Office Of The State Actuary</v>
      </c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5" customHeight="1" x14ac:dyDescent="0.3">
      <c r="A942" s="17" t="s">
        <v>644</v>
      </c>
      <c r="B942" s="17">
        <f t="shared" si="50"/>
        <v>10</v>
      </c>
      <c r="C942" s="17">
        <f t="shared" si="26"/>
        <v>5</v>
      </c>
      <c r="D942" s="17"/>
      <c r="E942" s="17">
        <f t="shared" si="47"/>
        <v>65919</v>
      </c>
      <c r="F942" s="17">
        <f t="shared" ca="1" si="1"/>
        <v>2007</v>
      </c>
      <c r="G942" s="17">
        <f t="shared" ca="1" si="48"/>
        <v>10924</v>
      </c>
      <c r="H942" s="3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0.1552</v>
      </c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5" customHeight="1" x14ac:dyDescent="0.3">
      <c r="A943" s="17" t="s">
        <v>644</v>
      </c>
      <c r="B943" s="17">
        <f t="shared" si="50"/>
        <v>10</v>
      </c>
      <c r="C943" s="17">
        <f t="shared" si="26"/>
        <v>6</v>
      </c>
      <c r="D943" s="17"/>
      <c r="E943" s="17">
        <f t="shared" si="47"/>
        <v>65919</v>
      </c>
      <c r="F943" s="17">
        <f t="shared" ca="1" si="1"/>
        <v>2007</v>
      </c>
      <c r="G943" s="17">
        <f t="shared" ca="1" si="48"/>
        <v>10925</v>
      </c>
      <c r="H943" s="3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8.5699999999999998E-2</v>
      </c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5" customHeight="1" x14ac:dyDescent="0.3">
      <c r="A944" s="17" t="s">
        <v>644</v>
      </c>
      <c r="B944" s="17">
        <f t="shared" si="50"/>
        <v>10</v>
      </c>
      <c r="C944" s="17">
        <f t="shared" si="26"/>
        <v>7</v>
      </c>
      <c r="D944" s="17"/>
      <c r="E944" s="17">
        <f t="shared" si="47"/>
        <v>65919</v>
      </c>
      <c r="F944" s="17">
        <f t="shared" ca="1" si="1"/>
        <v>2007</v>
      </c>
      <c r="G944" s="17">
        <f t="shared" ca="1" si="48"/>
        <v>10926</v>
      </c>
      <c r="H944" s="3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6.9500000000000006E-2</v>
      </c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5" customHeight="1" x14ac:dyDescent="0.3">
      <c r="A945" s="17" t="s">
        <v>644</v>
      </c>
      <c r="B945" s="17">
        <f t="shared" si="50"/>
        <v>10</v>
      </c>
      <c r="C945" s="17">
        <f t="shared" si="26"/>
        <v>8</v>
      </c>
      <c r="D945" s="17"/>
      <c r="E945" s="17">
        <f t="shared" si="47"/>
        <v>65919</v>
      </c>
      <c r="F945" s="17">
        <f t="shared" ca="1" si="1"/>
        <v>2007</v>
      </c>
      <c r="G945" s="17">
        <f t="shared" ca="1" si="48"/>
        <v>10704</v>
      </c>
      <c r="H945" s="3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5" customHeight="1" x14ac:dyDescent="0.3">
      <c r="A946" s="17" t="s">
        <v>644</v>
      </c>
      <c r="B946" s="17">
        <f t="shared" si="50"/>
        <v>10</v>
      </c>
      <c r="C946" s="17">
        <f t="shared" si="26"/>
        <v>9</v>
      </c>
      <c r="D946" s="17"/>
      <c r="E946" s="17">
        <f t="shared" si="47"/>
        <v>65919</v>
      </c>
      <c r="F946" s="17">
        <f t="shared" ca="1" si="1"/>
        <v>2007</v>
      </c>
      <c r="G946" s="17">
        <f t="shared" ca="1" si="48"/>
        <v>10928</v>
      </c>
      <c r="H946" s="31" t="str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N/A</v>
      </c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5" customHeight="1" x14ac:dyDescent="0.3">
      <c r="A947" s="17" t="s">
        <v>644</v>
      </c>
      <c r="B947" s="17">
        <f t="shared" si="50"/>
        <v>10</v>
      </c>
      <c r="C947" s="17">
        <f t="shared" si="26"/>
        <v>10</v>
      </c>
      <c r="D947" s="17"/>
      <c r="E947" s="17">
        <f t="shared" si="47"/>
        <v>65919</v>
      </c>
      <c r="F947" s="17">
        <f t="shared" ca="1" si="1"/>
        <v>2007</v>
      </c>
      <c r="G947" s="17">
        <f t="shared" ca="1" si="48"/>
        <v>10929</v>
      </c>
      <c r="H947" s="31" t="str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N/A</v>
      </c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5" customHeight="1" x14ac:dyDescent="0.3">
      <c r="A948" s="17" t="s">
        <v>644</v>
      </c>
      <c r="B948" s="17">
        <f t="shared" si="50"/>
        <v>10</v>
      </c>
      <c r="C948" s="17">
        <f t="shared" si="26"/>
        <v>11</v>
      </c>
      <c r="D948" s="17"/>
      <c r="E948" s="17">
        <f t="shared" si="47"/>
        <v>65919</v>
      </c>
      <c r="F948" s="17">
        <f t="shared" ca="1" si="1"/>
        <v>2007</v>
      </c>
      <c r="G948" s="17">
        <f t="shared" ca="1" si="48"/>
        <v>10930</v>
      </c>
      <c r="H948" s="3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5" customHeight="1" x14ac:dyDescent="0.3">
      <c r="A949" s="17" t="s">
        <v>644</v>
      </c>
      <c r="B949" s="17">
        <f t="shared" si="50"/>
        <v>10</v>
      </c>
      <c r="C949" s="17">
        <f t="shared" si="26"/>
        <v>12</v>
      </c>
      <c r="D949" s="17"/>
      <c r="E949" s="17">
        <f t="shared" si="47"/>
        <v>65919</v>
      </c>
      <c r="F949" s="17">
        <f t="shared" ca="1" si="1"/>
        <v>2007</v>
      </c>
      <c r="G949" s="17">
        <f t="shared" ca="1" si="48"/>
        <v>10705</v>
      </c>
      <c r="H949" s="3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3278000</v>
      </c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5" customHeight="1" x14ac:dyDescent="0.3">
      <c r="A950" s="17" t="s">
        <v>644</v>
      </c>
      <c r="B950" s="17">
        <f t="shared" si="50"/>
        <v>10</v>
      </c>
      <c r="C950" s="17">
        <f t="shared" si="26"/>
        <v>13</v>
      </c>
      <c r="D950" s="17"/>
      <c r="E950" s="17">
        <f t="shared" si="47"/>
        <v>65919</v>
      </c>
      <c r="F950" s="17">
        <f t="shared" ca="1" si="1"/>
        <v>2007</v>
      </c>
      <c r="G950" s="17">
        <f t="shared" ca="1" si="48"/>
        <v>10842</v>
      </c>
      <c r="H950" s="3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5" customHeight="1" x14ac:dyDescent="0.3">
      <c r="A951" s="17" t="s">
        <v>644</v>
      </c>
      <c r="B951" s="17">
        <f t="shared" si="50"/>
        <v>10</v>
      </c>
      <c r="C951" s="17">
        <f t="shared" si="26"/>
        <v>14</v>
      </c>
      <c r="D951" s="17"/>
      <c r="E951" s="17">
        <f t="shared" si="47"/>
        <v>65919</v>
      </c>
      <c r="F951" s="17">
        <f t="shared" ca="1" si="1"/>
        <v>2007</v>
      </c>
      <c r="G951" s="17">
        <f t="shared" ca="1" si="48"/>
        <v>10843</v>
      </c>
      <c r="H951" s="3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5" customHeight="1" x14ac:dyDescent="0.3">
      <c r="A952" s="17" t="s">
        <v>644</v>
      </c>
      <c r="B952" s="17">
        <f t="shared" si="50"/>
        <v>10</v>
      </c>
      <c r="C952" s="17">
        <f t="shared" si="26"/>
        <v>15</v>
      </c>
      <c r="D952" s="17"/>
      <c r="E952" s="17">
        <f t="shared" si="47"/>
        <v>65919</v>
      </c>
      <c r="F952" s="17">
        <f t="shared" ca="1" si="1"/>
        <v>2007</v>
      </c>
      <c r="G952" s="17">
        <f t="shared" ca="1" si="48"/>
        <v>10931</v>
      </c>
      <c r="H952" s="3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5" customHeight="1" x14ac:dyDescent="0.3">
      <c r="A953" s="17" t="s">
        <v>644</v>
      </c>
      <c r="B953" s="17">
        <f t="shared" si="50"/>
        <v>10</v>
      </c>
      <c r="C953" s="17">
        <f t="shared" si="26"/>
        <v>16</v>
      </c>
      <c r="D953" s="17"/>
      <c r="E953" s="17">
        <f t="shared" si="47"/>
        <v>65919</v>
      </c>
      <c r="F953" s="17">
        <f t="shared" ca="1" si="1"/>
        <v>2007</v>
      </c>
      <c r="G953" s="17">
        <f t="shared" ca="1" si="48"/>
        <v>10932</v>
      </c>
      <c r="H953" s="3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5" customHeight="1" x14ac:dyDescent="0.3">
      <c r="A954" s="17" t="s">
        <v>644</v>
      </c>
      <c r="B954" s="17">
        <f t="shared" si="50"/>
        <v>10</v>
      </c>
      <c r="C954" s="17">
        <f t="shared" si="26"/>
        <v>17</v>
      </c>
      <c r="D954" s="17"/>
      <c r="E954" s="17">
        <f t="shared" si="47"/>
        <v>65919</v>
      </c>
      <c r="F954" s="17">
        <f t="shared" ca="1" si="1"/>
        <v>2007</v>
      </c>
      <c r="G954" s="17">
        <f t="shared" ca="1" si="48"/>
        <v>10933</v>
      </c>
      <c r="H954" s="3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8.5699999999999998E-2</v>
      </c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5" customHeight="1" x14ac:dyDescent="0.3">
      <c r="A955" s="17" t="s">
        <v>644</v>
      </c>
      <c r="B955" s="17">
        <f t="shared" si="50"/>
        <v>10</v>
      </c>
      <c r="C955" s="17">
        <f t="shared" si="26"/>
        <v>18</v>
      </c>
      <c r="D955" s="17"/>
      <c r="E955" s="17">
        <f t="shared" si="47"/>
        <v>65919</v>
      </c>
      <c r="F955" s="17">
        <f t="shared" ca="1" si="1"/>
        <v>2007</v>
      </c>
      <c r="G955" s="17">
        <f t="shared" ca="1" si="48"/>
        <v>10934</v>
      </c>
      <c r="H955" s="3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6.9500000000000006E-2</v>
      </c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5" customHeight="1" x14ac:dyDescent="0.3">
      <c r="A956" s="17" t="s">
        <v>644</v>
      </c>
      <c r="B956" s="17">
        <f t="shared" si="50"/>
        <v>10</v>
      </c>
      <c r="C956" s="17">
        <f t="shared" si="26"/>
        <v>19</v>
      </c>
      <c r="D956" s="17"/>
      <c r="E956" s="17">
        <f t="shared" si="47"/>
        <v>65919</v>
      </c>
      <c r="F956" s="17">
        <f t="shared" ca="1" si="1"/>
        <v>2007</v>
      </c>
      <c r="G956" s="17">
        <f t="shared" ca="1" si="48"/>
        <v>10935</v>
      </c>
      <c r="H956" s="29" t="str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Single Rate</v>
      </c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5" customHeight="1" x14ac:dyDescent="0.3">
      <c r="A957" s="17" t="s">
        <v>644</v>
      </c>
      <c r="B957" s="17">
        <f t="shared" si="50"/>
        <v>10</v>
      </c>
      <c r="C957" s="17">
        <f t="shared" si="26"/>
        <v>20</v>
      </c>
      <c r="D957" s="17"/>
      <c r="E957" s="17">
        <f t="shared" si="47"/>
        <v>65919</v>
      </c>
      <c r="F957" s="17">
        <f t="shared" ca="1" si="1"/>
        <v>2007</v>
      </c>
      <c r="G957" s="17">
        <f t="shared" ca="1" si="48"/>
        <v>10937</v>
      </c>
      <c r="H957" s="3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5" customHeight="1" x14ac:dyDescent="0.3">
      <c r="A958" s="17" t="s">
        <v>644</v>
      </c>
      <c r="B958" s="17">
        <f t="shared" si="50"/>
        <v>10</v>
      </c>
      <c r="C958" s="17">
        <f t="shared" si="26"/>
        <v>21</v>
      </c>
      <c r="D958" s="17"/>
      <c r="E958" s="17">
        <f t="shared" si="47"/>
        <v>65919</v>
      </c>
      <c r="F958" s="17">
        <f t="shared" ca="1" si="1"/>
        <v>2007</v>
      </c>
      <c r="G958" s="17">
        <f t="shared" ca="1" si="48"/>
        <v>10938</v>
      </c>
      <c r="H958" s="3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5" customHeight="1" x14ac:dyDescent="0.3">
      <c r="A959" s="17" t="s">
        <v>644</v>
      </c>
      <c r="B959" s="17">
        <f t="shared" si="50"/>
        <v>10</v>
      </c>
      <c r="C959" s="17">
        <f t="shared" si="26"/>
        <v>22</v>
      </c>
      <c r="D959" s="17"/>
      <c r="E959" s="17">
        <f t="shared" si="47"/>
        <v>65919</v>
      </c>
      <c r="F959" s="17">
        <f t="shared" ca="1" si="1"/>
        <v>2007</v>
      </c>
      <c r="G959" s="17">
        <f t="shared" ca="1" si="48"/>
        <v>11007</v>
      </c>
      <c r="H959" s="29" t="str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Accrued Benefit Formula= 2% x YOS x AFC (Max= 75% AFC)</v>
      </c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5" customHeight="1" x14ac:dyDescent="0.3">
      <c r="A960" s="17" t="s">
        <v>644</v>
      </c>
      <c r="B960" s="17">
        <f t="shared" si="50"/>
        <v>10</v>
      </c>
      <c r="C960" s="17">
        <f t="shared" si="26"/>
        <v>23</v>
      </c>
      <c r="D960" s="17"/>
      <c r="E960" s="17">
        <f t="shared" si="47"/>
        <v>65919</v>
      </c>
      <c r="F960" s="17">
        <f t="shared" ca="1" si="1"/>
        <v>2007</v>
      </c>
      <c r="G960" s="17">
        <f t="shared" ca="1" si="48"/>
        <v>10941</v>
      </c>
      <c r="H960" s="29" t="str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COLA</v>
      </c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5" customHeight="1" x14ac:dyDescent="0.3">
      <c r="A961" s="17" t="s">
        <v>644</v>
      </c>
      <c r="B961" s="17">
        <f t="shared" si="50"/>
        <v>10</v>
      </c>
      <c r="C961" s="17">
        <f t="shared" si="26"/>
        <v>24</v>
      </c>
      <c r="D961" s="17"/>
      <c r="E961" s="17">
        <f t="shared" si="47"/>
        <v>65919</v>
      </c>
      <c r="F961" s="17">
        <f t="shared" ca="1" si="1"/>
        <v>2007</v>
      </c>
      <c r="G961" s="17">
        <f t="shared" ca="1" si="48"/>
        <v>10942</v>
      </c>
      <c r="H961" s="29" t="str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Percentage</v>
      </c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5" customHeight="1" x14ac:dyDescent="0.3">
      <c r="A962" s="17" t="s">
        <v>644</v>
      </c>
      <c r="B962" s="17">
        <f t="shared" si="50"/>
        <v>10</v>
      </c>
      <c r="C962" s="17">
        <f t="shared" si="26"/>
        <v>25</v>
      </c>
      <c r="D962" s="17"/>
      <c r="E962" s="17">
        <f t="shared" si="47"/>
        <v>65919</v>
      </c>
      <c r="F962" s="17">
        <f t="shared" ca="1" si="1"/>
        <v>2007</v>
      </c>
      <c r="G962" s="17">
        <f t="shared" ca="1" si="48"/>
        <v>10701</v>
      </c>
      <c r="H962" s="3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0.03</v>
      </c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5" customHeight="1" x14ac:dyDescent="0.3">
      <c r="A963" s="17" t="s">
        <v>644</v>
      </c>
      <c r="B963" s="17">
        <f t="shared" si="50"/>
        <v>10</v>
      </c>
      <c r="C963" s="17">
        <f t="shared" si="26"/>
        <v>26</v>
      </c>
      <c r="D963" s="17"/>
      <c r="E963" s="17">
        <f t="shared" si="47"/>
        <v>65919</v>
      </c>
      <c r="F963" s="17">
        <f t="shared" ca="1" si="1"/>
        <v>2007</v>
      </c>
      <c r="G963" s="17">
        <f t="shared" ca="1" si="48"/>
        <v>10702</v>
      </c>
      <c r="H963" s="3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5" customHeight="1" x14ac:dyDescent="0.3">
      <c r="A964" s="17" t="s">
        <v>644</v>
      </c>
      <c r="B964" s="17">
        <f t="shared" si="50"/>
        <v>10</v>
      </c>
      <c r="C964" s="17">
        <f t="shared" si="26"/>
        <v>27</v>
      </c>
      <c r="D964" s="17"/>
      <c r="E964" s="17">
        <f t="shared" ref="E964:E1027" si="51">plan_id</f>
        <v>65919</v>
      </c>
      <c r="F964" s="17">
        <f t="shared" ca="1" si="1"/>
        <v>2007</v>
      </c>
      <c r="G964" s="17">
        <f t="shared" ref="G964:G1027" ca="1" si="52">VLOOKUP(INDIRECT(CHAR(39)&amp;$A964&amp;CHAR(39)&amp;"!r2c"&amp;$C964,0),variables,2,0)</f>
        <v>10943</v>
      </c>
      <c r="H964" s="2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5" customHeight="1" x14ac:dyDescent="0.3">
      <c r="A965" s="17" t="s">
        <v>644</v>
      </c>
      <c r="B965" s="17">
        <f t="shared" si="50"/>
        <v>10</v>
      </c>
      <c r="C965" s="17">
        <f t="shared" si="26"/>
        <v>28</v>
      </c>
      <c r="D965" s="17"/>
      <c r="E965" s="17">
        <f t="shared" si="51"/>
        <v>65919</v>
      </c>
      <c r="F965" s="17">
        <f t="shared" ca="1" si="1"/>
        <v>2007</v>
      </c>
      <c r="G965" s="17">
        <f t="shared" ca="1" si="52"/>
        <v>10944</v>
      </c>
      <c r="H965" s="31" t="str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No</v>
      </c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5" customHeight="1" x14ac:dyDescent="0.3">
      <c r="A966" s="17" t="s">
        <v>644</v>
      </c>
      <c r="B966" s="17">
        <f t="shared" si="50"/>
        <v>10</v>
      </c>
      <c r="C966" s="17">
        <f t="shared" si="26"/>
        <v>29</v>
      </c>
      <c r="D966" s="17"/>
      <c r="E966" s="17">
        <f t="shared" si="51"/>
        <v>65919</v>
      </c>
      <c r="F966" s="17">
        <f t="shared" ca="1" si="1"/>
        <v>2007</v>
      </c>
      <c r="G966" s="17">
        <f t="shared" ca="1" si="52"/>
        <v>10945</v>
      </c>
      <c r="H966" s="31" t="str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No</v>
      </c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5" customHeight="1" x14ac:dyDescent="0.3">
      <c r="A967" s="17" t="s">
        <v>644</v>
      </c>
      <c r="B967" s="17">
        <f t="shared" si="50"/>
        <v>10</v>
      </c>
      <c r="C967" s="17">
        <f t="shared" si="26"/>
        <v>30</v>
      </c>
      <c r="D967" s="17"/>
      <c r="E967" s="17">
        <f t="shared" si="51"/>
        <v>65919</v>
      </c>
      <c r="F967" s="17">
        <f t="shared" ca="1" si="1"/>
        <v>2007</v>
      </c>
      <c r="G967" s="17">
        <f t="shared" ca="1" si="52"/>
        <v>10947</v>
      </c>
      <c r="H967" s="2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5" customHeight="1" x14ac:dyDescent="0.3">
      <c r="A968" s="17" t="s">
        <v>644</v>
      </c>
      <c r="B968" s="17">
        <f t="shared" si="50"/>
        <v>10</v>
      </c>
      <c r="C968" s="17">
        <f t="shared" si="26"/>
        <v>31</v>
      </c>
      <c r="D968" s="17"/>
      <c r="E968" s="17">
        <f t="shared" si="51"/>
        <v>65919</v>
      </c>
      <c r="F968" s="17">
        <f t="shared" ca="1" si="1"/>
        <v>2007</v>
      </c>
      <c r="G968" s="17">
        <f t="shared" ca="1" si="52"/>
        <v>10948</v>
      </c>
      <c r="H968" s="31" t="str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No</v>
      </c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5" customHeight="1" x14ac:dyDescent="0.3">
      <c r="A969" s="17" t="s">
        <v>644</v>
      </c>
      <c r="B969" s="17">
        <f t="shared" si="50"/>
        <v>10</v>
      </c>
      <c r="C969" s="17">
        <f t="shared" si="26"/>
        <v>32</v>
      </c>
      <c r="D969" s="17"/>
      <c r="E969" s="17">
        <f t="shared" si="51"/>
        <v>65919</v>
      </c>
      <c r="F969" s="17">
        <f t="shared" ca="1" si="1"/>
        <v>2007</v>
      </c>
      <c r="G969" s="17">
        <f t="shared" ca="1" si="52"/>
        <v>10949</v>
      </c>
      <c r="H969" s="31" t="str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No</v>
      </c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5" customHeight="1" x14ac:dyDescent="0.3">
      <c r="A970" s="17" t="s">
        <v>644</v>
      </c>
      <c r="B970" s="17">
        <f t="shared" si="50"/>
        <v>10</v>
      </c>
      <c r="C970" s="17">
        <f t="shared" si="26"/>
        <v>33</v>
      </c>
      <c r="D970" s="17"/>
      <c r="E970" s="17">
        <f t="shared" si="51"/>
        <v>65919</v>
      </c>
      <c r="F970" s="17">
        <f t="shared" ca="1" si="1"/>
        <v>2007</v>
      </c>
      <c r="G970" s="17">
        <f t="shared" ca="1" si="52"/>
        <v>10951</v>
      </c>
      <c r="H970" s="31" t="str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No</v>
      </c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5" customHeight="1" x14ac:dyDescent="0.3">
      <c r="A971" s="17" t="s">
        <v>644</v>
      </c>
      <c r="B971" s="17">
        <f t="shared" si="50"/>
        <v>10</v>
      </c>
      <c r="C971" s="17">
        <f t="shared" si="26"/>
        <v>34</v>
      </c>
      <c r="D971" s="17"/>
      <c r="E971" s="17">
        <f t="shared" si="51"/>
        <v>65919</v>
      </c>
      <c r="F971" s="17">
        <f t="shared" ca="1" si="1"/>
        <v>2007</v>
      </c>
      <c r="G971" s="17">
        <f t="shared" ca="1" si="52"/>
        <v>10950</v>
      </c>
      <c r="H971" s="31" t="str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No</v>
      </c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5" customHeight="1" x14ac:dyDescent="0.3">
      <c r="A972" s="17" t="s">
        <v>644</v>
      </c>
      <c r="B972" s="17">
        <f t="shared" si="50"/>
        <v>10</v>
      </c>
      <c r="C972" s="17">
        <f t="shared" si="26"/>
        <v>35</v>
      </c>
      <c r="D972" s="17"/>
      <c r="E972" s="17">
        <f t="shared" si="51"/>
        <v>65919</v>
      </c>
      <c r="F972" s="17">
        <f t="shared" ca="1" si="1"/>
        <v>2007</v>
      </c>
      <c r="G972" s="17">
        <f t="shared" ca="1" si="52"/>
        <v>10954</v>
      </c>
      <c r="H972" s="3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3.5000000000000003E-2</v>
      </c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5" customHeight="1" x14ac:dyDescent="0.3">
      <c r="A973" s="17" t="s">
        <v>644</v>
      </c>
      <c r="B973" s="17">
        <f t="shared" si="50"/>
        <v>10</v>
      </c>
      <c r="C973" s="17">
        <f t="shared" si="26"/>
        <v>36</v>
      </c>
      <c r="D973" s="17"/>
      <c r="E973" s="17">
        <f t="shared" si="51"/>
        <v>65919</v>
      </c>
      <c r="F973" s="17">
        <f t="shared" ca="1" si="1"/>
        <v>2007</v>
      </c>
      <c r="G973" s="17">
        <f t="shared" ca="1" si="52"/>
        <v>10955</v>
      </c>
      <c r="H973" s="3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0.08</v>
      </c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5" customHeight="1" x14ac:dyDescent="0.3">
      <c r="A974" s="17" t="s">
        <v>644</v>
      </c>
      <c r="B974" s="17">
        <f t="shared" si="50"/>
        <v>10</v>
      </c>
      <c r="C974" s="17">
        <f t="shared" si="26"/>
        <v>37</v>
      </c>
      <c r="D974" s="17"/>
      <c r="E974" s="17">
        <f t="shared" si="51"/>
        <v>65919</v>
      </c>
      <c r="F974" s="17">
        <f t="shared" ca="1" si="1"/>
        <v>2007</v>
      </c>
      <c r="G974" s="17">
        <f t="shared" ca="1" si="52"/>
        <v>10956</v>
      </c>
      <c r="H974" s="3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5.3125000000000004E-4</v>
      </c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5" customHeight="1" x14ac:dyDescent="0.3">
      <c r="A975" s="17" t="s">
        <v>644</v>
      </c>
      <c r="B975" s="17">
        <f t="shared" si="50"/>
        <v>10</v>
      </c>
      <c r="C975" s="17">
        <f t="shared" si="26"/>
        <v>38</v>
      </c>
      <c r="D975" s="17"/>
      <c r="E975" s="17">
        <f t="shared" si="51"/>
        <v>65919</v>
      </c>
      <c r="F975" s="17">
        <f t="shared" ca="1" si="1"/>
        <v>2007</v>
      </c>
      <c r="G975" s="17">
        <f t="shared" ca="1" si="52"/>
        <v>10959</v>
      </c>
      <c r="H975" s="3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4.2500000000000003E-2</v>
      </c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5" customHeight="1" x14ac:dyDescent="0.3">
      <c r="A976" s="17" t="s">
        <v>644</v>
      </c>
      <c r="B976" s="17">
        <f t="shared" si="50"/>
        <v>10</v>
      </c>
      <c r="C976" s="17">
        <f t="shared" si="26"/>
        <v>39</v>
      </c>
      <c r="D976" s="17"/>
      <c r="E976" s="17">
        <f t="shared" si="51"/>
        <v>65919</v>
      </c>
      <c r="F976" s="17">
        <f t="shared" ca="1" si="1"/>
        <v>2007</v>
      </c>
      <c r="G976" s="17">
        <f t="shared" ca="1" si="52"/>
        <v>10962</v>
      </c>
      <c r="H976" s="29" t="str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Pg.no.74</v>
      </c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5" customHeight="1" x14ac:dyDescent="0.3">
      <c r="A977" s="17" t="s">
        <v>644</v>
      </c>
      <c r="B977" s="17">
        <f t="shared" si="50"/>
        <v>10</v>
      </c>
      <c r="C977" s="17">
        <f t="shared" si="26"/>
        <v>40</v>
      </c>
      <c r="D977" s="17"/>
      <c r="E977" s="17">
        <f t="shared" si="51"/>
        <v>65919</v>
      </c>
      <c r="F977" s="17">
        <f t="shared" ca="1" si="1"/>
        <v>2007</v>
      </c>
      <c r="G977" s="17">
        <f t="shared" ca="1" si="52"/>
        <v>10964</v>
      </c>
      <c r="H977" s="29" t="str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Pg.no.60</v>
      </c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5" customHeight="1" x14ac:dyDescent="0.3">
      <c r="A978" s="17" t="s">
        <v>644</v>
      </c>
      <c r="B978" s="17">
        <f t="shared" si="50"/>
        <v>10</v>
      </c>
      <c r="C978" s="17">
        <f t="shared" si="26"/>
        <v>41</v>
      </c>
      <c r="D978" s="17"/>
      <c r="E978" s="17">
        <f t="shared" si="51"/>
        <v>65919</v>
      </c>
      <c r="F978" s="17">
        <f t="shared" ca="1" si="1"/>
        <v>2007</v>
      </c>
      <c r="G978" s="17">
        <f t="shared" ca="1" si="52"/>
        <v>10967</v>
      </c>
      <c r="H978" s="29" t="str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RP-2000 Combined healthy table</v>
      </c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5" customHeight="1" x14ac:dyDescent="0.3">
      <c r="A979" s="17" t="s">
        <v>644</v>
      </c>
      <c r="B979" s="17">
        <f t="shared" si="50"/>
        <v>10</v>
      </c>
      <c r="C979" s="17">
        <f t="shared" si="26"/>
        <v>42</v>
      </c>
      <c r="D979" s="17"/>
      <c r="E979" s="17">
        <f t="shared" si="51"/>
        <v>65919</v>
      </c>
      <c r="F979" s="17">
        <f t="shared" ca="1" si="1"/>
        <v>2007</v>
      </c>
      <c r="G979" s="17">
        <f t="shared" ca="1" si="52"/>
        <v>10968</v>
      </c>
      <c r="H979" s="2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2000</v>
      </c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5" customHeight="1" x14ac:dyDescent="0.3">
      <c r="A980" s="17" t="s">
        <v>644</v>
      </c>
      <c r="B980" s="17">
        <f t="shared" si="50"/>
        <v>10</v>
      </c>
      <c r="C980" s="17">
        <f t="shared" si="26"/>
        <v>43</v>
      </c>
      <c r="D980" s="17"/>
      <c r="E980" s="17">
        <f t="shared" si="51"/>
        <v>65919</v>
      </c>
      <c r="F980" s="17">
        <f t="shared" ca="1" si="1"/>
        <v>2007</v>
      </c>
      <c r="G980" s="17">
        <f t="shared" ca="1" si="52"/>
        <v>10969</v>
      </c>
      <c r="H980" s="2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Scale AA</v>
      </c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5" customHeight="1" x14ac:dyDescent="0.3">
      <c r="A981" s="17" t="s">
        <v>644</v>
      </c>
      <c r="B981" s="17">
        <f t="shared" si="50"/>
        <v>10</v>
      </c>
      <c r="C981" s="17">
        <f t="shared" si="26"/>
        <v>44</v>
      </c>
      <c r="D981" s="17"/>
      <c r="E981" s="17">
        <f t="shared" si="51"/>
        <v>65919</v>
      </c>
      <c r="F981" s="17">
        <f t="shared" ca="1" si="1"/>
        <v>2007</v>
      </c>
      <c r="G981" s="17">
        <f t="shared" ca="1" si="52"/>
        <v>10970</v>
      </c>
      <c r="H981" s="29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Male: 1 Year</v>
      </c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5" customHeight="1" x14ac:dyDescent="0.3">
      <c r="A982" s="17" t="s">
        <v>644</v>
      </c>
      <c r="B982" s="17">
        <f t="shared" si="50"/>
        <v>10</v>
      </c>
      <c r="C982" s="17">
        <f t="shared" si="26"/>
        <v>45</v>
      </c>
      <c r="D982" s="17"/>
      <c r="E982" s="17">
        <f t="shared" si="51"/>
        <v>65919</v>
      </c>
      <c r="F982" s="17">
        <f t="shared" ca="1" si="1"/>
        <v>2007</v>
      </c>
      <c r="G982" s="17">
        <f t="shared" ca="1" si="52"/>
        <v>10971</v>
      </c>
      <c r="H982" s="29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Female: 1 Year</v>
      </c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5" customHeight="1" x14ac:dyDescent="0.3">
      <c r="A983" s="17" t="s">
        <v>644</v>
      </c>
      <c r="B983" s="17">
        <f t="shared" si="50"/>
        <v>10</v>
      </c>
      <c r="C983" s="17">
        <f t="shared" si="26"/>
        <v>46</v>
      </c>
      <c r="D983" s="17"/>
      <c r="E983" s="17">
        <f t="shared" si="51"/>
        <v>65919</v>
      </c>
      <c r="F983" s="17">
        <f t="shared" ca="1" si="1"/>
        <v>2007</v>
      </c>
      <c r="G983" s="17">
        <f t="shared" ca="1" si="52"/>
        <v>10972</v>
      </c>
      <c r="H983" s="29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N/A</v>
      </c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5" customHeight="1" x14ac:dyDescent="0.3">
      <c r="A984" s="17" t="s">
        <v>644</v>
      </c>
      <c r="B984" s="17">
        <f t="shared" si="50"/>
        <v>10</v>
      </c>
      <c r="C984" s="17">
        <f t="shared" si="26"/>
        <v>47</v>
      </c>
      <c r="D984" s="17"/>
      <c r="E984" s="17">
        <f t="shared" si="51"/>
        <v>65919</v>
      </c>
      <c r="F984" s="17">
        <f t="shared" ca="1" si="1"/>
        <v>2007</v>
      </c>
      <c r="G984" s="17">
        <f t="shared" ca="1" si="52"/>
        <v>10973</v>
      </c>
      <c r="H984" s="29" t="str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N/A</v>
      </c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5" customHeight="1" x14ac:dyDescent="0.3">
      <c r="A985" s="17" t="s">
        <v>644</v>
      </c>
      <c r="B985" s="17">
        <f t="shared" si="50"/>
        <v>10</v>
      </c>
      <c r="C985" s="17">
        <f t="shared" si="26"/>
        <v>48</v>
      </c>
      <c r="D985" s="17"/>
      <c r="E985" s="17">
        <f t="shared" si="51"/>
        <v>65919</v>
      </c>
      <c r="F985" s="17">
        <f t="shared" ca="1" si="1"/>
        <v>2007</v>
      </c>
      <c r="G985" s="17">
        <f t="shared" ca="1" si="52"/>
        <v>10975</v>
      </c>
      <c r="H985" s="29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 xml:space="preserve">Aggregate   </v>
      </c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5" customHeight="1" x14ac:dyDescent="0.3">
      <c r="A986" s="17" t="s">
        <v>644</v>
      </c>
      <c r="B986" s="17">
        <f t="shared" si="50"/>
        <v>10</v>
      </c>
      <c r="C986" s="17">
        <f t="shared" si="26"/>
        <v>49</v>
      </c>
      <c r="D986" s="17"/>
      <c r="E986" s="17">
        <f t="shared" si="51"/>
        <v>65919</v>
      </c>
      <c r="F986" s="17">
        <f t="shared" ca="1" si="1"/>
        <v>2007</v>
      </c>
      <c r="G986" s="17">
        <f t="shared" ca="1" si="52"/>
        <v>10976</v>
      </c>
      <c r="H986" s="3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0.08</v>
      </c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5" customHeight="1" x14ac:dyDescent="0.3">
      <c r="A987" s="17" t="s">
        <v>644</v>
      </c>
      <c r="B987" s="17">
        <f t="shared" si="50"/>
        <v>10</v>
      </c>
      <c r="C987" s="17">
        <f t="shared" si="26"/>
        <v>50</v>
      </c>
      <c r="D987" s="17"/>
      <c r="E987" s="17">
        <f t="shared" si="51"/>
        <v>65919</v>
      </c>
      <c r="F987" s="17">
        <f t="shared" ca="1" si="1"/>
        <v>2007</v>
      </c>
      <c r="G987" s="17">
        <f t="shared" ca="1" si="52"/>
        <v>10977</v>
      </c>
      <c r="H987" s="31" t="str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No</v>
      </c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5" customHeight="1" x14ac:dyDescent="0.3">
      <c r="A988" s="17" t="s">
        <v>644</v>
      </c>
      <c r="B988" s="17">
        <f t="shared" si="50"/>
        <v>10</v>
      </c>
      <c r="C988" s="17">
        <f t="shared" si="26"/>
        <v>51</v>
      </c>
      <c r="D988" s="17"/>
      <c r="E988" s="17">
        <f t="shared" si="51"/>
        <v>65919</v>
      </c>
      <c r="F988" s="17">
        <f t="shared" ca="1" si="1"/>
        <v>2007</v>
      </c>
      <c r="G988" s="17">
        <f t="shared" ca="1" si="52"/>
        <v>10978</v>
      </c>
      <c r="H988" s="3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0.08</v>
      </c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5" customHeight="1" x14ac:dyDescent="0.3">
      <c r="A989" s="17" t="s">
        <v>644</v>
      </c>
      <c r="B989" s="17">
        <f t="shared" si="50"/>
        <v>10</v>
      </c>
      <c r="C989" s="17">
        <f t="shared" si="26"/>
        <v>52</v>
      </c>
      <c r="D989" s="17"/>
      <c r="E989" s="17">
        <f t="shared" si="51"/>
        <v>65919</v>
      </c>
      <c r="F989" s="17">
        <f t="shared" ca="1" si="1"/>
        <v>2007</v>
      </c>
      <c r="G989" s="17">
        <f t="shared" ca="1" si="52"/>
        <v>10979</v>
      </c>
      <c r="H989" s="29" t="str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8 Years</v>
      </c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5" customHeight="1" x14ac:dyDescent="0.3">
      <c r="A990" s="17" t="s">
        <v>644</v>
      </c>
      <c r="B990" s="17">
        <f t="shared" si="50"/>
        <v>10</v>
      </c>
      <c r="C990" s="17">
        <f t="shared" si="26"/>
        <v>53</v>
      </c>
      <c r="D990" s="17"/>
      <c r="E990" s="17">
        <f t="shared" si="51"/>
        <v>65919</v>
      </c>
      <c r="F990" s="17">
        <f t="shared" ca="1" si="1"/>
        <v>2007</v>
      </c>
      <c r="G990" s="17">
        <f t="shared" ca="1" si="52"/>
        <v>10980</v>
      </c>
      <c r="H990" s="3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0.10299999999999999</v>
      </c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5" customHeight="1" x14ac:dyDescent="0.3">
      <c r="A991" s="17" t="s">
        <v>644</v>
      </c>
      <c r="B991" s="17">
        <f t="shared" si="50"/>
        <v>10</v>
      </c>
      <c r="C991" s="17">
        <f t="shared" si="26"/>
        <v>54</v>
      </c>
      <c r="D991" s="17"/>
      <c r="E991" s="17">
        <f t="shared" si="51"/>
        <v>65919</v>
      </c>
      <c r="F991" s="17">
        <f t="shared" ca="1" si="1"/>
        <v>2007</v>
      </c>
      <c r="G991" s="17">
        <f t="shared" ca="1" si="52"/>
        <v>10981</v>
      </c>
      <c r="H991" s="3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0.1661</v>
      </c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5" customHeight="1" x14ac:dyDescent="0.3">
      <c r="A992" s="17" t="s">
        <v>644</v>
      </c>
      <c r="B992" s="17">
        <f t="shared" si="50"/>
        <v>10</v>
      </c>
      <c r="C992" s="17">
        <f t="shared" si="26"/>
        <v>55</v>
      </c>
      <c r="D992" s="17"/>
      <c r="E992" s="17">
        <f t="shared" si="51"/>
        <v>65919</v>
      </c>
      <c r="F992" s="17">
        <f t="shared" ca="1" si="1"/>
        <v>2007</v>
      </c>
      <c r="G992" s="17">
        <f t="shared" ca="1" si="52"/>
        <v>10706</v>
      </c>
      <c r="H992" s="3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3.9498360455195278E-4</v>
      </c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5" customHeight="1" x14ac:dyDescent="0.3">
      <c r="A993" s="17" t="s">
        <v>644</v>
      </c>
      <c r="B993" s="17">
        <f t="shared" si="50"/>
        <v>10</v>
      </c>
      <c r="C993" s="17">
        <f t="shared" si="26"/>
        <v>56</v>
      </c>
      <c r="D993" s="17"/>
      <c r="E993" s="17">
        <f t="shared" si="51"/>
        <v>65919</v>
      </c>
      <c r="F993" s="17">
        <f t="shared" ca="1" si="1"/>
        <v>2007</v>
      </c>
      <c r="G993" s="17">
        <f t="shared" ca="1" si="52"/>
        <v>10983</v>
      </c>
      <c r="H993" s="30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No</v>
      </c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5" customHeight="1" x14ac:dyDescent="0.3">
      <c r="A994" s="17" t="s">
        <v>644</v>
      </c>
      <c r="B994" s="17">
        <f t="shared" si="50"/>
        <v>10</v>
      </c>
      <c r="C994" s="17">
        <f t="shared" si="26"/>
        <v>57</v>
      </c>
      <c r="D994" s="17"/>
      <c r="E994" s="17">
        <f t="shared" si="51"/>
        <v>65919</v>
      </c>
      <c r="F994" s="17">
        <f t="shared" ca="1" si="1"/>
        <v>2007</v>
      </c>
      <c r="G994" s="17">
        <f t="shared" ca="1" si="52"/>
        <v>10989</v>
      </c>
      <c r="H994" s="3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800000000</v>
      </c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5" customHeight="1" x14ac:dyDescent="0.3">
      <c r="A995" s="17" t="s">
        <v>644</v>
      </c>
      <c r="B995" s="17">
        <f t="shared" si="50"/>
        <v>10</v>
      </c>
      <c r="C995" s="17">
        <f t="shared" si="26"/>
        <v>58</v>
      </c>
      <c r="D995" s="17"/>
      <c r="E995" s="17">
        <f t="shared" si="51"/>
        <v>65919</v>
      </c>
      <c r="F995" s="17">
        <f t="shared" ca="1" si="1"/>
        <v>2007</v>
      </c>
      <c r="G995" s="17">
        <f t="shared" ca="1" si="52"/>
        <v>10990</v>
      </c>
      <c r="H995" s="30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679000000</v>
      </c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5" customHeight="1" x14ac:dyDescent="0.3">
      <c r="A996" s="17" t="s">
        <v>644</v>
      </c>
      <c r="B996" s="17">
        <f t="shared" si="50"/>
        <v>10</v>
      </c>
      <c r="C996" s="17">
        <f t="shared" si="26"/>
        <v>59</v>
      </c>
      <c r="D996" s="17"/>
      <c r="E996" s="17">
        <f t="shared" si="51"/>
        <v>65919</v>
      </c>
      <c r="F996" s="17">
        <f t="shared" ca="1" si="1"/>
        <v>2007</v>
      </c>
      <c r="G996" s="17">
        <f t="shared" ca="1" si="52"/>
        <v>10991</v>
      </c>
      <c r="H996" s="3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-121000000</v>
      </c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5" customHeight="1" x14ac:dyDescent="0.3">
      <c r="A997" s="17" t="s">
        <v>644</v>
      </c>
      <c r="B997" s="17">
        <f t="shared" si="50"/>
        <v>10</v>
      </c>
      <c r="C997" s="17">
        <f t="shared" si="26"/>
        <v>60</v>
      </c>
      <c r="D997" s="17"/>
      <c r="E997" s="17">
        <f t="shared" si="51"/>
        <v>65919</v>
      </c>
      <c r="F997" s="17">
        <f t="shared" ca="1" si="1"/>
        <v>2007</v>
      </c>
      <c r="G997" s="17">
        <f t="shared" ca="1" si="52"/>
        <v>10992</v>
      </c>
      <c r="H997" s="3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1.1787000000000001</v>
      </c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5" customHeight="1" x14ac:dyDescent="0.3">
      <c r="A998" s="17" t="s">
        <v>644</v>
      </c>
      <c r="B998" s="17">
        <f t="shared" si="50"/>
        <v>10</v>
      </c>
      <c r="C998" s="17">
        <f t="shared" si="26"/>
        <v>61</v>
      </c>
      <c r="D998" s="17"/>
      <c r="E998" s="17">
        <f t="shared" si="51"/>
        <v>65919</v>
      </c>
      <c r="F998" s="17">
        <f t="shared" ca="1" si="1"/>
        <v>2007</v>
      </c>
      <c r="G998" s="17">
        <f t="shared" ca="1" si="52"/>
        <v>10993</v>
      </c>
      <c r="H998" s="30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64000000</v>
      </c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5" customHeight="1" x14ac:dyDescent="0.3">
      <c r="A999" s="17" t="s">
        <v>644</v>
      </c>
      <c r="B999" s="17">
        <f t="shared" si="50"/>
        <v>10</v>
      </c>
      <c r="C999" s="17">
        <f t="shared" si="26"/>
        <v>62</v>
      </c>
      <c r="D999" s="17"/>
      <c r="E999" s="17">
        <f t="shared" si="51"/>
        <v>65919</v>
      </c>
      <c r="F999" s="17">
        <f t="shared" ca="1" si="1"/>
        <v>2007</v>
      </c>
      <c r="G999" s="17">
        <f t="shared" ca="1" si="52"/>
        <v>10801</v>
      </c>
      <c r="H999" s="30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-32000000</v>
      </c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5" customHeight="1" x14ac:dyDescent="0.3">
      <c r="A1000" s="17" t="s">
        <v>644</v>
      </c>
      <c r="B1000" s="17">
        <f t="shared" si="50"/>
        <v>10</v>
      </c>
      <c r="C1000" s="17">
        <f t="shared" si="26"/>
        <v>63</v>
      </c>
      <c r="D1000" s="17"/>
      <c r="E1000" s="17">
        <f t="shared" si="51"/>
        <v>65919</v>
      </c>
      <c r="F1000" s="17">
        <f t="shared" ca="1" si="1"/>
        <v>2007</v>
      </c>
      <c r="G1000" s="17">
        <f t="shared" ca="1" si="52"/>
        <v>10802</v>
      </c>
      <c r="H1000" s="30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 spans="1:26" ht="13.5" customHeight="1" x14ac:dyDescent="0.3">
      <c r="A1001" s="17" t="s">
        <v>644</v>
      </c>
      <c r="B1001" s="17">
        <f t="shared" si="50"/>
        <v>10</v>
      </c>
      <c r="C1001" s="17">
        <f t="shared" si="26"/>
        <v>64</v>
      </c>
      <c r="D1001" s="17"/>
      <c r="E1001" s="17">
        <f t="shared" si="51"/>
        <v>65919</v>
      </c>
      <c r="F1001" s="17">
        <f t="shared" ca="1" si="1"/>
        <v>2007</v>
      </c>
      <c r="G1001" s="17">
        <f t="shared" ca="1" si="52"/>
        <v>10803</v>
      </c>
      <c r="H1001" s="3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 spans="1:26" ht="13.5" customHeight="1" x14ac:dyDescent="0.3">
      <c r="A1002" s="17" t="s">
        <v>644</v>
      </c>
      <c r="B1002" s="17">
        <f t="shared" si="50"/>
        <v>10</v>
      </c>
      <c r="C1002" s="17">
        <f t="shared" si="26"/>
        <v>65</v>
      </c>
      <c r="D1002" s="17"/>
      <c r="E1002" s="17">
        <f t="shared" si="51"/>
        <v>65919</v>
      </c>
      <c r="F1002" s="17">
        <f t="shared" ca="1" si="1"/>
        <v>2007</v>
      </c>
      <c r="G1002" s="17">
        <f t="shared" ca="1" si="52"/>
        <v>10804</v>
      </c>
      <c r="H1002" s="3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 spans="1:26" ht="13.5" customHeight="1" x14ac:dyDescent="0.3">
      <c r="A1003" s="17" t="s">
        <v>644</v>
      </c>
      <c r="B1003" s="17">
        <f t="shared" si="50"/>
        <v>10</v>
      </c>
      <c r="C1003" s="17">
        <f t="shared" si="26"/>
        <v>66</v>
      </c>
      <c r="D1003" s="17"/>
      <c r="E1003" s="17">
        <f t="shared" si="51"/>
        <v>65919</v>
      </c>
      <c r="F1003" s="17">
        <f t="shared" ca="1" si="1"/>
        <v>2007</v>
      </c>
      <c r="G1003" s="17">
        <f t="shared" ca="1" si="52"/>
        <v>10805</v>
      </c>
      <c r="H1003" s="3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 spans="1:26" ht="13.5" customHeight="1" x14ac:dyDescent="0.3">
      <c r="A1004" s="17" t="s">
        <v>644</v>
      </c>
      <c r="B1004" s="17">
        <f t="shared" si="50"/>
        <v>10</v>
      </c>
      <c r="C1004" s="17">
        <f t="shared" si="26"/>
        <v>67</v>
      </c>
      <c r="D1004" s="17"/>
      <c r="E1004" s="17">
        <f t="shared" si="51"/>
        <v>65919</v>
      </c>
      <c r="F1004" s="17">
        <f t="shared" ca="1" si="1"/>
        <v>2007</v>
      </c>
      <c r="G1004" s="17">
        <f t="shared" ca="1" si="52"/>
        <v>10806</v>
      </c>
      <c r="H1004" s="30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 spans="1:26" ht="13.5" customHeight="1" x14ac:dyDescent="0.3">
      <c r="A1005" s="17" t="s">
        <v>644</v>
      </c>
      <c r="B1005" s="17">
        <f t="shared" ref="B1005:B1030" si="53">B1004</f>
        <v>10</v>
      </c>
      <c r="C1005" s="17">
        <f t="shared" si="26"/>
        <v>68</v>
      </c>
      <c r="D1005" s="17"/>
      <c r="E1005" s="17">
        <f t="shared" si="51"/>
        <v>65919</v>
      </c>
      <c r="F1005" s="17">
        <f t="shared" ca="1" si="1"/>
        <v>2007</v>
      </c>
      <c r="G1005" s="17">
        <f t="shared" ca="1" si="52"/>
        <v>10807</v>
      </c>
      <c r="H1005" s="30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 spans="1:26" ht="13.5" customHeight="1" x14ac:dyDescent="0.3">
      <c r="A1006" s="17" t="s">
        <v>644</v>
      </c>
      <c r="B1006" s="17">
        <f t="shared" si="53"/>
        <v>10</v>
      </c>
      <c r="C1006" s="17">
        <f t="shared" si="26"/>
        <v>69</v>
      </c>
      <c r="D1006" s="17"/>
      <c r="E1006" s="17">
        <f t="shared" si="51"/>
        <v>65919</v>
      </c>
      <c r="F1006" s="17">
        <f t="shared" ca="1" si="1"/>
        <v>2007</v>
      </c>
      <c r="G1006" s="17">
        <f t="shared" ca="1" si="52"/>
        <v>10808</v>
      </c>
      <c r="H1006" s="3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 spans="1:26" ht="13.5" customHeight="1" x14ac:dyDescent="0.3">
      <c r="A1007" s="17" t="s">
        <v>644</v>
      </c>
      <c r="B1007" s="17">
        <f t="shared" si="53"/>
        <v>10</v>
      </c>
      <c r="C1007" s="17">
        <f t="shared" si="26"/>
        <v>70</v>
      </c>
      <c r="D1007" s="17"/>
      <c r="E1007" s="17">
        <f t="shared" si="51"/>
        <v>65919</v>
      </c>
      <c r="F1007" s="17">
        <f t="shared" ca="1" si="1"/>
        <v>2007</v>
      </c>
      <c r="G1007" s="17">
        <f t="shared" ca="1" si="52"/>
        <v>10809</v>
      </c>
      <c r="H1007" s="30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 spans="1:26" ht="13.5" customHeight="1" x14ac:dyDescent="0.3">
      <c r="A1008" s="17" t="s">
        <v>644</v>
      </c>
      <c r="B1008" s="17">
        <f t="shared" si="53"/>
        <v>10</v>
      </c>
      <c r="C1008" s="17">
        <f t="shared" si="26"/>
        <v>71</v>
      </c>
      <c r="D1008" s="17"/>
      <c r="E1008" s="17">
        <f t="shared" si="51"/>
        <v>65919</v>
      </c>
      <c r="F1008" s="17">
        <f t="shared" ca="1" si="1"/>
        <v>2007</v>
      </c>
      <c r="G1008" s="17">
        <f t="shared" ca="1" si="52"/>
        <v>10810</v>
      </c>
      <c r="H1008" s="30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 spans="1:26" ht="13.5" customHeight="1" x14ac:dyDescent="0.3">
      <c r="A1009" s="17" t="s">
        <v>644</v>
      </c>
      <c r="B1009" s="17">
        <f t="shared" si="53"/>
        <v>10</v>
      </c>
      <c r="C1009" s="17">
        <f t="shared" si="26"/>
        <v>72</v>
      </c>
      <c r="D1009" s="17"/>
      <c r="E1009" s="17">
        <f t="shared" si="51"/>
        <v>65919</v>
      </c>
      <c r="F1009" s="17">
        <f t="shared" ca="1" si="1"/>
        <v>2007</v>
      </c>
      <c r="G1009" s="17">
        <f t="shared" ca="1" si="52"/>
        <v>10811</v>
      </c>
      <c r="H1009" s="30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 spans="1:26" ht="13.5" customHeight="1" x14ac:dyDescent="0.3">
      <c r="A1010" s="17" t="s">
        <v>644</v>
      </c>
      <c r="B1010" s="17">
        <f t="shared" si="53"/>
        <v>10</v>
      </c>
      <c r="C1010" s="17">
        <f t="shared" si="26"/>
        <v>73</v>
      </c>
      <c r="D1010" s="17"/>
      <c r="E1010" s="17">
        <f t="shared" si="51"/>
        <v>65919</v>
      </c>
      <c r="F1010" s="17">
        <f t="shared" ca="1" si="1"/>
        <v>2007</v>
      </c>
      <c r="G1010" s="17">
        <f t="shared" ca="1" si="52"/>
        <v>10812</v>
      </c>
      <c r="H1010" s="30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 spans="1:26" ht="13.5" customHeight="1" x14ac:dyDescent="0.3">
      <c r="A1011" s="17" t="s">
        <v>644</v>
      </c>
      <c r="B1011" s="17">
        <f t="shared" si="53"/>
        <v>10</v>
      </c>
      <c r="C1011" s="17">
        <f t="shared" si="26"/>
        <v>74</v>
      </c>
      <c r="D1011" s="17"/>
      <c r="E1011" s="17">
        <f t="shared" si="51"/>
        <v>65919</v>
      </c>
      <c r="F1011" s="17">
        <f t="shared" ca="1" si="1"/>
        <v>2007</v>
      </c>
      <c r="G1011" s="17">
        <f t="shared" ca="1" si="52"/>
        <v>10813</v>
      </c>
      <c r="H1011" s="3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 spans="1:26" ht="13.5" customHeight="1" x14ac:dyDescent="0.3">
      <c r="A1012" s="17" t="s">
        <v>644</v>
      </c>
      <c r="B1012" s="17">
        <f t="shared" si="53"/>
        <v>10</v>
      </c>
      <c r="C1012" s="17">
        <f t="shared" si="26"/>
        <v>75</v>
      </c>
      <c r="D1012" s="17"/>
      <c r="E1012" s="17">
        <f t="shared" si="51"/>
        <v>65919</v>
      </c>
      <c r="F1012" s="17">
        <f t="shared" ca="1" si="1"/>
        <v>2007</v>
      </c>
      <c r="G1012" s="17">
        <f t="shared" ca="1" si="52"/>
        <v>10814</v>
      </c>
      <c r="H1012" s="3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 spans="1:26" ht="13.5" customHeight="1" x14ac:dyDescent="0.3">
      <c r="A1013" s="17" t="s">
        <v>644</v>
      </c>
      <c r="B1013" s="17">
        <f t="shared" si="53"/>
        <v>10</v>
      </c>
      <c r="C1013" s="17">
        <f t="shared" si="26"/>
        <v>76</v>
      </c>
      <c r="D1013" s="17"/>
      <c r="E1013" s="17">
        <f t="shared" si="51"/>
        <v>65919</v>
      </c>
      <c r="F1013" s="17">
        <f t="shared" ca="1" si="1"/>
        <v>2007</v>
      </c>
      <c r="G1013" s="17">
        <f t="shared" ca="1" si="52"/>
        <v>10815</v>
      </c>
      <c r="H1013" s="3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-100000</v>
      </c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 spans="1:26" ht="13.5" customHeight="1" x14ac:dyDescent="0.3">
      <c r="A1014" s="17" t="s">
        <v>644</v>
      </c>
      <c r="B1014" s="17">
        <f t="shared" si="53"/>
        <v>10</v>
      </c>
      <c r="C1014" s="17">
        <f t="shared" si="26"/>
        <v>77</v>
      </c>
      <c r="D1014" s="17"/>
      <c r="E1014" s="17">
        <f t="shared" si="51"/>
        <v>65919</v>
      </c>
      <c r="F1014" s="17">
        <f t="shared" ca="1" si="1"/>
        <v>2007</v>
      </c>
      <c r="G1014" s="17">
        <f t="shared" ca="1" si="52"/>
        <v>10816</v>
      </c>
      <c r="H1014" s="30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-5500000</v>
      </c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 spans="1:26" ht="13.5" customHeight="1" x14ac:dyDescent="0.3">
      <c r="A1015" s="17" t="s">
        <v>644</v>
      </c>
      <c r="B1015" s="17">
        <f t="shared" si="53"/>
        <v>10</v>
      </c>
      <c r="C1015" s="17">
        <f t="shared" si="26"/>
        <v>78</v>
      </c>
      <c r="D1015" s="17"/>
      <c r="E1015" s="17">
        <f t="shared" si="51"/>
        <v>65919</v>
      </c>
      <c r="F1015" s="17">
        <f t="shared" ca="1" si="1"/>
        <v>2007</v>
      </c>
      <c r="G1015" s="17">
        <f t="shared" ca="1" si="52"/>
        <v>10817</v>
      </c>
      <c r="H1015" s="30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 spans="1:26" ht="13.5" customHeight="1" x14ac:dyDescent="0.3">
      <c r="A1016" s="17" t="s">
        <v>644</v>
      </c>
      <c r="B1016" s="17">
        <f t="shared" si="53"/>
        <v>10</v>
      </c>
      <c r="C1016" s="17">
        <f t="shared" si="26"/>
        <v>79</v>
      </c>
      <c r="D1016" s="17"/>
      <c r="E1016" s="17">
        <f t="shared" si="51"/>
        <v>65919</v>
      </c>
      <c r="F1016" s="17">
        <f t="shared" ca="1" si="1"/>
        <v>2007</v>
      </c>
      <c r="G1016" s="17">
        <f t="shared" ca="1" si="52"/>
        <v>10818</v>
      </c>
      <c r="H1016" s="30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 spans="1:26" ht="13.5" customHeight="1" x14ac:dyDescent="0.3">
      <c r="A1017" s="17" t="s">
        <v>644</v>
      </c>
      <c r="B1017" s="17">
        <f t="shared" si="53"/>
        <v>10</v>
      </c>
      <c r="C1017" s="17">
        <f t="shared" si="26"/>
        <v>80</v>
      </c>
      <c r="D1017" s="17"/>
      <c r="E1017" s="17">
        <f t="shared" si="51"/>
        <v>65919</v>
      </c>
      <c r="F1017" s="17">
        <f t="shared" ca="1" si="1"/>
        <v>2007</v>
      </c>
      <c r="G1017" s="17">
        <f t="shared" ca="1" si="52"/>
        <v>10819</v>
      </c>
      <c r="H1017" s="30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49700000</v>
      </c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 spans="1:26" ht="13.5" customHeight="1" x14ac:dyDescent="0.3">
      <c r="A1018" s="17" t="s">
        <v>644</v>
      </c>
      <c r="B1018" s="17">
        <f t="shared" si="53"/>
        <v>10</v>
      </c>
      <c r="C1018" s="17">
        <f t="shared" si="26"/>
        <v>81</v>
      </c>
      <c r="D1018" s="17"/>
      <c r="E1018" s="17">
        <f t="shared" si="51"/>
        <v>65919</v>
      </c>
      <c r="F1018" s="17">
        <f t="shared" ca="1" si="1"/>
        <v>2007</v>
      </c>
      <c r="G1018" s="17">
        <f t="shared" ca="1" si="52"/>
        <v>10820</v>
      </c>
      <c r="H1018" s="3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 spans="1:26" ht="13.5" customHeight="1" x14ac:dyDescent="0.3">
      <c r="A1019" s="17" t="s">
        <v>644</v>
      </c>
      <c r="B1019" s="17">
        <f t="shared" si="53"/>
        <v>10</v>
      </c>
      <c r="C1019" s="17">
        <f t="shared" si="26"/>
        <v>82</v>
      </c>
      <c r="D1019" s="17"/>
      <c r="E1019" s="17">
        <f t="shared" si="51"/>
        <v>65919</v>
      </c>
      <c r="F1019" s="17">
        <f t="shared" ca="1" si="1"/>
        <v>2007</v>
      </c>
      <c r="G1019" s="17">
        <f t="shared" ca="1" si="52"/>
        <v>10821</v>
      </c>
      <c r="H1019" s="3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 spans="1:26" ht="13.5" customHeight="1" x14ac:dyDescent="0.3">
      <c r="A1020" s="17" t="s">
        <v>644</v>
      </c>
      <c r="B1020" s="17">
        <f t="shared" si="53"/>
        <v>10</v>
      </c>
      <c r="C1020" s="17">
        <f t="shared" si="26"/>
        <v>83</v>
      </c>
      <c r="D1020" s="17"/>
      <c r="E1020" s="17">
        <f t="shared" si="51"/>
        <v>65919</v>
      </c>
      <c r="F1020" s="17">
        <f t="shared" ca="1" si="1"/>
        <v>2007</v>
      </c>
      <c r="G1020" s="17">
        <f t="shared" ca="1" si="52"/>
        <v>10822</v>
      </c>
      <c r="H1020" s="3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 spans="1:26" ht="13.5" customHeight="1" x14ac:dyDescent="0.3">
      <c r="A1021" s="17" t="s">
        <v>644</v>
      </c>
      <c r="B1021" s="17">
        <f t="shared" si="53"/>
        <v>10</v>
      </c>
      <c r="C1021" s="17">
        <f t="shared" si="26"/>
        <v>84</v>
      </c>
      <c r="D1021" s="17"/>
      <c r="E1021" s="17">
        <f t="shared" si="51"/>
        <v>65919</v>
      </c>
      <c r="F1021" s="17">
        <f t="shared" ca="1" si="1"/>
        <v>2007</v>
      </c>
      <c r="G1021" s="17">
        <f t="shared" ca="1" si="52"/>
        <v>10829</v>
      </c>
      <c r="H1021" s="3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 spans="1:26" ht="13.5" customHeight="1" x14ac:dyDescent="0.3">
      <c r="A1022" s="17" t="s">
        <v>644</v>
      </c>
      <c r="B1022" s="17">
        <f t="shared" si="53"/>
        <v>10</v>
      </c>
      <c r="C1022" s="17">
        <f t="shared" si="26"/>
        <v>85</v>
      </c>
      <c r="D1022" s="17"/>
      <c r="E1022" s="17">
        <f t="shared" si="51"/>
        <v>65919</v>
      </c>
      <c r="F1022" s="17">
        <f t="shared" ca="1" si="1"/>
        <v>2007</v>
      </c>
      <c r="G1022" s="17">
        <f t="shared" ca="1" si="52"/>
        <v>10823</v>
      </c>
      <c r="H1022" s="30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12100000</v>
      </c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 spans="1:26" ht="13.5" customHeight="1" x14ac:dyDescent="0.3">
      <c r="A1023" s="17" t="s">
        <v>644</v>
      </c>
      <c r="B1023" s="17">
        <f t="shared" si="53"/>
        <v>10</v>
      </c>
      <c r="C1023" s="17">
        <f t="shared" si="26"/>
        <v>86</v>
      </c>
      <c r="D1023" s="17"/>
      <c r="E1023" s="17">
        <f t="shared" si="51"/>
        <v>65919</v>
      </c>
      <c r="F1023" s="17">
        <f t="shared" ca="1" si="1"/>
        <v>2007</v>
      </c>
      <c r="G1023" s="17">
        <f t="shared" ca="1" si="52"/>
        <v>10798</v>
      </c>
      <c r="H1023" s="30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 spans="1:26" ht="13.5" customHeight="1" x14ac:dyDescent="0.3">
      <c r="A1024" s="17" t="s">
        <v>644</v>
      </c>
      <c r="B1024" s="17">
        <f t="shared" si="53"/>
        <v>10</v>
      </c>
      <c r="C1024" s="17">
        <f t="shared" si="26"/>
        <v>87</v>
      </c>
      <c r="D1024" s="17"/>
      <c r="E1024" s="17">
        <f t="shared" si="51"/>
        <v>65919</v>
      </c>
      <c r="F1024" s="17">
        <f t="shared" ca="1" si="1"/>
        <v>2007</v>
      </c>
      <c r="G1024" s="17">
        <f t="shared" ca="1" si="52"/>
        <v>10799</v>
      </c>
      <c r="H1024" s="30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 spans="1:26" ht="13.5" customHeight="1" x14ac:dyDescent="0.3">
      <c r="A1025" s="17" t="s">
        <v>644</v>
      </c>
      <c r="B1025" s="17">
        <f t="shared" si="53"/>
        <v>10</v>
      </c>
      <c r="C1025" s="17">
        <f t="shared" si="26"/>
        <v>88</v>
      </c>
      <c r="D1025" s="17"/>
      <c r="E1025" s="17">
        <f t="shared" si="51"/>
        <v>65919</v>
      </c>
      <c r="F1025" s="17">
        <f t="shared" ca="1" si="1"/>
        <v>2007</v>
      </c>
      <c r="G1025" s="17">
        <f t="shared" ca="1" si="52"/>
        <v>10800</v>
      </c>
      <c r="H1025" s="3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 spans="1:26" ht="13.5" customHeight="1" x14ac:dyDescent="0.3">
      <c r="A1026" s="17" t="s">
        <v>644</v>
      </c>
      <c r="B1026" s="17">
        <f t="shared" si="53"/>
        <v>10</v>
      </c>
      <c r="C1026" s="17">
        <f t="shared" si="26"/>
        <v>89</v>
      </c>
      <c r="D1026" s="17"/>
      <c r="E1026" s="17">
        <f t="shared" si="51"/>
        <v>65919</v>
      </c>
      <c r="F1026" s="17">
        <f t="shared" ca="1" si="1"/>
        <v>2007</v>
      </c>
      <c r="G1026" s="17">
        <f t="shared" ca="1" si="52"/>
        <v>10824</v>
      </c>
      <c r="H1026" s="30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 spans="1:26" ht="13.5" customHeight="1" x14ac:dyDescent="0.3">
      <c r="A1027" s="17" t="s">
        <v>644</v>
      </c>
      <c r="B1027" s="17">
        <f t="shared" si="53"/>
        <v>10</v>
      </c>
      <c r="C1027" s="17">
        <f t="shared" si="26"/>
        <v>90</v>
      </c>
      <c r="D1027" s="17"/>
      <c r="E1027" s="17">
        <f t="shared" si="51"/>
        <v>65919</v>
      </c>
      <c r="F1027" s="17">
        <f t="shared" ca="1" si="1"/>
        <v>2007</v>
      </c>
      <c r="G1027" s="17">
        <f t="shared" ca="1" si="52"/>
        <v>10825</v>
      </c>
      <c r="H1027" s="3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 spans="1:26" ht="13.5" customHeight="1" x14ac:dyDescent="0.3">
      <c r="A1028" s="17" t="s">
        <v>644</v>
      </c>
      <c r="B1028" s="17">
        <f t="shared" si="53"/>
        <v>10</v>
      </c>
      <c r="C1028" s="17">
        <f t="shared" si="26"/>
        <v>91</v>
      </c>
      <c r="D1028" s="17"/>
      <c r="E1028" s="17">
        <f t="shared" ref="E1028:E1091" si="54">plan_id</f>
        <v>65919</v>
      </c>
      <c r="F1028" s="17">
        <f t="shared" ca="1" si="1"/>
        <v>2007</v>
      </c>
      <c r="G1028" s="17">
        <f t="shared" ref="G1028:G1091" ca="1" si="55">VLOOKUP(INDIRECT(CHAR(39)&amp;$A1028&amp;CHAR(39)&amp;"!r2c"&amp;$C1028,0),variables,2,0)</f>
        <v>10826</v>
      </c>
      <c r="H1028" s="3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 spans="1:26" ht="13.5" customHeight="1" x14ac:dyDescent="0.3">
      <c r="A1029" s="17" t="s">
        <v>644</v>
      </c>
      <c r="B1029" s="17">
        <f t="shared" si="53"/>
        <v>10</v>
      </c>
      <c r="C1029" s="17">
        <f t="shared" si="26"/>
        <v>92</v>
      </c>
      <c r="D1029" s="17"/>
      <c r="E1029" s="17">
        <f t="shared" si="54"/>
        <v>65919</v>
      </c>
      <c r="F1029" s="17">
        <f t="shared" ca="1" si="1"/>
        <v>2007</v>
      </c>
      <c r="G1029" s="17">
        <f t="shared" ca="1" si="55"/>
        <v>10828</v>
      </c>
      <c r="H1029" s="3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 spans="1:26" ht="13.5" customHeight="1" x14ac:dyDescent="0.3">
      <c r="A1030" s="17" t="s">
        <v>644</v>
      </c>
      <c r="B1030" s="17">
        <f t="shared" si="53"/>
        <v>10</v>
      </c>
      <c r="C1030" s="17">
        <f t="shared" si="26"/>
        <v>93</v>
      </c>
      <c r="D1030" s="17"/>
      <c r="E1030" s="17">
        <f t="shared" si="54"/>
        <v>65919</v>
      </c>
      <c r="F1030" s="17">
        <f t="shared" ca="1" si="1"/>
        <v>2007</v>
      </c>
      <c r="G1030" s="17">
        <f t="shared" ca="1" si="55"/>
        <v>10827</v>
      </c>
      <c r="H1030" s="2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 spans="1:26" ht="13.5" customHeight="1" x14ac:dyDescent="0.3">
      <c r="A1031" s="17" t="s">
        <v>644</v>
      </c>
      <c r="B1031" s="17">
        <f t="shared" ref="B1031:B1095" si="56">B966+1</f>
        <v>11</v>
      </c>
      <c r="C1031" s="17">
        <f t="shared" si="26"/>
        <v>3</v>
      </c>
      <c r="D1031" s="17"/>
      <c r="E1031" s="17">
        <f t="shared" si="54"/>
        <v>65919</v>
      </c>
      <c r="F1031" s="17">
        <f t="shared" ca="1" si="1"/>
        <v>2008</v>
      </c>
      <c r="G1031" s="17">
        <f t="shared" ca="1" si="55"/>
        <v>10703</v>
      </c>
      <c r="H1031" s="2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2008</v>
      </c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 spans="1:26" ht="13.5" customHeight="1" x14ac:dyDescent="0.3">
      <c r="A1032" s="17" t="s">
        <v>644</v>
      </c>
      <c r="B1032" s="17">
        <f t="shared" si="56"/>
        <v>11</v>
      </c>
      <c r="C1032" s="17">
        <f t="shared" si="26"/>
        <v>4</v>
      </c>
      <c r="D1032" s="17"/>
      <c r="E1032" s="17">
        <f t="shared" si="54"/>
        <v>65919</v>
      </c>
      <c r="F1032" s="17">
        <f t="shared" ca="1" si="1"/>
        <v>2008</v>
      </c>
      <c r="G1032" s="17">
        <f t="shared" ca="1" si="55"/>
        <v>10845</v>
      </c>
      <c r="H1032" s="2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The Office Of The State Actuary</v>
      </c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 spans="1:26" ht="13.5" customHeight="1" x14ac:dyDescent="0.3">
      <c r="A1033" s="17" t="s">
        <v>644</v>
      </c>
      <c r="B1033" s="17">
        <f t="shared" si="56"/>
        <v>11</v>
      </c>
      <c r="C1033" s="17">
        <f t="shared" si="26"/>
        <v>5</v>
      </c>
      <c r="D1033" s="17"/>
      <c r="E1033" s="17">
        <f t="shared" si="54"/>
        <v>65919</v>
      </c>
      <c r="F1033" s="17">
        <f t="shared" ca="1" si="1"/>
        <v>2008</v>
      </c>
      <c r="G1033" s="17">
        <f t="shared" ca="1" si="55"/>
        <v>10924</v>
      </c>
      <c r="H1033" s="3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0.11220000000000001</v>
      </c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 spans="1:26" ht="13.5" customHeight="1" x14ac:dyDescent="0.3">
      <c r="A1034" s="17" t="s">
        <v>644</v>
      </c>
      <c r="B1034" s="17">
        <f t="shared" si="56"/>
        <v>11</v>
      </c>
      <c r="C1034" s="17">
        <f t="shared" si="26"/>
        <v>6</v>
      </c>
      <c r="D1034" s="17"/>
      <c r="E1034" s="17">
        <f t="shared" si="54"/>
        <v>65919</v>
      </c>
      <c r="F1034" s="17">
        <f t="shared" ca="1" si="1"/>
        <v>2008</v>
      </c>
      <c r="G1034" s="17">
        <f t="shared" ca="1" si="55"/>
        <v>10925</v>
      </c>
      <c r="H1034" s="3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6.2700000000000006E-2</v>
      </c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 spans="1:26" ht="13.5" customHeight="1" x14ac:dyDescent="0.3">
      <c r="A1035" s="17" t="s">
        <v>644</v>
      </c>
      <c r="B1035" s="17">
        <f t="shared" si="56"/>
        <v>11</v>
      </c>
      <c r="C1035" s="17">
        <f t="shared" si="26"/>
        <v>7</v>
      </c>
      <c r="D1035" s="17"/>
      <c r="E1035" s="17">
        <f t="shared" si="54"/>
        <v>65919</v>
      </c>
      <c r="F1035" s="17">
        <f t="shared" ca="1" si="1"/>
        <v>2008</v>
      </c>
      <c r="G1035" s="17">
        <f t="shared" ca="1" si="55"/>
        <v>10926</v>
      </c>
      <c r="H1035" s="3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4.9500000000000002E-2</v>
      </c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 spans="1:26" ht="13.5" customHeight="1" x14ac:dyDescent="0.3">
      <c r="A1036" s="17" t="s">
        <v>644</v>
      </c>
      <c r="B1036" s="17">
        <f t="shared" si="56"/>
        <v>11</v>
      </c>
      <c r="C1036" s="17">
        <f t="shared" si="26"/>
        <v>8</v>
      </c>
      <c r="D1036" s="17"/>
      <c r="E1036" s="17">
        <f t="shared" si="54"/>
        <v>65919</v>
      </c>
      <c r="F1036" s="17">
        <f t="shared" ca="1" si="1"/>
        <v>2008</v>
      </c>
      <c r="G1036" s="17">
        <f t="shared" ca="1" si="55"/>
        <v>10704</v>
      </c>
      <c r="H1036" s="3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 spans="1:26" ht="13.5" customHeight="1" x14ac:dyDescent="0.3">
      <c r="A1037" s="17" t="s">
        <v>644</v>
      </c>
      <c r="B1037" s="17">
        <f t="shared" si="56"/>
        <v>11</v>
      </c>
      <c r="C1037" s="17">
        <f t="shared" si="26"/>
        <v>9</v>
      </c>
      <c r="D1037" s="17"/>
      <c r="E1037" s="17">
        <f t="shared" si="54"/>
        <v>65919</v>
      </c>
      <c r="F1037" s="17">
        <f t="shared" ca="1" si="1"/>
        <v>2008</v>
      </c>
      <c r="G1037" s="17">
        <f t="shared" ca="1" si="55"/>
        <v>10928</v>
      </c>
      <c r="H1037" s="31" t="str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N/A</v>
      </c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 spans="1:26" ht="13.5" customHeight="1" x14ac:dyDescent="0.3">
      <c r="A1038" s="17" t="s">
        <v>644</v>
      </c>
      <c r="B1038" s="17">
        <f t="shared" si="56"/>
        <v>11</v>
      </c>
      <c r="C1038" s="17">
        <f t="shared" si="26"/>
        <v>10</v>
      </c>
      <c r="D1038" s="17"/>
      <c r="E1038" s="17">
        <f t="shared" si="54"/>
        <v>65919</v>
      </c>
      <c r="F1038" s="17">
        <f t="shared" ca="1" si="1"/>
        <v>2008</v>
      </c>
      <c r="G1038" s="17">
        <f t="shared" ca="1" si="55"/>
        <v>10929</v>
      </c>
      <c r="H1038" s="31" t="str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N/A</v>
      </c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 spans="1:26" ht="13.5" customHeight="1" x14ac:dyDescent="0.3">
      <c r="A1039" s="17" t="s">
        <v>644</v>
      </c>
      <c r="B1039" s="17">
        <f t="shared" si="56"/>
        <v>11</v>
      </c>
      <c r="C1039" s="17">
        <f t="shared" si="26"/>
        <v>11</v>
      </c>
      <c r="D1039" s="17"/>
      <c r="E1039" s="17">
        <f t="shared" si="54"/>
        <v>65919</v>
      </c>
      <c r="F1039" s="17">
        <f t="shared" ca="1" si="1"/>
        <v>2008</v>
      </c>
      <c r="G1039" s="17">
        <f t="shared" ca="1" si="55"/>
        <v>10930</v>
      </c>
      <c r="H1039" s="3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 spans="1:26" ht="13.5" customHeight="1" x14ac:dyDescent="0.3">
      <c r="A1040" s="17" t="s">
        <v>644</v>
      </c>
      <c r="B1040" s="17">
        <f t="shared" si="56"/>
        <v>11</v>
      </c>
      <c r="C1040" s="17">
        <f t="shared" si="26"/>
        <v>12</v>
      </c>
      <c r="D1040" s="17"/>
      <c r="E1040" s="17">
        <f t="shared" si="54"/>
        <v>65919</v>
      </c>
      <c r="F1040" s="17">
        <f t="shared" ca="1" si="1"/>
        <v>2008</v>
      </c>
      <c r="G1040" s="17">
        <f t="shared" ca="1" si="55"/>
        <v>10705</v>
      </c>
      <c r="H1040" s="3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5239000</v>
      </c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 spans="1:26" ht="13.5" customHeight="1" x14ac:dyDescent="0.3">
      <c r="A1041" s="17" t="s">
        <v>644</v>
      </c>
      <c r="B1041" s="17">
        <f t="shared" si="56"/>
        <v>11</v>
      </c>
      <c r="C1041" s="17">
        <f t="shared" si="26"/>
        <v>13</v>
      </c>
      <c r="D1041" s="17"/>
      <c r="E1041" s="17">
        <f t="shared" si="54"/>
        <v>65919</v>
      </c>
      <c r="F1041" s="17">
        <f t="shared" ca="1" si="1"/>
        <v>2008</v>
      </c>
      <c r="G1041" s="17">
        <f t="shared" ca="1" si="55"/>
        <v>10842</v>
      </c>
      <c r="H1041" s="3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 spans="1:26" ht="13.5" customHeight="1" x14ac:dyDescent="0.3">
      <c r="A1042" s="17" t="s">
        <v>644</v>
      </c>
      <c r="B1042" s="17">
        <f t="shared" si="56"/>
        <v>11</v>
      </c>
      <c r="C1042" s="17">
        <f t="shared" si="26"/>
        <v>14</v>
      </c>
      <c r="D1042" s="17"/>
      <c r="E1042" s="17">
        <f t="shared" si="54"/>
        <v>65919</v>
      </c>
      <c r="F1042" s="17">
        <f t="shared" ca="1" si="1"/>
        <v>2008</v>
      </c>
      <c r="G1042" s="17">
        <f t="shared" ca="1" si="55"/>
        <v>10843</v>
      </c>
      <c r="H1042" s="3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 spans="1:26" ht="13.5" customHeight="1" x14ac:dyDescent="0.3">
      <c r="A1043" s="17" t="s">
        <v>644</v>
      </c>
      <c r="B1043" s="17">
        <f t="shared" si="56"/>
        <v>11</v>
      </c>
      <c r="C1043" s="17">
        <f t="shared" si="26"/>
        <v>15</v>
      </c>
      <c r="D1043" s="17"/>
      <c r="E1043" s="17">
        <f t="shared" si="54"/>
        <v>65919</v>
      </c>
      <c r="F1043" s="17">
        <f t="shared" ca="1" si="1"/>
        <v>2008</v>
      </c>
      <c r="G1043" s="17">
        <f t="shared" ca="1" si="55"/>
        <v>10931</v>
      </c>
      <c r="H1043" s="3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 spans="1:26" ht="13.5" customHeight="1" x14ac:dyDescent="0.3">
      <c r="A1044" s="17" t="s">
        <v>644</v>
      </c>
      <c r="B1044" s="17">
        <f t="shared" si="56"/>
        <v>11</v>
      </c>
      <c r="C1044" s="17">
        <f t="shared" si="26"/>
        <v>16</v>
      </c>
      <c r="D1044" s="17"/>
      <c r="E1044" s="17">
        <f t="shared" si="54"/>
        <v>65919</v>
      </c>
      <c r="F1044" s="17">
        <f t="shared" ca="1" si="1"/>
        <v>2008</v>
      </c>
      <c r="G1044" s="17">
        <f t="shared" ca="1" si="55"/>
        <v>10932</v>
      </c>
      <c r="H1044" s="3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 spans="1:26" ht="13.5" customHeight="1" x14ac:dyDescent="0.3">
      <c r="A1045" s="17" t="s">
        <v>644</v>
      </c>
      <c r="B1045" s="17">
        <f t="shared" si="56"/>
        <v>11</v>
      </c>
      <c r="C1045" s="17">
        <f t="shared" si="26"/>
        <v>17</v>
      </c>
      <c r="D1045" s="17"/>
      <c r="E1045" s="17">
        <f t="shared" si="54"/>
        <v>65919</v>
      </c>
      <c r="F1045" s="17">
        <f t="shared" ca="1" si="1"/>
        <v>2008</v>
      </c>
      <c r="G1045" s="17">
        <f t="shared" ca="1" si="55"/>
        <v>10933</v>
      </c>
      <c r="H1045" s="3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6.2700000000000006E-2</v>
      </c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 spans="1:26" ht="13.5" customHeight="1" x14ac:dyDescent="0.3">
      <c r="A1046" s="17" t="s">
        <v>644</v>
      </c>
      <c r="B1046" s="17">
        <f t="shared" si="56"/>
        <v>11</v>
      </c>
      <c r="C1046" s="17">
        <f t="shared" si="26"/>
        <v>18</v>
      </c>
      <c r="D1046" s="17"/>
      <c r="E1046" s="17">
        <f t="shared" si="54"/>
        <v>65919</v>
      </c>
      <c r="F1046" s="17">
        <f t="shared" ca="1" si="1"/>
        <v>2008</v>
      </c>
      <c r="G1046" s="17">
        <f t="shared" ca="1" si="55"/>
        <v>10934</v>
      </c>
      <c r="H1046" s="3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4.9500000000000002E-2</v>
      </c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 spans="1:26" ht="13.5" customHeight="1" x14ac:dyDescent="0.3">
      <c r="A1047" s="17" t="s">
        <v>644</v>
      </c>
      <c r="B1047" s="17">
        <f t="shared" si="56"/>
        <v>11</v>
      </c>
      <c r="C1047" s="17">
        <f t="shared" si="26"/>
        <v>19</v>
      </c>
      <c r="D1047" s="17"/>
      <c r="E1047" s="17">
        <f t="shared" si="54"/>
        <v>65919</v>
      </c>
      <c r="F1047" s="17">
        <f t="shared" ca="1" si="1"/>
        <v>2008</v>
      </c>
      <c r="G1047" s="17">
        <f t="shared" ca="1" si="55"/>
        <v>10935</v>
      </c>
      <c r="H1047" s="29" t="str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Single Rate</v>
      </c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 spans="1:26" ht="13.5" customHeight="1" x14ac:dyDescent="0.3">
      <c r="A1048" s="17" t="s">
        <v>644</v>
      </c>
      <c r="B1048" s="17">
        <f t="shared" si="56"/>
        <v>11</v>
      </c>
      <c r="C1048" s="17">
        <f t="shared" si="26"/>
        <v>20</v>
      </c>
      <c r="D1048" s="17"/>
      <c r="E1048" s="17">
        <f t="shared" si="54"/>
        <v>65919</v>
      </c>
      <c r="F1048" s="17">
        <f t="shared" ca="1" si="1"/>
        <v>2008</v>
      </c>
      <c r="G1048" s="17">
        <f t="shared" ca="1" si="55"/>
        <v>10937</v>
      </c>
      <c r="H1048" s="3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 spans="1:26" ht="13.5" customHeight="1" x14ac:dyDescent="0.3">
      <c r="A1049" s="17" t="s">
        <v>644</v>
      </c>
      <c r="B1049" s="17">
        <f t="shared" si="56"/>
        <v>11</v>
      </c>
      <c r="C1049" s="17">
        <f t="shared" si="26"/>
        <v>21</v>
      </c>
      <c r="D1049" s="17"/>
      <c r="E1049" s="17">
        <f t="shared" si="54"/>
        <v>65919</v>
      </c>
      <c r="F1049" s="17">
        <f t="shared" ca="1" si="1"/>
        <v>2008</v>
      </c>
      <c r="G1049" s="17">
        <f t="shared" ca="1" si="55"/>
        <v>10938</v>
      </c>
      <c r="H1049" s="3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 spans="1:26" ht="13.5" customHeight="1" x14ac:dyDescent="0.3">
      <c r="A1050" s="17" t="s">
        <v>644</v>
      </c>
      <c r="B1050" s="17">
        <f t="shared" si="56"/>
        <v>11</v>
      </c>
      <c r="C1050" s="17">
        <f t="shared" si="26"/>
        <v>22</v>
      </c>
      <c r="D1050" s="17"/>
      <c r="E1050" s="17">
        <f t="shared" si="54"/>
        <v>65919</v>
      </c>
      <c r="F1050" s="17">
        <f t="shared" ca="1" si="1"/>
        <v>2008</v>
      </c>
      <c r="G1050" s="17">
        <f t="shared" ca="1" si="55"/>
        <v>11007</v>
      </c>
      <c r="H1050" s="29" t="str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Accrued Benefit Formula= 2% x YOS x AFC (Max= 75% AFC)</v>
      </c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 spans="1:26" ht="13.5" customHeight="1" x14ac:dyDescent="0.3">
      <c r="A1051" s="17" t="s">
        <v>644</v>
      </c>
      <c r="B1051" s="17">
        <f t="shared" si="56"/>
        <v>11</v>
      </c>
      <c r="C1051" s="17">
        <f t="shared" si="26"/>
        <v>23</v>
      </c>
      <c r="D1051" s="17"/>
      <c r="E1051" s="17">
        <f t="shared" si="54"/>
        <v>65919</v>
      </c>
      <c r="F1051" s="17">
        <f t="shared" ca="1" si="1"/>
        <v>2008</v>
      </c>
      <c r="G1051" s="17">
        <f t="shared" ca="1" si="55"/>
        <v>10941</v>
      </c>
      <c r="H1051" s="29" t="str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COLA</v>
      </c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 spans="1:26" ht="13.5" customHeight="1" x14ac:dyDescent="0.3">
      <c r="A1052" s="17" t="s">
        <v>644</v>
      </c>
      <c r="B1052" s="17">
        <f t="shared" si="56"/>
        <v>11</v>
      </c>
      <c r="C1052" s="17">
        <f t="shared" si="26"/>
        <v>24</v>
      </c>
      <c r="D1052" s="17"/>
      <c r="E1052" s="17">
        <f t="shared" si="54"/>
        <v>65919</v>
      </c>
      <c r="F1052" s="17">
        <f t="shared" ca="1" si="1"/>
        <v>2008</v>
      </c>
      <c r="G1052" s="17">
        <f t="shared" ca="1" si="55"/>
        <v>10942</v>
      </c>
      <c r="H1052" s="29" t="str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Percentage</v>
      </c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 spans="1:26" ht="13.5" customHeight="1" x14ac:dyDescent="0.3">
      <c r="A1053" s="17" t="s">
        <v>644</v>
      </c>
      <c r="B1053" s="17">
        <f t="shared" si="56"/>
        <v>11</v>
      </c>
      <c r="C1053" s="17">
        <f t="shared" si="26"/>
        <v>25</v>
      </c>
      <c r="D1053" s="17"/>
      <c r="E1053" s="17">
        <f t="shared" si="54"/>
        <v>65919</v>
      </c>
      <c r="F1053" s="17">
        <f t="shared" ca="1" si="1"/>
        <v>2008</v>
      </c>
      <c r="G1053" s="17">
        <f t="shared" ca="1" si="55"/>
        <v>10701</v>
      </c>
      <c r="H1053" s="3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0.03</v>
      </c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 spans="1:26" ht="13.5" customHeight="1" x14ac:dyDescent="0.3">
      <c r="A1054" s="17" t="s">
        <v>644</v>
      </c>
      <c r="B1054" s="17">
        <f t="shared" si="56"/>
        <v>11</v>
      </c>
      <c r="C1054" s="17">
        <f t="shared" si="26"/>
        <v>26</v>
      </c>
      <c r="D1054" s="17"/>
      <c r="E1054" s="17">
        <f t="shared" si="54"/>
        <v>65919</v>
      </c>
      <c r="F1054" s="17">
        <f t="shared" ca="1" si="1"/>
        <v>2008</v>
      </c>
      <c r="G1054" s="17">
        <f t="shared" ca="1" si="55"/>
        <v>10702</v>
      </c>
      <c r="H1054" s="3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 spans="1:26" ht="13.5" customHeight="1" x14ac:dyDescent="0.3">
      <c r="A1055" s="17" t="s">
        <v>644</v>
      </c>
      <c r="B1055" s="17">
        <f t="shared" si="56"/>
        <v>11</v>
      </c>
      <c r="C1055" s="17">
        <f t="shared" si="26"/>
        <v>27</v>
      </c>
      <c r="D1055" s="17"/>
      <c r="E1055" s="17">
        <f t="shared" si="54"/>
        <v>65919</v>
      </c>
      <c r="F1055" s="17">
        <f t="shared" ca="1" si="1"/>
        <v>2008</v>
      </c>
      <c r="G1055" s="17">
        <f t="shared" ca="1" si="55"/>
        <v>10943</v>
      </c>
      <c r="H1055" s="2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 spans="1:26" ht="13.5" customHeight="1" x14ac:dyDescent="0.3">
      <c r="A1056" s="17" t="s">
        <v>644</v>
      </c>
      <c r="B1056" s="17">
        <f t="shared" si="56"/>
        <v>11</v>
      </c>
      <c r="C1056" s="17">
        <f t="shared" si="26"/>
        <v>28</v>
      </c>
      <c r="D1056" s="17"/>
      <c r="E1056" s="17">
        <f t="shared" si="54"/>
        <v>65919</v>
      </c>
      <c r="F1056" s="17">
        <f t="shared" ca="1" si="1"/>
        <v>2008</v>
      </c>
      <c r="G1056" s="17">
        <f t="shared" ca="1" si="55"/>
        <v>10944</v>
      </c>
      <c r="H1056" s="31" t="str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No</v>
      </c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 spans="1:26" ht="13.5" customHeight="1" x14ac:dyDescent="0.3">
      <c r="A1057" s="17" t="s">
        <v>644</v>
      </c>
      <c r="B1057" s="17">
        <f t="shared" si="56"/>
        <v>11</v>
      </c>
      <c r="C1057" s="17">
        <f t="shared" si="26"/>
        <v>29</v>
      </c>
      <c r="D1057" s="17"/>
      <c r="E1057" s="17">
        <f t="shared" si="54"/>
        <v>65919</v>
      </c>
      <c r="F1057" s="17">
        <f t="shared" ca="1" si="1"/>
        <v>2008</v>
      </c>
      <c r="G1057" s="17">
        <f t="shared" ca="1" si="55"/>
        <v>10945</v>
      </c>
      <c r="H1057" s="31" t="str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No</v>
      </c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 spans="1:26" ht="13.5" customHeight="1" x14ac:dyDescent="0.3">
      <c r="A1058" s="17" t="s">
        <v>644</v>
      </c>
      <c r="B1058" s="17">
        <f t="shared" si="56"/>
        <v>11</v>
      </c>
      <c r="C1058" s="17">
        <f t="shared" si="26"/>
        <v>30</v>
      </c>
      <c r="D1058" s="17"/>
      <c r="E1058" s="17">
        <f t="shared" si="54"/>
        <v>65919</v>
      </c>
      <c r="F1058" s="17">
        <f t="shared" ca="1" si="1"/>
        <v>2008</v>
      </c>
      <c r="G1058" s="17">
        <f t="shared" ca="1" si="55"/>
        <v>10947</v>
      </c>
      <c r="H1058" s="2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 spans="1:26" ht="13.5" customHeight="1" x14ac:dyDescent="0.3">
      <c r="A1059" s="17" t="s">
        <v>644</v>
      </c>
      <c r="B1059" s="17">
        <f t="shared" si="56"/>
        <v>11</v>
      </c>
      <c r="C1059" s="17">
        <f t="shared" si="26"/>
        <v>31</v>
      </c>
      <c r="D1059" s="17"/>
      <c r="E1059" s="17">
        <f t="shared" si="54"/>
        <v>65919</v>
      </c>
      <c r="F1059" s="17">
        <f t="shared" ca="1" si="1"/>
        <v>2008</v>
      </c>
      <c r="G1059" s="17">
        <f t="shared" ca="1" si="55"/>
        <v>10948</v>
      </c>
      <c r="H1059" s="31" t="str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No</v>
      </c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 spans="1:26" ht="13.5" customHeight="1" x14ac:dyDescent="0.3">
      <c r="A1060" s="17" t="s">
        <v>644</v>
      </c>
      <c r="B1060" s="17">
        <f t="shared" si="56"/>
        <v>11</v>
      </c>
      <c r="C1060" s="17">
        <f t="shared" si="26"/>
        <v>32</v>
      </c>
      <c r="D1060" s="17"/>
      <c r="E1060" s="17">
        <f t="shared" si="54"/>
        <v>65919</v>
      </c>
      <c r="F1060" s="17">
        <f t="shared" ca="1" si="1"/>
        <v>2008</v>
      </c>
      <c r="G1060" s="17">
        <f t="shared" ca="1" si="55"/>
        <v>10949</v>
      </c>
      <c r="H1060" s="31" t="str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No</v>
      </c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 spans="1:26" ht="13.5" customHeight="1" x14ac:dyDescent="0.3">
      <c r="A1061" s="17" t="s">
        <v>644</v>
      </c>
      <c r="B1061" s="17">
        <f t="shared" si="56"/>
        <v>11</v>
      </c>
      <c r="C1061" s="17">
        <f t="shared" si="26"/>
        <v>33</v>
      </c>
      <c r="D1061" s="17"/>
      <c r="E1061" s="17">
        <f t="shared" si="54"/>
        <v>65919</v>
      </c>
      <c r="F1061" s="17">
        <f t="shared" ca="1" si="1"/>
        <v>2008</v>
      </c>
      <c r="G1061" s="17">
        <f t="shared" ca="1" si="55"/>
        <v>10951</v>
      </c>
      <c r="H1061" s="31" t="str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No</v>
      </c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 spans="1:26" ht="13.5" customHeight="1" x14ac:dyDescent="0.3">
      <c r="A1062" s="17" t="s">
        <v>644</v>
      </c>
      <c r="B1062" s="17">
        <f t="shared" si="56"/>
        <v>11</v>
      </c>
      <c r="C1062" s="17">
        <f t="shared" si="26"/>
        <v>34</v>
      </c>
      <c r="D1062" s="17"/>
      <c r="E1062" s="17">
        <f t="shared" si="54"/>
        <v>65919</v>
      </c>
      <c r="F1062" s="17">
        <f t="shared" ca="1" si="1"/>
        <v>2008</v>
      </c>
      <c r="G1062" s="17">
        <f t="shared" ca="1" si="55"/>
        <v>10950</v>
      </c>
      <c r="H1062" s="31" t="str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No</v>
      </c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 spans="1:26" ht="13.5" customHeight="1" x14ac:dyDescent="0.3">
      <c r="A1063" s="17" t="s">
        <v>644</v>
      </c>
      <c r="B1063" s="17">
        <f t="shared" si="56"/>
        <v>11</v>
      </c>
      <c r="C1063" s="17">
        <f t="shared" si="26"/>
        <v>35</v>
      </c>
      <c r="D1063" s="17"/>
      <c r="E1063" s="17">
        <f t="shared" si="54"/>
        <v>65919</v>
      </c>
      <c r="F1063" s="17">
        <f t="shared" ca="1" si="1"/>
        <v>2008</v>
      </c>
      <c r="G1063" s="17">
        <f t="shared" ca="1" si="55"/>
        <v>10954</v>
      </c>
      <c r="H1063" s="3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3.5000000000000003E-2</v>
      </c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 spans="1:26" ht="13.5" customHeight="1" x14ac:dyDescent="0.3">
      <c r="A1064" s="17" t="s">
        <v>644</v>
      </c>
      <c r="B1064" s="17">
        <f t="shared" si="56"/>
        <v>11</v>
      </c>
      <c r="C1064" s="17">
        <f t="shared" si="26"/>
        <v>36</v>
      </c>
      <c r="D1064" s="17"/>
      <c r="E1064" s="17">
        <f t="shared" si="54"/>
        <v>65919</v>
      </c>
      <c r="F1064" s="17">
        <f t="shared" ca="1" si="1"/>
        <v>2008</v>
      </c>
      <c r="G1064" s="17">
        <f t="shared" ca="1" si="55"/>
        <v>10955</v>
      </c>
      <c r="H1064" s="3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0.08</v>
      </c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 spans="1:26" ht="13.5" customHeight="1" x14ac:dyDescent="0.3">
      <c r="A1065" s="17" t="s">
        <v>644</v>
      </c>
      <c r="B1065" s="17">
        <f t="shared" si="56"/>
        <v>11</v>
      </c>
      <c r="C1065" s="17">
        <f t="shared" si="26"/>
        <v>37</v>
      </c>
      <c r="D1065" s="17"/>
      <c r="E1065" s="17">
        <f t="shared" si="54"/>
        <v>65919</v>
      </c>
      <c r="F1065" s="17">
        <f t="shared" ca="1" si="1"/>
        <v>2008</v>
      </c>
      <c r="G1065" s="17">
        <f t="shared" ca="1" si="55"/>
        <v>10956</v>
      </c>
      <c r="H1065" s="3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5.0000000000000001E-4</v>
      </c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 spans="1:26" ht="13.5" customHeight="1" x14ac:dyDescent="0.3">
      <c r="A1066" s="17" t="s">
        <v>644</v>
      </c>
      <c r="B1066" s="17">
        <f t="shared" si="56"/>
        <v>11</v>
      </c>
      <c r="C1066" s="17">
        <f t="shared" si="26"/>
        <v>38</v>
      </c>
      <c r="D1066" s="17"/>
      <c r="E1066" s="17">
        <f t="shared" si="54"/>
        <v>65919</v>
      </c>
      <c r="F1066" s="17">
        <f t="shared" ca="1" si="1"/>
        <v>2008</v>
      </c>
      <c r="G1066" s="17">
        <f t="shared" ca="1" si="55"/>
        <v>10959</v>
      </c>
      <c r="H1066" s="3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0.04</v>
      </c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 spans="1:26" ht="13.5" customHeight="1" x14ac:dyDescent="0.3">
      <c r="A1067" s="17" t="s">
        <v>644</v>
      </c>
      <c r="B1067" s="17">
        <f t="shared" si="56"/>
        <v>11</v>
      </c>
      <c r="C1067" s="17">
        <f t="shared" si="26"/>
        <v>39</v>
      </c>
      <c r="D1067" s="17"/>
      <c r="E1067" s="17">
        <f t="shared" si="54"/>
        <v>65919</v>
      </c>
      <c r="F1067" s="17">
        <f t="shared" ca="1" si="1"/>
        <v>2008</v>
      </c>
      <c r="G1067" s="17">
        <f t="shared" ca="1" si="55"/>
        <v>10962</v>
      </c>
      <c r="H1067" s="29" t="str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Pg.no.72</v>
      </c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 spans="1:26" ht="13.5" customHeight="1" x14ac:dyDescent="0.3">
      <c r="A1068" s="17" t="s">
        <v>644</v>
      </c>
      <c r="B1068" s="17">
        <f t="shared" si="56"/>
        <v>11</v>
      </c>
      <c r="C1068" s="17">
        <f t="shared" si="26"/>
        <v>40</v>
      </c>
      <c r="D1068" s="17"/>
      <c r="E1068" s="17">
        <f t="shared" si="54"/>
        <v>65919</v>
      </c>
      <c r="F1068" s="17">
        <f t="shared" ca="1" si="1"/>
        <v>2008</v>
      </c>
      <c r="G1068" s="17">
        <f t="shared" ca="1" si="55"/>
        <v>10964</v>
      </c>
      <c r="H1068" s="29" t="str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Pg.no.58</v>
      </c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 spans="1:26" ht="13.5" customHeight="1" x14ac:dyDescent="0.3">
      <c r="A1069" s="17" t="s">
        <v>644</v>
      </c>
      <c r="B1069" s="17">
        <f t="shared" si="56"/>
        <v>11</v>
      </c>
      <c r="C1069" s="17">
        <f t="shared" si="26"/>
        <v>41</v>
      </c>
      <c r="D1069" s="17"/>
      <c r="E1069" s="17">
        <f t="shared" si="54"/>
        <v>65919</v>
      </c>
      <c r="F1069" s="17">
        <f t="shared" ca="1" si="1"/>
        <v>2008</v>
      </c>
      <c r="G1069" s="17">
        <f t="shared" ca="1" si="55"/>
        <v>10967</v>
      </c>
      <c r="H1069" s="29" t="str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RP-2000 Combined healthy table</v>
      </c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 spans="1:26" ht="13.5" customHeight="1" x14ac:dyDescent="0.3">
      <c r="A1070" s="17" t="s">
        <v>644</v>
      </c>
      <c r="B1070" s="17">
        <f t="shared" si="56"/>
        <v>11</v>
      </c>
      <c r="C1070" s="17">
        <f t="shared" si="26"/>
        <v>42</v>
      </c>
      <c r="D1070" s="17"/>
      <c r="E1070" s="17">
        <f t="shared" si="54"/>
        <v>65919</v>
      </c>
      <c r="F1070" s="17">
        <f t="shared" ca="1" si="1"/>
        <v>2008</v>
      </c>
      <c r="G1070" s="17">
        <f t="shared" ca="1" si="55"/>
        <v>10968</v>
      </c>
      <c r="H1070" s="2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2000</v>
      </c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 spans="1:26" ht="13.5" customHeight="1" x14ac:dyDescent="0.3">
      <c r="A1071" s="17" t="s">
        <v>644</v>
      </c>
      <c r="B1071" s="17">
        <f t="shared" si="56"/>
        <v>11</v>
      </c>
      <c r="C1071" s="17">
        <f t="shared" si="26"/>
        <v>43</v>
      </c>
      <c r="D1071" s="17"/>
      <c r="E1071" s="17">
        <f t="shared" si="54"/>
        <v>65919</v>
      </c>
      <c r="F1071" s="17">
        <f t="shared" ca="1" si="1"/>
        <v>2008</v>
      </c>
      <c r="G1071" s="17">
        <f t="shared" ca="1" si="55"/>
        <v>10969</v>
      </c>
      <c r="H1071" s="2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Scale AA</v>
      </c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 spans="1:26" ht="13.5" customHeight="1" x14ac:dyDescent="0.3">
      <c r="A1072" s="17" t="s">
        <v>644</v>
      </c>
      <c r="B1072" s="17">
        <f t="shared" si="56"/>
        <v>11</v>
      </c>
      <c r="C1072" s="17">
        <f t="shared" si="26"/>
        <v>44</v>
      </c>
      <c r="D1072" s="17"/>
      <c r="E1072" s="17">
        <f t="shared" si="54"/>
        <v>65919</v>
      </c>
      <c r="F1072" s="17">
        <f t="shared" ca="1" si="1"/>
        <v>2008</v>
      </c>
      <c r="G1072" s="17">
        <f t="shared" ca="1" si="55"/>
        <v>10970</v>
      </c>
      <c r="H1072" s="29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Male: 1 Year</v>
      </c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 spans="1:26" ht="13.5" customHeight="1" x14ac:dyDescent="0.3">
      <c r="A1073" s="17" t="s">
        <v>644</v>
      </c>
      <c r="B1073" s="17">
        <f t="shared" si="56"/>
        <v>11</v>
      </c>
      <c r="C1073" s="17">
        <f t="shared" si="26"/>
        <v>45</v>
      </c>
      <c r="D1073" s="17"/>
      <c r="E1073" s="17">
        <f t="shared" si="54"/>
        <v>65919</v>
      </c>
      <c r="F1073" s="17">
        <f t="shared" ca="1" si="1"/>
        <v>2008</v>
      </c>
      <c r="G1073" s="17">
        <f t="shared" ca="1" si="55"/>
        <v>10971</v>
      </c>
      <c r="H1073" s="29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Female: 1 Year</v>
      </c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 spans="1:26" ht="13.5" customHeight="1" x14ac:dyDescent="0.3">
      <c r="A1074" s="17" t="s">
        <v>644</v>
      </c>
      <c r="B1074" s="17">
        <f t="shared" si="56"/>
        <v>11</v>
      </c>
      <c r="C1074" s="17">
        <f t="shared" si="26"/>
        <v>46</v>
      </c>
      <c r="D1074" s="17"/>
      <c r="E1074" s="17">
        <f t="shared" si="54"/>
        <v>65919</v>
      </c>
      <c r="F1074" s="17">
        <f t="shared" ca="1" si="1"/>
        <v>2008</v>
      </c>
      <c r="G1074" s="17">
        <f t="shared" ca="1" si="55"/>
        <v>10972</v>
      </c>
      <c r="H1074" s="29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N/A</v>
      </c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 spans="1:26" ht="13.5" customHeight="1" x14ac:dyDescent="0.3">
      <c r="A1075" s="17" t="s">
        <v>644</v>
      </c>
      <c r="B1075" s="17">
        <f t="shared" si="56"/>
        <v>11</v>
      </c>
      <c r="C1075" s="17">
        <f t="shared" si="26"/>
        <v>47</v>
      </c>
      <c r="D1075" s="17"/>
      <c r="E1075" s="17">
        <f t="shared" si="54"/>
        <v>65919</v>
      </c>
      <c r="F1075" s="17">
        <f t="shared" ca="1" si="1"/>
        <v>2008</v>
      </c>
      <c r="G1075" s="17">
        <f t="shared" ca="1" si="55"/>
        <v>10973</v>
      </c>
      <c r="H1075" s="29" t="str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N/A</v>
      </c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 spans="1:26" ht="13.5" customHeight="1" x14ac:dyDescent="0.3">
      <c r="A1076" s="17" t="s">
        <v>644</v>
      </c>
      <c r="B1076" s="17">
        <f t="shared" si="56"/>
        <v>11</v>
      </c>
      <c r="C1076" s="17">
        <f t="shared" si="26"/>
        <v>48</v>
      </c>
      <c r="D1076" s="17"/>
      <c r="E1076" s="17">
        <f t="shared" si="54"/>
        <v>65919</v>
      </c>
      <c r="F1076" s="17">
        <f t="shared" ca="1" si="1"/>
        <v>2008</v>
      </c>
      <c r="G1076" s="17">
        <f t="shared" ca="1" si="55"/>
        <v>10975</v>
      </c>
      <c r="H1076" s="29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 xml:space="preserve">Aggregate   </v>
      </c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 spans="1:26" ht="13.5" customHeight="1" x14ac:dyDescent="0.3">
      <c r="A1077" s="17" t="s">
        <v>644</v>
      </c>
      <c r="B1077" s="17">
        <f t="shared" si="56"/>
        <v>11</v>
      </c>
      <c r="C1077" s="17">
        <f t="shared" si="26"/>
        <v>49</v>
      </c>
      <c r="D1077" s="17"/>
      <c r="E1077" s="17">
        <f t="shared" si="54"/>
        <v>65919</v>
      </c>
      <c r="F1077" s="17">
        <f t="shared" ca="1" si="1"/>
        <v>2008</v>
      </c>
      <c r="G1077" s="17">
        <f t="shared" ca="1" si="55"/>
        <v>10976</v>
      </c>
      <c r="H1077" s="3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0.08</v>
      </c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 spans="1:26" ht="13.5" customHeight="1" x14ac:dyDescent="0.3">
      <c r="A1078" s="17" t="s">
        <v>644</v>
      </c>
      <c r="B1078" s="17">
        <f t="shared" si="56"/>
        <v>11</v>
      </c>
      <c r="C1078" s="17">
        <f t="shared" si="26"/>
        <v>50</v>
      </c>
      <c r="D1078" s="17"/>
      <c r="E1078" s="17">
        <f t="shared" si="54"/>
        <v>65919</v>
      </c>
      <c r="F1078" s="17">
        <f t="shared" ca="1" si="1"/>
        <v>2008</v>
      </c>
      <c r="G1078" s="17">
        <f t="shared" ca="1" si="55"/>
        <v>10977</v>
      </c>
      <c r="H1078" s="31" t="str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No</v>
      </c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 spans="1:26" ht="13.5" customHeight="1" x14ac:dyDescent="0.3">
      <c r="A1079" s="17" t="s">
        <v>644</v>
      </c>
      <c r="B1079" s="17">
        <f t="shared" si="56"/>
        <v>11</v>
      </c>
      <c r="C1079" s="17">
        <f t="shared" si="26"/>
        <v>51</v>
      </c>
      <c r="D1079" s="17"/>
      <c r="E1079" s="17">
        <f t="shared" si="54"/>
        <v>65919</v>
      </c>
      <c r="F1079" s="17">
        <f t="shared" ca="1" si="1"/>
        <v>2008</v>
      </c>
      <c r="G1079" s="17">
        <f t="shared" ca="1" si="55"/>
        <v>10978</v>
      </c>
      <c r="H1079" s="3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0.08</v>
      </c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 spans="1:26" ht="13.5" customHeight="1" x14ac:dyDescent="0.3">
      <c r="A1080" s="17" t="s">
        <v>644</v>
      </c>
      <c r="B1080" s="17">
        <f t="shared" si="56"/>
        <v>11</v>
      </c>
      <c r="C1080" s="17">
        <f t="shared" si="26"/>
        <v>52</v>
      </c>
      <c r="D1080" s="17"/>
      <c r="E1080" s="17">
        <f t="shared" si="54"/>
        <v>65919</v>
      </c>
      <c r="F1080" s="17">
        <f t="shared" ca="1" si="1"/>
        <v>2008</v>
      </c>
      <c r="G1080" s="17">
        <f t="shared" ca="1" si="55"/>
        <v>10979</v>
      </c>
      <c r="H1080" s="29" t="str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8 Years</v>
      </c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 spans="1:26" ht="13.5" customHeight="1" x14ac:dyDescent="0.3">
      <c r="A1081" s="17" t="s">
        <v>644</v>
      </c>
      <c r="B1081" s="17">
        <f t="shared" si="56"/>
        <v>11</v>
      </c>
      <c r="C1081" s="17">
        <f t="shared" si="26"/>
        <v>53</v>
      </c>
      <c r="D1081" s="17"/>
      <c r="E1081" s="17">
        <f t="shared" si="54"/>
        <v>65919</v>
      </c>
      <c r="F1081" s="17">
        <f t="shared" ca="1" si="1"/>
        <v>2008</v>
      </c>
      <c r="G1081" s="17">
        <f t="shared" ca="1" si="55"/>
        <v>10980</v>
      </c>
      <c r="H1081" s="3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0.11600000000000001</v>
      </c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 spans="1:26" ht="13.5" customHeight="1" x14ac:dyDescent="0.3">
      <c r="A1082" s="17" t="s">
        <v>644</v>
      </c>
      <c r="B1082" s="17">
        <f t="shared" si="56"/>
        <v>11</v>
      </c>
      <c r="C1082" s="17">
        <f t="shared" si="26"/>
        <v>54</v>
      </c>
      <c r="D1082" s="17"/>
      <c r="E1082" s="17">
        <f t="shared" si="54"/>
        <v>65919</v>
      </c>
      <c r="F1082" s="17">
        <f t="shared" ca="1" si="1"/>
        <v>2008</v>
      </c>
      <c r="G1082" s="17">
        <f t="shared" ca="1" si="55"/>
        <v>10981</v>
      </c>
      <c r="H1082" s="3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-1.17E-2</v>
      </c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 spans="1:26" ht="13.5" customHeight="1" x14ac:dyDescent="0.3">
      <c r="A1083" s="17" t="s">
        <v>644</v>
      </c>
      <c r="B1083" s="17">
        <f t="shared" si="56"/>
        <v>11</v>
      </c>
      <c r="C1083" s="17">
        <f t="shared" si="26"/>
        <v>55</v>
      </c>
      <c r="D1083" s="17"/>
      <c r="E1083" s="17">
        <f t="shared" si="54"/>
        <v>65919</v>
      </c>
      <c r="F1083" s="17">
        <f t="shared" ca="1" si="1"/>
        <v>2008</v>
      </c>
      <c r="G1083" s="17">
        <f t="shared" ca="1" si="55"/>
        <v>10706</v>
      </c>
      <c r="H1083" s="3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4.1959813015912537E-4</v>
      </c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 spans="1:26" ht="13.5" customHeight="1" x14ac:dyDescent="0.3">
      <c r="A1084" s="17" t="s">
        <v>644</v>
      </c>
      <c r="B1084" s="17">
        <f t="shared" si="56"/>
        <v>11</v>
      </c>
      <c r="C1084" s="17">
        <f t="shared" si="26"/>
        <v>56</v>
      </c>
      <c r="D1084" s="17"/>
      <c r="E1084" s="17">
        <f t="shared" si="54"/>
        <v>65919</v>
      </c>
      <c r="F1084" s="17">
        <f t="shared" ca="1" si="1"/>
        <v>2008</v>
      </c>
      <c r="G1084" s="17">
        <f t="shared" ca="1" si="55"/>
        <v>10983</v>
      </c>
      <c r="H1084" s="30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No</v>
      </c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 spans="1:26" ht="13.5" customHeight="1" x14ac:dyDescent="0.3">
      <c r="A1085" s="17" t="s">
        <v>644</v>
      </c>
      <c r="B1085" s="17">
        <f t="shared" si="56"/>
        <v>11</v>
      </c>
      <c r="C1085" s="17">
        <f t="shared" si="26"/>
        <v>57</v>
      </c>
      <c r="D1085" s="17"/>
      <c r="E1085" s="17">
        <f t="shared" si="54"/>
        <v>65919</v>
      </c>
      <c r="F1085" s="17">
        <f t="shared" ca="1" si="1"/>
        <v>2008</v>
      </c>
      <c r="G1085" s="17">
        <f t="shared" ca="1" si="55"/>
        <v>10989</v>
      </c>
      <c r="H1085" s="3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870000000</v>
      </c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 spans="1:26" ht="13.5" customHeight="1" x14ac:dyDescent="0.3">
      <c r="A1086" s="17" t="s">
        <v>644</v>
      </c>
      <c r="B1086" s="17">
        <f t="shared" si="56"/>
        <v>11</v>
      </c>
      <c r="C1086" s="17">
        <f t="shared" si="26"/>
        <v>58</v>
      </c>
      <c r="D1086" s="17"/>
      <c r="E1086" s="17">
        <f t="shared" si="54"/>
        <v>65919</v>
      </c>
      <c r="F1086" s="17">
        <f t="shared" ca="1" si="1"/>
        <v>2008</v>
      </c>
      <c r="G1086" s="17">
        <f t="shared" ca="1" si="55"/>
        <v>10990</v>
      </c>
      <c r="H1086" s="30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719000000</v>
      </c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 spans="1:26" ht="13.5" customHeight="1" x14ac:dyDescent="0.3">
      <c r="A1087" s="17" t="s">
        <v>644</v>
      </c>
      <c r="B1087" s="17">
        <f t="shared" si="56"/>
        <v>11</v>
      </c>
      <c r="C1087" s="17">
        <f t="shared" si="26"/>
        <v>59</v>
      </c>
      <c r="D1087" s="17"/>
      <c r="E1087" s="17">
        <f t="shared" si="54"/>
        <v>65919</v>
      </c>
      <c r="F1087" s="17">
        <f t="shared" ca="1" si="1"/>
        <v>2008</v>
      </c>
      <c r="G1087" s="17">
        <f t="shared" ca="1" si="55"/>
        <v>10991</v>
      </c>
      <c r="H1087" s="3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-150000000</v>
      </c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 spans="1:26" ht="13.5" customHeight="1" x14ac:dyDescent="0.3">
      <c r="A1088" s="17" t="s">
        <v>644</v>
      </c>
      <c r="B1088" s="17">
        <f t="shared" si="56"/>
        <v>11</v>
      </c>
      <c r="C1088" s="17">
        <f t="shared" si="26"/>
        <v>60</v>
      </c>
      <c r="D1088" s="17"/>
      <c r="E1088" s="17">
        <f t="shared" si="54"/>
        <v>65919</v>
      </c>
      <c r="F1088" s="17">
        <f t="shared" ca="1" si="1"/>
        <v>2008</v>
      </c>
      <c r="G1088" s="17">
        <f t="shared" ca="1" si="55"/>
        <v>10992</v>
      </c>
      <c r="H1088" s="3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1.2091000000000001</v>
      </c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 spans="1:26" ht="13.5" customHeight="1" x14ac:dyDescent="0.3">
      <c r="A1089" s="17" t="s">
        <v>644</v>
      </c>
      <c r="B1089" s="17">
        <f t="shared" si="56"/>
        <v>11</v>
      </c>
      <c r="C1089" s="17">
        <f t="shared" si="26"/>
        <v>61</v>
      </c>
      <c r="D1089" s="17"/>
      <c r="E1089" s="17">
        <f t="shared" si="54"/>
        <v>65919</v>
      </c>
      <c r="F1089" s="17">
        <f t="shared" ca="1" si="1"/>
        <v>2008</v>
      </c>
      <c r="G1089" s="17">
        <f t="shared" ca="1" si="55"/>
        <v>10993</v>
      </c>
      <c r="H1089" s="30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65000000</v>
      </c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 spans="1:26" ht="13.5" customHeight="1" x14ac:dyDescent="0.3">
      <c r="A1090" s="17" t="s">
        <v>644</v>
      </c>
      <c r="B1090" s="17">
        <f t="shared" si="56"/>
        <v>11</v>
      </c>
      <c r="C1090" s="17">
        <f t="shared" si="26"/>
        <v>62</v>
      </c>
      <c r="D1090" s="17"/>
      <c r="E1090" s="17">
        <f t="shared" si="54"/>
        <v>65919</v>
      </c>
      <c r="F1090" s="17">
        <f t="shared" ca="1" si="1"/>
        <v>2008</v>
      </c>
      <c r="G1090" s="17">
        <f t="shared" ca="1" si="55"/>
        <v>10801</v>
      </c>
      <c r="H1090" s="30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-28400000</v>
      </c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 spans="1:26" ht="13.5" customHeight="1" x14ac:dyDescent="0.3">
      <c r="A1091" s="17" t="s">
        <v>644</v>
      </c>
      <c r="B1091" s="17">
        <f t="shared" si="56"/>
        <v>11</v>
      </c>
      <c r="C1091" s="17">
        <f t="shared" si="26"/>
        <v>63</v>
      </c>
      <c r="D1091" s="17"/>
      <c r="E1091" s="17">
        <f t="shared" si="54"/>
        <v>65919</v>
      </c>
      <c r="F1091" s="17">
        <f t="shared" ca="1" si="1"/>
        <v>2008</v>
      </c>
      <c r="G1091" s="17">
        <f t="shared" ca="1" si="55"/>
        <v>10802</v>
      </c>
      <c r="H1091" s="30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 spans="1:26" ht="13.5" customHeight="1" x14ac:dyDescent="0.3">
      <c r="A1092" s="17" t="s">
        <v>644</v>
      </c>
      <c r="B1092" s="17">
        <f t="shared" si="56"/>
        <v>11</v>
      </c>
      <c r="C1092" s="17">
        <f t="shared" si="26"/>
        <v>64</v>
      </c>
      <c r="D1092" s="17"/>
      <c r="E1092" s="17">
        <f t="shared" ref="E1092:E1155" si="57">plan_id</f>
        <v>65919</v>
      </c>
      <c r="F1092" s="17">
        <f t="shared" ca="1" si="1"/>
        <v>2008</v>
      </c>
      <c r="G1092" s="17">
        <f t="shared" ref="G1092:G1155" ca="1" si="58">VLOOKUP(INDIRECT(CHAR(39)&amp;$A1092&amp;CHAR(39)&amp;"!r2c"&amp;$C1092,0),variables,2,0)</f>
        <v>10803</v>
      </c>
      <c r="H1092" s="3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 spans="1:26" ht="13.5" customHeight="1" x14ac:dyDescent="0.3">
      <c r="A1093" s="17" t="s">
        <v>644</v>
      </c>
      <c r="B1093" s="17">
        <f t="shared" si="56"/>
        <v>11</v>
      </c>
      <c r="C1093" s="17">
        <f t="shared" si="26"/>
        <v>65</v>
      </c>
      <c r="D1093" s="17"/>
      <c r="E1093" s="17">
        <f t="shared" si="57"/>
        <v>65919</v>
      </c>
      <c r="F1093" s="17">
        <f t="shared" ca="1" si="1"/>
        <v>2008</v>
      </c>
      <c r="G1093" s="17">
        <f t="shared" ca="1" si="58"/>
        <v>10804</v>
      </c>
      <c r="H1093" s="3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 spans="1:26" ht="13.5" customHeight="1" x14ac:dyDescent="0.3">
      <c r="A1094" s="17" t="s">
        <v>644</v>
      </c>
      <c r="B1094" s="17">
        <f t="shared" si="56"/>
        <v>11</v>
      </c>
      <c r="C1094" s="17">
        <f t="shared" si="26"/>
        <v>66</v>
      </c>
      <c r="D1094" s="17"/>
      <c r="E1094" s="17">
        <f t="shared" si="57"/>
        <v>65919</v>
      </c>
      <c r="F1094" s="17">
        <f t="shared" ca="1" si="1"/>
        <v>2008</v>
      </c>
      <c r="G1094" s="17">
        <f t="shared" ca="1" si="58"/>
        <v>10805</v>
      </c>
      <c r="H1094" s="3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 spans="1:26" ht="13.5" customHeight="1" x14ac:dyDescent="0.3">
      <c r="A1095" s="17" t="s">
        <v>644</v>
      </c>
      <c r="B1095" s="17">
        <f t="shared" si="56"/>
        <v>11</v>
      </c>
      <c r="C1095" s="17">
        <f t="shared" si="26"/>
        <v>67</v>
      </c>
      <c r="D1095" s="17"/>
      <c r="E1095" s="17">
        <f t="shared" si="57"/>
        <v>65919</v>
      </c>
      <c r="F1095" s="17">
        <f t="shared" ca="1" si="1"/>
        <v>2008</v>
      </c>
      <c r="G1095" s="17">
        <f t="shared" ca="1" si="58"/>
        <v>10806</v>
      </c>
      <c r="H1095" s="30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 spans="1:26" ht="13.5" customHeight="1" x14ac:dyDescent="0.3">
      <c r="A1096" s="17" t="s">
        <v>644</v>
      </c>
      <c r="B1096" s="17">
        <f t="shared" ref="B1096:B1121" si="59">B1095</f>
        <v>11</v>
      </c>
      <c r="C1096" s="17">
        <f t="shared" si="26"/>
        <v>68</v>
      </c>
      <c r="D1096" s="17"/>
      <c r="E1096" s="17">
        <f t="shared" si="57"/>
        <v>65919</v>
      </c>
      <c r="F1096" s="17">
        <f t="shared" ca="1" si="1"/>
        <v>2008</v>
      </c>
      <c r="G1096" s="17">
        <f t="shared" ca="1" si="58"/>
        <v>10807</v>
      </c>
      <c r="H1096" s="30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 spans="1:26" ht="13.5" customHeight="1" x14ac:dyDescent="0.3">
      <c r="A1097" s="17" t="s">
        <v>644</v>
      </c>
      <c r="B1097" s="17">
        <f t="shared" si="59"/>
        <v>11</v>
      </c>
      <c r="C1097" s="17">
        <f t="shared" si="26"/>
        <v>69</v>
      </c>
      <c r="D1097" s="17"/>
      <c r="E1097" s="17">
        <f t="shared" si="57"/>
        <v>65919</v>
      </c>
      <c r="F1097" s="17">
        <f t="shared" ca="1" si="1"/>
        <v>2008</v>
      </c>
      <c r="G1097" s="17">
        <f t="shared" ca="1" si="58"/>
        <v>10808</v>
      </c>
      <c r="H1097" s="3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 spans="1:26" ht="13.5" customHeight="1" x14ac:dyDescent="0.3">
      <c r="A1098" s="17" t="s">
        <v>644</v>
      </c>
      <c r="B1098" s="17">
        <f t="shared" si="59"/>
        <v>11</v>
      </c>
      <c r="C1098" s="17">
        <f t="shared" si="26"/>
        <v>70</v>
      </c>
      <c r="D1098" s="17"/>
      <c r="E1098" s="17">
        <f t="shared" si="57"/>
        <v>65919</v>
      </c>
      <c r="F1098" s="17">
        <f t="shared" ca="1" si="1"/>
        <v>2008</v>
      </c>
      <c r="G1098" s="17">
        <f t="shared" ca="1" si="58"/>
        <v>10809</v>
      </c>
      <c r="H1098" s="30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 spans="1:26" ht="13.5" customHeight="1" x14ac:dyDescent="0.3">
      <c r="A1099" s="17" t="s">
        <v>644</v>
      </c>
      <c r="B1099" s="17">
        <f t="shared" si="59"/>
        <v>11</v>
      </c>
      <c r="C1099" s="17">
        <f t="shared" si="26"/>
        <v>71</v>
      </c>
      <c r="D1099" s="17"/>
      <c r="E1099" s="17">
        <f t="shared" si="57"/>
        <v>65919</v>
      </c>
      <c r="F1099" s="17">
        <f t="shared" ca="1" si="1"/>
        <v>2008</v>
      </c>
      <c r="G1099" s="17">
        <f t="shared" ca="1" si="58"/>
        <v>10810</v>
      </c>
      <c r="H1099" s="30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 spans="1:26" ht="13.5" customHeight="1" x14ac:dyDescent="0.3">
      <c r="A1100" s="17" t="s">
        <v>644</v>
      </c>
      <c r="B1100" s="17">
        <f t="shared" si="59"/>
        <v>11</v>
      </c>
      <c r="C1100" s="17">
        <f t="shared" si="26"/>
        <v>72</v>
      </c>
      <c r="D1100" s="17"/>
      <c r="E1100" s="17">
        <f t="shared" si="57"/>
        <v>65919</v>
      </c>
      <c r="F1100" s="17">
        <f t="shared" ca="1" si="1"/>
        <v>2008</v>
      </c>
      <c r="G1100" s="17">
        <f t="shared" ca="1" si="58"/>
        <v>10811</v>
      </c>
      <c r="H1100" s="30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 spans="1:26" ht="13.5" customHeight="1" x14ac:dyDescent="0.3">
      <c r="A1101" s="17" t="s">
        <v>644</v>
      </c>
      <c r="B1101" s="17">
        <f t="shared" si="59"/>
        <v>11</v>
      </c>
      <c r="C1101" s="17">
        <f t="shared" si="26"/>
        <v>73</v>
      </c>
      <c r="D1101" s="17"/>
      <c r="E1101" s="17">
        <f t="shared" si="57"/>
        <v>65919</v>
      </c>
      <c r="F1101" s="17">
        <f t="shared" ca="1" si="1"/>
        <v>2008</v>
      </c>
      <c r="G1101" s="17">
        <f t="shared" ca="1" si="58"/>
        <v>10812</v>
      </c>
      <c r="H1101" s="30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 spans="1:26" ht="13.5" customHeight="1" x14ac:dyDescent="0.3">
      <c r="A1102" s="17" t="s">
        <v>644</v>
      </c>
      <c r="B1102" s="17">
        <f t="shared" si="59"/>
        <v>11</v>
      </c>
      <c r="C1102" s="17">
        <f t="shared" si="26"/>
        <v>74</v>
      </c>
      <c r="D1102" s="17"/>
      <c r="E1102" s="17">
        <f t="shared" si="57"/>
        <v>65919</v>
      </c>
      <c r="F1102" s="17">
        <f t="shared" ca="1" si="1"/>
        <v>2008</v>
      </c>
      <c r="G1102" s="17">
        <f t="shared" ca="1" si="58"/>
        <v>10813</v>
      </c>
      <c r="H1102" s="3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 spans="1:26" ht="13.5" customHeight="1" x14ac:dyDescent="0.3">
      <c r="A1103" s="17" t="s">
        <v>644</v>
      </c>
      <c r="B1103" s="17">
        <f t="shared" si="59"/>
        <v>11</v>
      </c>
      <c r="C1103" s="17">
        <f t="shared" si="26"/>
        <v>75</v>
      </c>
      <c r="D1103" s="17"/>
      <c r="E1103" s="17">
        <f t="shared" si="57"/>
        <v>65919</v>
      </c>
      <c r="F1103" s="17">
        <f t="shared" ca="1" si="1"/>
        <v>2008</v>
      </c>
      <c r="G1103" s="17">
        <f t="shared" ca="1" si="58"/>
        <v>10814</v>
      </c>
      <c r="H1103" s="3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 spans="1:26" ht="13.5" customHeight="1" x14ac:dyDescent="0.3">
      <c r="A1104" s="17" t="s">
        <v>644</v>
      </c>
      <c r="B1104" s="17">
        <f t="shared" si="59"/>
        <v>11</v>
      </c>
      <c r="C1104" s="17">
        <f t="shared" si="26"/>
        <v>76</v>
      </c>
      <c r="D1104" s="17"/>
      <c r="E1104" s="17">
        <f t="shared" si="57"/>
        <v>65919</v>
      </c>
      <c r="F1104" s="17">
        <f t="shared" ca="1" si="1"/>
        <v>2008</v>
      </c>
      <c r="G1104" s="17">
        <f t="shared" ca="1" si="58"/>
        <v>10815</v>
      </c>
      <c r="H1104" s="3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-1100000</v>
      </c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 spans="1:26" ht="13.5" customHeight="1" x14ac:dyDescent="0.3">
      <c r="A1105" s="17" t="s">
        <v>644</v>
      </c>
      <c r="B1105" s="17">
        <f t="shared" si="59"/>
        <v>11</v>
      </c>
      <c r="C1105" s="17">
        <f t="shared" si="26"/>
        <v>77</v>
      </c>
      <c r="D1105" s="17"/>
      <c r="E1105" s="17">
        <f t="shared" si="57"/>
        <v>65919</v>
      </c>
      <c r="F1105" s="17">
        <f t="shared" ca="1" si="1"/>
        <v>2008</v>
      </c>
      <c r="G1105" s="17">
        <f t="shared" ca="1" si="58"/>
        <v>10816</v>
      </c>
      <c r="H1105" s="30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5900000</v>
      </c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 spans="1:26" ht="13.5" customHeight="1" x14ac:dyDescent="0.3">
      <c r="A1106" s="17" t="s">
        <v>644</v>
      </c>
      <c r="B1106" s="17">
        <f t="shared" si="59"/>
        <v>11</v>
      </c>
      <c r="C1106" s="17">
        <f t="shared" si="26"/>
        <v>78</v>
      </c>
      <c r="D1106" s="17"/>
      <c r="E1106" s="17">
        <f t="shared" si="57"/>
        <v>65919</v>
      </c>
      <c r="F1106" s="17">
        <f t="shared" ca="1" si="1"/>
        <v>2008</v>
      </c>
      <c r="G1106" s="17">
        <f t="shared" ca="1" si="58"/>
        <v>10817</v>
      </c>
      <c r="H1106" s="30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 spans="1:26" ht="13.5" customHeight="1" x14ac:dyDescent="0.3">
      <c r="A1107" s="17" t="s">
        <v>644</v>
      </c>
      <c r="B1107" s="17">
        <f t="shared" si="59"/>
        <v>11</v>
      </c>
      <c r="C1107" s="17">
        <f t="shared" si="26"/>
        <v>79</v>
      </c>
      <c r="D1107" s="17"/>
      <c r="E1107" s="17">
        <f t="shared" si="57"/>
        <v>65919</v>
      </c>
      <c r="F1107" s="17">
        <f t="shared" ca="1" si="1"/>
        <v>2008</v>
      </c>
      <c r="G1107" s="17">
        <f t="shared" ca="1" si="58"/>
        <v>10818</v>
      </c>
      <c r="H1107" s="30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 spans="1:26" ht="13.5" customHeight="1" x14ac:dyDescent="0.3">
      <c r="A1108" s="17" t="s">
        <v>644</v>
      </c>
      <c r="B1108" s="17">
        <f t="shared" si="59"/>
        <v>11</v>
      </c>
      <c r="C1108" s="17">
        <f t="shared" si="26"/>
        <v>80</v>
      </c>
      <c r="D1108" s="17"/>
      <c r="E1108" s="17">
        <f t="shared" si="57"/>
        <v>65919</v>
      </c>
      <c r="F1108" s="17">
        <f t="shared" ca="1" si="1"/>
        <v>2008</v>
      </c>
      <c r="G1108" s="17">
        <f t="shared" ca="1" si="58"/>
        <v>10819</v>
      </c>
      <c r="H1108" s="30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 spans="1:26" ht="13.5" customHeight="1" x14ac:dyDescent="0.3">
      <c r="A1109" s="17" t="s">
        <v>644</v>
      </c>
      <c r="B1109" s="17">
        <f t="shared" si="59"/>
        <v>11</v>
      </c>
      <c r="C1109" s="17">
        <f t="shared" si="26"/>
        <v>81</v>
      </c>
      <c r="D1109" s="17"/>
      <c r="E1109" s="17">
        <f t="shared" si="57"/>
        <v>65919</v>
      </c>
      <c r="F1109" s="17">
        <f t="shared" ca="1" si="1"/>
        <v>2008</v>
      </c>
      <c r="G1109" s="17">
        <f t="shared" ca="1" si="58"/>
        <v>10820</v>
      </c>
      <c r="H1109" s="3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 spans="1:26" ht="13.5" customHeight="1" x14ac:dyDescent="0.3">
      <c r="A1110" s="17" t="s">
        <v>644</v>
      </c>
      <c r="B1110" s="17">
        <f t="shared" si="59"/>
        <v>11</v>
      </c>
      <c r="C1110" s="17">
        <f t="shared" si="26"/>
        <v>82</v>
      </c>
      <c r="D1110" s="17"/>
      <c r="E1110" s="17">
        <f t="shared" si="57"/>
        <v>65919</v>
      </c>
      <c r="F1110" s="17">
        <f t="shared" ca="1" si="1"/>
        <v>2008</v>
      </c>
      <c r="G1110" s="17">
        <f t="shared" ca="1" si="58"/>
        <v>10821</v>
      </c>
      <c r="H1110" s="3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 spans="1:26" ht="13.5" customHeight="1" x14ac:dyDescent="0.3">
      <c r="A1111" s="17" t="s">
        <v>644</v>
      </c>
      <c r="B1111" s="17">
        <f t="shared" si="59"/>
        <v>11</v>
      </c>
      <c r="C1111" s="17">
        <f t="shared" si="26"/>
        <v>83</v>
      </c>
      <c r="D1111" s="17"/>
      <c r="E1111" s="17">
        <f t="shared" si="57"/>
        <v>65919</v>
      </c>
      <c r="F1111" s="17">
        <f t="shared" ca="1" si="1"/>
        <v>2008</v>
      </c>
      <c r="G1111" s="17">
        <f t="shared" ca="1" si="58"/>
        <v>10822</v>
      </c>
      <c r="H1111" s="3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 spans="1:26" ht="13.5" customHeight="1" x14ac:dyDescent="0.3">
      <c r="A1112" s="17" t="s">
        <v>644</v>
      </c>
      <c r="B1112" s="17">
        <f t="shared" si="59"/>
        <v>11</v>
      </c>
      <c r="C1112" s="17">
        <f t="shared" si="26"/>
        <v>84</v>
      </c>
      <c r="D1112" s="17"/>
      <c r="E1112" s="17">
        <f t="shared" si="57"/>
        <v>65919</v>
      </c>
      <c r="F1112" s="17">
        <f t="shared" ca="1" si="1"/>
        <v>2008</v>
      </c>
      <c r="G1112" s="17">
        <f t="shared" ca="1" si="58"/>
        <v>10829</v>
      </c>
      <c r="H1112" s="3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 spans="1:26" ht="13.5" customHeight="1" x14ac:dyDescent="0.3">
      <c r="A1113" s="17" t="s">
        <v>644</v>
      </c>
      <c r="B1113" s="17">
        <f t="shared" si="59"/>
        <v>11</v>
      </c>
      <c r="C1113" s="17">
        <f t="shared" si="26"/>
        <v>85</v>
      </c>
      <c r="D1113" s="17"/>
      <c r="E1113" s="17">
        <f t="shared" si="57"/>
        <v>65919</v>
      </c>
      <c r="F1113" s="17">
        <f t="shared" ca="1" si="1"/>
        <v>2008</v>
      </c>
      <c r="G1113" s="17">
        <f t="shared" ca="1" si="58"/>
        <v>10823</v>
      </c>
      <c r="H1113" s="30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-23600000</v>
      </c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 spans="1:26" ht="13.5" customHeight="1" x14ac:dyDescent="0.3">
      <c r="A1114" s="17" t="s">
        <v>644</v>
      </c>
      <c r="B1114" s="17">
        <f t="shared" si="59"/>
        <v>11</v>
      </c>
      <c r="C1114" s="17">
        <f t="shared" si="26"/>
        <v>86</v>
      </c>
      <c r="D1114" s="17"/>
      <c r="E1114" s="17">
        <f t="shared" si="57"/>
        <v>65919</v>
      </c>
      <c r="F1114" s="17">
        <f t="shared" ca="1" si="1"/>
        <v>2008</v>
      </c>
      <c r="G1114" s="17">
        <f t="shared" ca="1" si="58"/>
        <v>10798</v>
      </c>
      <c r="H1114" s="30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 spans="1:26" ht="13.5" customHeight="1" x14ac:dyDescent="0.3">
      <c r="A1115" s="17" t="s">
        <v>644</v>
      </c>
      <c r="B1115" s="17">
        <f t="shared" si="59"/>
        <v>11</v>
      </c>
      <c r="C1115" s="17">
        <f t="shared" si="26"/>
        <v>87</v>
      </c>
      <c r="D1115" s="17"/>
      <c r="E1115" s="17">
        <f t="shared" si="57"/>
        <v>65919</v>
      </c>
      <c r="F1115" s="17">
        <f t="shared" ca="1" si="1"/>
        <v>2008</v>
      </c>
      <c r="G1115" s="17">
        <f t="shared" ca="1" si="58"/>
        <v>10799</v>
      </c>
      <c r="H1115" s="30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 spans="1:26" ht="13.5" customHeight="1" x14ac:dyDescent="0.3">
      <c r="A1116" s="17" t="s">
        <v>644</v>
      </c>
      <c r="B1116" s="17">
        <f t="shared" si="59"/>
        <v>11</v>
      </c>
      <c r="C1116" s="17">
        <f t="shared" si="26"/>
        <v>88</v>
      </c>
      <c r="D1116" s="17"/>
      <c r="E1116" s="17">
        <f t="shared" si="57"/>
        <v>65919</v>
      </c>
      <c r="F1116" s="17">
        <f t="shared" ca="1" si="1"/>
        <v>2008</v>
      </c>
      <c r="G1116" s="17">
        <f t="shared" ca="1" si="58"/>
        <v>10800</v>
      </c>
      <c r="H1116" s="3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 spans="1:26" ht="13.5" customHeight="1" x14ac:dyDescent="0.3">
      <c r="A1117" s="17" t="s">
        <v>644</v>
      </c>
      <c r="B1117" s="17">
        <f t="shared" si="59"/>
        <v>11</v>
      </c>
      <c r="C1117" s="17">
        <f t="shared" si="26"/>
        <v>89</v>
      </c>
      <c r="D1117" s="17"/>
      <c r="E1117" s="17">
        <f t="shared" si="57"/>
        <v>65919</v>
      </c>
      <c r="F1117" s="17">
        <f t="shared" ca="1" si="1"/>
        <v>2008</v>
      </c>
      <c r="G1117" s="17">
        <f t="shared" ca="1" si="58"/>
        <v>10824</v>
      </c>
      <c r="H1117" s="30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 spans="1:26" ht="13.5" customHeight="1" x14ac:dyDescent="0.3">
      <c r="A1118" s="17" t="s">
        <v>644</v>
      </c>
      <c r="B1118" s="17">
        <f t="shared" si="59"/>
        <v>11</v>
      </c>
      <c r="C1118" s="17">
        <f t="shared" si="26"/>
        <v>90</v>
      </c>
      <c r="D1118" s="17"/>
      <c r="E1118" s="17">
        <f t="shared" si="57"/>
        <v>65919</v>
      </c>
      <c r="F1118" s="17">
        <f t="shared" ca="1" si="1"/>
        <v>2008</v>
      </c>
      <c r="G1118" s="17">
        <f t="shared" ca="1" si="58"/>
        <v>10825</v>
      </c>
      <c r="H1118" s="3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 spans="1:26" ht="13.5" customHeight="1" x14ac:dyDescent="0.3">
      <c r="A1119" s="17" t="s">
        <v>644</v>
      </c>
      <c r="B1119" s="17">
        <f t="shared" si="59"/>
        <v>11</v>
      </c>
      <c r="C1119" s="17">
        <f t="shared" si="26"/>
        <v>91</v>
      </c>
      <c r="D1119" s="17"/>
      <c r="E1119" s="17">
        <f t="shared" si="57"/>
        <v>65919</v>
      </c>
      <c r="F1119" s="17">
        <f t="shared" ca="1" si="1"/>
        <v>2008</v>
      </c>
      <c r="G1119" s="17">
        <f t="shared" ca="1" si="58"/>
        <v>10826</v>
      </c>
      <c r="H1119" s="3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 spans="1:26" ht="13.5" customHeight="1" x14ac:dyDescent="0.3">
      <c r="A1120" s="17" t="s">
        <v>644</v>
      </c>
      <c r="B1120" s="17">
        <f t="shared" si="59"/>
        <v>11</v>
      </c>
      <c r="C1120" s="17">
        <f t="shared" si="26"/>
        <v>92</v>
      </c>
      <c r="D1120" s="17"/>
      <c r="E1120" s="17">
        <f t="shared" si="57"/>
        <v>65919</v>
      </c>
      <c r="F1120" s="17">
        <f t="shared" ca="1" si="1"/>
        <v>2008</v>
      </c>
      <c r="G1120" s="17">
        <f t="shared" ca="1" si="58"/>
        <v>10828</v>
      </c>
      <c r="H1120" s="3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 spans="1:26" ht="13.5" customHeight="1" x14ac:dyDescent="0.3">
      <c r="A1121" s="17" t="s">
        <v>644</v>
      </c>
      <c r="B1121" s="17">
        <f t="shared" si="59"/>
        <v>11</v>
      </c>
      <c r="C1121" s="17">
        <f t="shared" si="26"/>
        <v>93</v>
      </c>
      <c r="D1121" s="17"/>
      <c r="E1121" s="17">
        <f t="shared" si="57"/>
        <v>65919</v>
      </c>
      <c r="F1121" s="17">
        <f t="shared" ca="1" si="1"/>
        <v>2008</v>
      </c>
      <c r="G1121" s="17">
        <f t="shared" ca="1" si="58"/>
        <v>10827</v>
      </c>
      <c r="H1121" s="2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 spans="1:26" ht="13.5" customHeight="1" x14ac:dyDescent="0.3">
      <c r="A1122" s="17" t="s">
        <v>644</v>
      </c>
      <c r="B1122" s="17">
        <f t="shared" ref="B1122:B1186" si="60">B1057+1</f>
        <v>12</v>
      </c>
      <c r="C1122" s="17">
        <f t="shared" si="26"/>
        <v>3</v>
      </c>
      <c r="D1122" s="17"/>
      <c r="E1122" s="17">
        <f t="shared" si="57"/>
        <v>65919</v>
      </c>
      <c r="F1122" s="17">
        <f t="shared" ca="1" si="1"/>
        <v>2009</v>
      </c>
      <c r="G1122" s="17">
        <f t="shared" ca="1" si="58"/>
        <v>10703</v>
      </c>
      <c r="H1122" s="2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2009</v>
      </c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 spans="1:26" ht="13.5" customHeight="1" x14ac:dyDescent="0.3">
      <c r="A1123" s="17" t="s">
        <v>644</v>
      </c>
      <c r="B1123" s="17">
        <f t="shared" si="60"/>
        <v>12</v>
      </c>
      <c r="C1123" s="17">
        <f t="shared" si="26"/>
        <v>4</v>
      </c>
      <c r="D1123" s="17"/>
      <c r="E1123" s="17">
        <f t="shared" si="57"/>
        <v>65919</v>
      </c>
      <c r="F1123" s="17">
        <f t="shared" ca="1" si="1"/>
        <v>2009</v>
      </c>
      <c r="G1123" s="17">
        <f t="shared" ca="1" si="58"/>
        <v>10845</v>
      </c>
      <c r="H1123" s="2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The Office Of The State Actuary</v>
      </c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 spans="1:26" ht="13.5" customHeight="1" x14ac:dyDescent="0.3">
      <c r="A1124" s="17" t="s">
        <v>644</v>
      </c>
      <c r="B1124" s="17">
        <f t="shared" si="60"/>
        <v>12</v>
      </c>
      <c r="C1124" s="17">
        <f t="shared" si="26"/>
        <v>5</v>
      </c>
      <c r="D1124" s="17"/>
      <c r="E1124" s="17">
        <f t="shared" si="57"/>
        <v>65919</v>
      </c>
      <c r="F1124" s="17">
        <f t="shared" ca="1" si="1"/>
        <v>2009</v>
      </c>
      <c r="G1124" s="17">
        <f t="shared" ca="1" si="58"/>
        <v>10924</v>
      </c>
      <c r="H1124" s="3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0.1454</v>
      </c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 spans="1:26" ht="13.5" customHeight="1" x14ac:dyDescent="0.3">
      <c r="A1125" s="17" t="s">
        <v>644</v>
      </c>
      <c r="B1125" s="17">
        <f t="shared" si="60"/>
        <v>12</v>
      </c>
      <c r="C1125" s="17">
        <f t="shared" si="26"/>
        <v>6</v>
      </c>
      <c r="D1125" s="17"/>
      <c r="E1125" s="17">
        <f t="shared" si="57"/>
        <v>65919</v>
      </c>
      <c r="F1125" s="17">
        <f t="shared" ca="1" si="1"/>
        <v>2009</v>
      </c>
      <c r="G1125" s="17">
        <f t="shared" ca="1" si="58"/>
        <v>10925</v>
      </c>
      <c r="H1125" s="3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7.9299999999999995E-2</v>
      </c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 spans="1:26" ht="13.5" customHeight="1" x14ac:dyDescent="0.3">
      <c r="A1126" s="17" t="s">
        <v>644</v>
      </c>
      <c r="B1126" s="17">
        <f t="shared" si="60"/>
        <v>12</v>
      </c>
      <c r="C1126" s="17">
        <f t="shared" si="26"/>
        <v>7</v>
      </c>
      <c r="D1126" s="17"/>
      <c r="E1126" s="17">
        <f t="shared" si="57"/>
        <v>65919</v>
      </c>
      <c r="F1126" s="17">
        <f t="shared" ca="1" si="1"/>
        <v>2009</v>
      </c>
      <c r="G1126" s="17">
        <f t="shared" ca="1" si="58"/>
        <v>10926</v>
      </c>
      <c r="H1126" s="3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6.6100000000000006E-2</v>
      </c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 spans="1:26" ht="13.5" customHeight="1" x14ac:dyDescent="0.3">
      <c r="A1127" s="17" t="s">
        <v>644</v>
      </c>
      <c r="B1127" s="17">
        <f t="shared" si="60"/>
        <v>12</v>
      </c>
      <c r="C1127" s="17">
        <f t="shared" si="26"/>
        <v>8</v>
      </c>
      <c r="D1127" s="17"/>
      <c r="E1127" s="17">
        <f t="shared" si="57"/>
        <v>65919</v>
      </c>
      <c r="F1127" s="17">
        <f t="shared" ca="1" si="1"/>
        <v>2009</v>
      </c>
      <c r="G1127" s="17">
        <f t="shared" ca="1" si="58"/>
        <v>10704</v>
      </c>
      <c r="H1127" s="3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 spans="1:26" ht="13.5" customHeight="1" x14ac:dyDescent="0.3">
      <c r="A1128" s="17" t="s">
        <v>644</v>
      </c>
      <c r="B1128" s="17">
        <f t="shared" si="60"/>
        <v>12</v>
      </c>
      <c r="C1128" s="17">
        <f t="shared" si="26"/>
        <v>9</v>
      </c>
      <c r="D1128" s="17"/>
      <c r="E1128" s="17">
        <f t="shared" si="57"/>
        <v>65919</v>
      </c>
      <c r="F1128" s="17">
        <f t="shared" ca="1" si="1"/>
        <v>2009</v>
      </c>
      <c r="G1128" s="17">
        <f t="shared" ca="1" si="58"/>
        <v>10928</v>
      </c>
      <c r="H1128" s="31" t="str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N/A</v>
      </c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 spans="1:26" ht="13.5" customHeight="1" x14ac:dyDescent="0.3">
      <c r="A1129" s="17" t="s">
        <v>644</v>
      </c>
      <c r="B1129" s="17">
        <f t="shared" si="60"/>
        <v>12</v>
      </c>
      <c r="C1129" s="17">
        <f t="shared" si="26"/>
        <v>10</v>
      </c>
      <c r="D1129" s="17"/>
      <c r="E1129" s="17">
        <f t="shared" si="57"/>
        <v>65919</v>
      </c>
      <c r="F1129" s="17">
        <f t="shared" ca="1" si="1"/>
        <v>2009</v>
      </c>
      <c r="G1129" s="17">
        <f t="shared" ca="1" si="58"/>
        <v>10929</v>
      </c>
      <c r="H1129" s="31" t="str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N/A</v>
      </c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 spans="1:26" ht="13.5" customHeight="1" x14ac:dyDescent="0.3">
      <c r="A1130" s="17" t="s">
        <v>644</v>
      </c>
      <c r="B1130" s="17">
        <f t="shared" si="60"/>
        <v>12</v>
      </c>
      <c r="C1130" s="17">
        <f t="shared" si="26"/>
        <v>11</v>
      </c>
      <c r="D1130" s="17"/>
      <c r="E1130" s="17">
        <f t="shared" si="57"/>
        <v>65919</v>
      </c>
      <c r="F1130" s="17">
        <f t="shared" ca="1" si="1"/>
        <v>2009</v>
      </c>
      <c r="G1130" s="17">
        <f t="shared" ca="1" si="58"/>
        <v>10930</v>
      </c>
      <c r="H1130" s="3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 spans="1:26" ht="13.5" customHeight="1" x14ac:dyDescent="0.3">
      <c r="A1131" s="17" t="s">
        <v>644</v>
      </c>
      <c r="B1131" s="17">
        <f t="shared" si="60"/>
        <v>12</v>
      </c>
      <c r="C1131" s="17">
        <f t="shared" si="26"/>
        <v>12</v>
      </c>
      <c r="D1131" s="17"/>
      <c r="E1131" s="17">
        <f t="shared" si="57"/>
        <v>65919</v>
      </c>
      <c r="F1131" s="17">
        <f t="shared" ca="1" si="1"/>
        <v>2009</v>
      </c>
      <c r="G1131" s="17">
        <f t="shared" ca="1" si="58"/>
        <v>10705</v>
      </c>
      <c r="H1131" s="3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5501000</v>
      </c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 spans="1:26" ht="13.5" customHeight="1" x14ac:dyDescent="0.3">
      <c r="A1132" s="17" t="s">
        <v>644</v>
      </c>
      <c r="B1132" s="17">
        <f t="shared" si="60"/>
        <v>12</v>
      </c>
      <c r="C1132" s="17">
        <f t="shared" si="26"/>
        <v>13</v>
      </c>
      <c r="D1132" s="17"/>
      <c r="E1132" s="17">
        <f t="shared" si="57"/>
        <v>65919</v>
      </c>
      <c r="F1132" s="17">
        <f t="shared" ca="1" si="1"/>
        <v>2009</v>
      </c>
      <c r="G1132" s="17">
        <f t="shared" ca="1" si="58"/>
        <v>10842</v>
      </c>
      <c r="H1132" s="3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 spans="1:26" ht="13.5" customHeight="1" x14ac:dyDescent="0.3">
      <c r="A1133" s="17" t="s">
        <v>644</v>
      </c>
      <c r="B1133" s="17">
        <f t="shared" si="60"/>
        <v>12</v>
      </c>
      <c r="C1133" s="17">
        <f t="shared" si="26"/>
        <v>14</v>
      </c>
      <c r="D1133" s="17"/>
      <c r="E1133" s="17">
        <f t="shared" si="57"/>
        <v>65919</v>
      </c>
      <c r="F1133" s="17">
        <f t="shared" ca="1" si="1"/>
        <v>2009</v>
      </c>
      <c r="G1133" s="17">
        <f t="shared" ca="1" si="58"/>
        <v>10843</v>
      </c>
      <c r="H1133" s="3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 spans="1:26" ht="13.5" customHeight="1" x14ac:dyDescent="0.3">
      <c r="A1134" s="17" t="s">
        <v>644</v>
      </c>
      <c r="B1134" s="17">
        <f t="shared" si="60"/>
        <v>12</v>
      </c>
      <c r="C1134" s="17">
        <f t="shared" si="26"/>
        <v>15</v>
      </c>
      <c r="D1134" s="17"/>
      <c r="E1134" s="17">
        <f t="shared" si="57"/>
        <v>65919</v>
      </c>
      <c r="F1134" s="17">
        <f t="shared" ca="1" si="1"/>
        <v>2009</v>
      </c>
      <c r="G1134" s="17">
        <f t="shared" ca="1" si="58"/>
        <v>10931</v>
      </c>
      <c r="H1134" s="3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 spans="1:26" ht="13.5" customHeight="1" x14ac:dyDescent="0.3">
      <c r="A1135" s="17" t="s">
        <v>644</v>
      </c>
      <c r="B1135" s="17">
        <f t="shared" si="60"/>
        <v>12</v>
      </c>
      <c r="C1135" s="17">
        <f t="shared" si="26"/>
        <v>16</v>
      </c>
      <c r="D1135" s="17"/>
      <c r="E1135" s="17">
        <f t="shared" si="57"/>
        <v>65919</v>
      </c>
      <c r="F1135" s="17">
        <f t="shared" ca="1" si="1"/>
        <v>2009</v>
      </c>
      <c r="G1135" s="17">
        <f t="shared" ca="1" si="58"/>
        <v>10932</v>
      </c>
      <c r="H1135" s="3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 spans="1:26" ht="13.5" customHeight="1" x14ac:dyDescent="0.3">
      <c r="A1136" s="17" t="s">
        <v>644</v>
      </c>
      <c r="B1136" s="17">
        <f t="shared" si="60"/>
        <v>12</v>
      </c>
      <c r="C1136" s="17">
        <f t="shared" si="26"/>
        <v>17</v>
      </c>
      <c r="D1136" s="17"/>
      <c r="E1136" s="17">
        <f t="shared" si="57"/>
        <v>65919</v>
      </c>
      <c r="F1136" s="17">
        <f t="shared" ca="1" si="1"/>
        <v>2009</v>
      </c>
      <c r="G1136" s="17">
        <f t="shared" ca="1" si="58"/>
        <v>10933</v>
      </c>
      <c r="H1136" s="3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7.9299999999999995E-2</v>
      </c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 spans="1:26" ht="13.5" customHeight="1" x14ac:dyDescent="0.3">
      <c r="A1137" s="17" t="s">
        <v>644</v>
      </c>
      <c r="B1137" s="17">
        <f t="shared" si="60"/>
        <v>12</v>
      </c>
      <c r="C1137" s="17">
        <f t="shared" si="26"/>
        <v>18</v>
      </c>
      <c r="D1137" s="17"/>
      <c r="E1137" s="17">
        <f t="shared" si="57"/>
        <v>65919</v>
      </c>
      <c r="F1137" s="17">
        <f t="shared" ca="1" si="1"/>
        <v>2009</v>
      </c>
      <c r="G1137" s="17">
        <f t="shared" ca="1" si="58"/>
        <v>10934</v>
      </c>
      <c r="H1137" s="3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6.6100000000000006E-2</v>
      </c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 spans="1:26" ht="13.5" customHeight="1" x14ac:dyDescent="0.3">
      <c r="A1138" s="17" t="s">
        <v>644</v>
      </c>
      <c r="B1138" s="17">
        <f t="shared" si="60"/>
        <v>12</v>
      </c>
      <c r="C1138" s="17">
        <f t="shared" si="26"/>
        <v>19</v>
      </c>
      <c r="D1138" s="17"/>
      <c r="E1138" s="17">
        <f t="shared" si="57"/>
        <v>65919</v>
      </c>
      <c r="F1138" s="17">
        <f t="shared" ca="1" si="1"/>
        <v>2009</v>
      </c>
      <c r="G1138" s="17">
        <f t="shared" ca="1" si="58"/>
        <v>10935</v>
      </c>
      <c r="H1138" s="29" t="str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Single Rate</v>
      </c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 spans="1:26" ht="13.5" customHeight="1" x14ac:dyDescent="0.3">
      <c r="A1139" s="17" t="s">
        <v>644</v>
      </c>
      <c r="B1139" s="17">
        <f t="shared" si="60"/>
        <v>12</v>
      </c>
      <c r="C1139" s="17">
        <f t="shared" si="26"/>
        <v>20</v>
      </c>
      <c r="D1139" s="17"/>
      <c r="E1139" s="17">
        <f t="shared" si="57"/>
        <v>65919</v>
      </c>
      <c r="F1139" s="17">
        <f t="shared" ca="1" si="1"/>
        <v>2009</v>
      </c>
      <c r="G1139" s="17">
        <f t="shared" ca="1" si="58"/>
        <v>10937</v>
      </c>
      <c r="H1139" s="3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 spans="1:26" ht="13.5" customHeight="1" x14ac:dyDescent="0.3">
      <c r="A1140" s="17" t="s">
        <v>644</v>
      </c>
      <c r="B1140" s="17">
        <f t="shared" si="60"/>
        <v>12</v>
      </c>
      <c r="C1140" s="17">
        <f t="shared" si="26"/>
        <v>21</v>
      </c>
      <c r="D1140" s="17"/>
      <c r="E1140" s="17">
        <f t="shared" si="57"/>
        <v>65919</v>
      </c>
      <c r="F1140" s="17">
        <f t="shared" ca="1" si="1"/>
        <v>2009</v>
      </c>
      <c r="G1140" s="17">
        <f t="shared" ca="1" si="58"/>
        <v>10938</v>
      </c>
      <c r="H1140" s="3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 spans="1:26" ht="13.5" customHeight="1" x14ac:dyDescent="0.3">
      <c r="A1141" s="17" t="s">
        <v>644</v>
      </c>
      <c r="B1141" s="17">
        <f t="shared" si="60"/>
        <v>12</v>
      </c>
      <c r="C1141" s="17">
        <f t="shared" si="26"/>
        <v>22</v>
      </c>
      <c r="D1141" s="17"/>
      <c r="E1141" s="17">
        <f t="shared" si="57"/>
        <v>65919</v>
      </c>
      <c r="F1141" s="17">
        <f t="shared" ca="1" si="1"/>
        <v>2009</v>
      </c>
      <c r="G1141" s="17">
        <f t="shared" ca="1" si="58"/>
        <v>11007</v>
      </c>
      <c r="H1141" s="29" t="str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Accrued Benefit Formula= 2% x YOS x AFC (Max= 75% AFC)</v>
      </c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 spans="1:26" ht="13.5" customHeight="1" x14ac:dyDescent="0.3">
      <c r="A1142" s="17" t="s">
        <v>644</v>
      </c>
      <c r="B1142" s="17">
        <f t="shared" si="60"/>
        <v>12</v>
      </c>
      <c r="C1142" s="17">
        <f t="shared" si="26"/>
        <v>23</v>
      </c>
      <c r="D1142" s="17"/>
      <c r="E1142" s="17">
        <f t="shared" si="57"/>
        <v>65919</v>
      </c>
      <c r="F1142" s="17">
        <f t="shared" ca="1" si="1"/>
        <v>2009</v>
      </c>
      <c r="G1142" s="17">
        <f t="shared" ca="1" si="58"/>
        <v>10941</v>
      </c>
      <c r="H1142" s="29" t="str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COLA</v>
      </c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 spans="1:26" ht="13.5" customHeight="1" x14ac:dyDescent="0.3">
      <c r="A1143" s="17" t="s">
        <v>644</v>
      </c>
      <c r="B1143" s="17">
        <f t="shared" si="60"/>
        <v>12</v>
      </c>
      <c r="C1143" s="17">
        <f t="shared" si="26"/>
        <v>24</v>
      </c>
      <c r="D1143" s="17"/>
      <c r="E1143" s="17">
        <f t="shared" si="57"/>
        <v>65919</v>
      </c>
      <c r="F1143" s="17">
        <f t="shared" ca="1" si="1"/>
        <v>2009</v>
      </c>
      <c r="G1143" s="17">
        <f t="shared" ca="1" si="58"/>
        <v>10942</v>
      </c>
      <c r="H1143" s="29" t="str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Percentage</v>
      </c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 spans="1:26" ht="13.5" customHeight="1" x14ac:dyDescent="0.3">
      <c r="A1144" s="17" t="s">
        <v>644</v>
      </c>
      <c r="B1144" s="17">
        <f t="shared" si="60"/>
        <v>12</v>
      </c>
      <c r="C1144" s="17">
        <f t="shared" si="26"/>
        <v>25</v>
      </c>
      <c r="D1144" s="17"/>
      <c r="E1144" s="17">
        <f t="shared" si="57"/>
        <v>65919</v>
      </c>
      <c r="F1144" s="17">
        <f t="shared" ca="1" si="1"/>
        <v>2009</v>
      </c>
      <c r="G1144" s="17">
        <f t="shared" ca="1" si="58"/>
        <v>10701</v>
      </c>
      <c r="H1144" s="3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0.03</v>
      </c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 spans="1:26" ht="13.5" customHeight="1" x14ac:dyDescent="0.3">
      <c r="A1145" s="17" t="s">
        <v>644</v>
      </c>
      <c r="B1145" s="17">
        <f t="shared" si="60"/>
        <v>12</v>
      </c>
      <c r="C1145" s="17">
        <f t="shared" si="26"/>
        <v>26</v>
      </c>
      <c r="D1145" s="17"/>
      <c r="E1145" s="17">
        <f t="shared" si="57"/>
        <v>65919</v>
      </c>
      <c r="F1145" s="17">
        <f t="shared" ca="1" si="1"/>
        <v>2009</v>
      </c>
      <c r="G1145" s="17">
        <f t="shared" ca="1" si="58"/>
        <v>10702</v>
      </c>
      <c r="H1145" s="3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 spans="1:26" ht="13.5" customHeight="1" x14ac:dyDescent="0.3">
      <c r="A1146" s="17" t="s">
        <v>644</v>
      </c>
      <c r="B1146" s="17">
        <f t="shared" si="60"/>
        <v>12</v>
      </c>
      <c r="C1146" s="17">
        <f t="shared" si="26"/>
        <v>27</v>
      </c>
      <c r="D1146" s="17"/>
      <c r="E1146" s="17">
        <f t="shared" si="57"/>
        <v>65919</v>
      </c>
      <c r="F1146" s="17">
        <f t="shared" ca="1" si="1"/>
        <v>2009</v>
      </c>
      <c r="G1146" s="17">
        <f t="shared" ca="1" si="58"/>
        <v>10943</v>
      </c>
      <c r="H1146" s="2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 spans="1:26" ht="13.5" customHeight="1" x14ac:dyDescent="0.3">
      <c r="A1147" s="17" t="s">
        <v>644</v>
      </c>
      <c r="B1147" s="17">
        <f t="shared" si="60"/>
        <v>12</v>
      </c>
      <c r="C1147" s="17">
        <f t="shared" si="26"/>
        <v>28</v>
      </c>
      <c r="D1147" s="17"/>
      <c r="E1147" s="17">
        <f t="shared" si="57"/>
        <v>65919</v>
      </c>
      <c r="F1147" s="17">
        <f t="shared" ca="1" si="1"/>
        <v>2009</v>
      </c>
      <c r="G1147" s="17">
        <f t="shared" ca="1" si="58"/>
        <v>10944</v>
      </c>
      <c r="H1147" s="31" t="str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No</v>
      </c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 spans="1:26" ht="13.5" customHeight="1" x14ac:dyDescent="0.3">
      <c r="A1148" s="17" t="s">
        <v>644</v>
      </c>
      <c r="B1148" s="17">
        <f t="shared" si="60"/>
        <v>12</v>
      </c>
      <c r="C1148" s="17">
        <f t="shared" si="26"/>
        <v>29</v>
      </c>
      <c r="D1148" s="17"/>
      <c r="E1148" s="17">
        <f t="shared" si="57"/>
        <v>65919</v>
      </c>
      <c r="F1148" s="17">
        <f t="shared" ca="1" si="1"/>
        <v>2009</v>
      </c>
      <c r="G1148" s="17">
        <f t="shared" ca="1" si="58"/>
        <v>10945</v>
      </c>
      <c r="H1148" s="31" t="str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No</v>
      </c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 spans="1:26" ht="13.5" customHeight="1" x14ac:dyDescent="0.3">
      <c r="A1149" s="17" t="s">
        <v>644</v>
      </c>
      <c r="B1149" s="17">
        <f t="shared" si="60"/>
        <v>12</v>
      </c>
      <c r="C1149" s="17">
        <f t="shared" si="26"/>
        <v>30</v>
      </c>
      <c r="D1149" s="17"/>
      <c r="E1149" s="17">
        <f t="shared" si="57"/>
        <v>65919</v>
      </c>
      <c r="F1149" s="17">
        <f t="shared" ca="1" si="1"/>
        <v>2009</v>
      </c>
      <c r="G1149" s="17">
        <f t="shared" ca="1" si="58"/>
        <v>10947</v>
      </c>
      <c r="H1149" s="2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 spans="1:26" ht="13.5" customHeight="1" x14ac:dyDescent="0.3">
      <c r="A1150" s="17" t="s">
        <v>644</v>
      </c>
      <c r="B1150" s="17">
        <f t="shared" si="60"/>
        <v>12</v>
      </c>
      <c r="C1150" s="17">
        <f t="shared" si="26"/>
        <v>31</v>
      </c>
      <c r="D1150" s="17"/>
      <c r="E1150" s="17">
        <f t="shared" si="57"/>
        <v>65919</v>
      </c>
      <c r="F1150" s="17">
        <f t="shared" ca="1" si="1"/>
        <v>2009</v>
      </c>
      <c r="G1150" s="17">
        <f t="shared" ca="1" si="58"/>
        <v>10948</v>
      </c>
      <c r="H1150" s="31" t="str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No</v>
      </c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 spans="1:26" ht="13.5" customHeight="1" x14ac:dyDescent="0.3">
      <c r="A1151" s="17" t="s">
        <v>644</v>
      </c>
      <c r="B1151" s="17">
        <f t="shared" si="60"/>
        <v>12</v>
      </c>
      <c r="C1151" s="17">
        <f t="shared" si="26"/>
        <v>32</v>
      </c>
      <c r="D1151" s="17"/>
      <c r="E1151" s="17">
        <f t="shared" si="57"/>
        <v>65919</v>
      </c>
      <c r="F1151" s="17">
        <f t="shared" ca="1" si="1"/>
        <v>2009</v>
      </c>
      <c r="G1151" s="17">
        <f t="shared" ca="1" si="58"/>
        <v>10949</v>
      </c>
      <c r="H1151" s="31" t="str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No</v>
      </c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 spans="1:26" ht="13.5" customHeight="1" x14ac:dyDescent="0.3">
      <c r="A1152" s="17" t="s">
        <v>644</v>
      </c>
      <c r="B1152" s="17">
        <f t="shared" si="60"/>
        <v>12</v>
      </c>
      <c r="C1152" s="17">
        <f t="shared" si="26"/>
        <v>33</v>
      </c>
      <c r="D1152" s="17"/>
      <c r="E1152" s="17">
        <f t="shared" si="57"/>
        <v>65919</v>
      </c>
      <c r="F1152" s="17">
        <f t="shared" ca="1" si="1"/>
        <v>2009</v>
      </c>
      <c r="G1152" s="17">
        <f t="shared" ca="1" si="58"/>
        <v>10951</v>
      </c>
      <c r="H1152" s="31" t="str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No</v>
      </c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 spans="1:26" ht="13.5" customHeight="1" x14ac:dyDescent="0.3">
      <c r="A1153" s="17" t="s">
        <v>644</v>
      </c>
      <c r="B1153" s="17">
        <f t="shared" si="60"/>
        <v>12</v>
      </c>
      <c r="C1153" s="17">
        <f t="shared" si="26"/>
        <v>34</v>
      </c>
      <c r="D1153" s="17"/>
      <c r="E1153" s="17">
        <f t="shared" si="57"/>
        <v>65919</v>
      </c>
      <c r="F1153" s="17">
        <f t="shared" ca="1" si="1"/>
        <v>2009</v>
      </c>
      <c r="G1153" s="17">
        <f t="shared" ca="1" si="58"/>
        <v>10950</v>
      </c>
      <c r="H1153" s="31" t="str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No</v>
      </c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 spans="1:26" ht="13.5" customHeight="1" x14ac:dyDescent="0.3">
      <c r="A1154" s="17" t="s">
        <v>644</v>
      </c>
      <c r="B1154" s="17">
        <f t="shared" si="60"/>
        <v>12</v>
      </c>
      <c r="C1154" s="17">
        <f t="shared" si="26"/>
        <v>35</v>
      </c>
      <c r="D1154" s="17"/>
      <c r="E1154" s="17">
        <f t="shared" si="57"/>
        <v>65919</v>
      </c>
      <c r="F1154" s="17">
        <f t="shared" ca="1" si="1"/>
        <v>2009</v>
      </c>
      <c r="G1154" s="17">
        <f t="shared" ca="1" si="58"/>
        <v>10954</v>
      </c>
      <c r="H1154" s="3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3.5000000000000003E-2</v>
      </c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 spans="1:26" ht="13.5" customHeight="1" x14ac:dyDescent="0.3">
      <c r="A1155" s="17" t="s">
        <v>644</v>
      </c>
      <c r="B1155" s="17">
        <f t="shared" si="60"/>
        <v>12</v>
      </c>
      <c r="C1155" s="17">
        <f t="shared" si="26"/>
        <v>36</v>
      </c>
      <c r="D1155" s="17"/>
      <c r="E1155" s="17">
        <f t="shared" si="57"/>
        <v>65919</v>
      </c>
      <c r="F1155" s="17">
        <f t="shared" ca="1" si="1"/>
        <v>2009</v>
      </c>
      <c r="G1155" s="17">
        <f t="shared" ca="1" si="58"/>
        <v>10955</v>
      </c>
      <c r="H1155" s="3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0.08</v>
      </c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 spans="1:26" ht="13.5" customHeight="1" x14ac:dyDescent="0.3">
      <c r="A1156" s="17" t="s">
        <v>644</v>
      </c>
      <c r="B1156" s="17">
        <f t="shared" si="60"/>
        <v>12</v>
      </c>
      <c r="C1156" s="17">
        <f t="shared" si="26"/>
        <v>37</v>
      </c>
      <c r="D1156" s="17"/>
      <c r="E1156" s="17">
        <f t="shared" ref="E1156:E1219" si="61">plan_id</f>
        <v>65919</v>
      </c>
      <c r="F1156" s="17">
        <f t="shared" ca="1" si="1"/>
        <v>2009</v>
      </c>
      <c r="G1156" s="17">
        <f t="shared" ref="G1156:G1219" ca="1" si="62">VLOOKUP(INDIRECT(CHAR(39)&amp;$A1156&amp;CHAR(39)&amp;"!r2c"&amp;$C1156,0),variables,2,0)</f>
        <v>10956</v>
      </c>
      <c r="H1156" s="3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5.0000000000000001E-4</v>
      </c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 spans="1:26" ht="13.5" customHeight="1" x14ac:dyDescent="0.3">
      <c r="A1157" s="17" t="s">
        <v>644</v>
      </c>
      <c r="B1157" s="17">
        <f t="shared" si="60"/>
        <v>12</v>
      </c>
      <c r="C1157" s="17">
        <f t="shared" si="26"/>
        <v>38</v>
      </c>
      <c r="D1157" s="17"/>
      <c r="E1157" s="17">
        <f t="shared" si="61"/>
        <v>65919</v>
      </c>
      <c r="F1157" s="17">
        <f t="shared" ca="1" si="1"/>
        <v>2009</v>
      </c>
      <c r="G1157" s="17">
        <f t="shared" ca="1" si="62"/>
        <v>10959</v>
      </c>
      <c r="H1157" s="3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0.04</v>
      </c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 spans="1:26" ht="13.5" customHeight="1" x14ac:dyDescent="0.3">
      <c r="A1158" s="17" t="s">
        <v>644</v>
      </c>
      <c r="B1158" s="17">
        <f t="shared" si="60"/>
        <v>12</v>
      </c>
      <c r="C1158" s="17">
        <f t="shared" si="26"/>
        <v>39</v>
      </c>
      <c r="D1158" s="17"/>
      <c r="E1158" s="17">
        <f t="shared" si="61"/>
        <v>65919</v>
      </c>
      <c r="F1158" s="17">
        <f t="shared" ca="1" si="1"/>
        <v>2009</v>
      </c>
      <c r="G1158" s="17">
        <f t="shared" ca="1" si="62"/>
        <v>10962</v>
      </c>
      <c r="H1158" s="29" t="str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Pg.no.73</v>
      </c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 spans="1:26" ht="13.5" customHeight="1" x14ac:dyDescent="0.3">
      <c r="A1159" s="17" t="s">
        <v>644</v>
      </c>
      <c r="B1159" s="17">
        <f t="shared" si="60"/>
        <v>12</v>
      </c>
      <c r="C1159" s="17">
        <f t="shared" si="26"/>
        <v>40</v>
      </c>
      <c r="D1159" s="17"/>
      <c r="E1159" s="17">
        <f t="shared" si="61"/>
        <v>65919</v>
      </c>
      <c r="F1159" s="17">
        <f t="shared" ca="1" si="1"/>
        <v>2009</v>
      </c>
      <c r="G1159" s="17">
        <f t="shared" ca="1" si="62"/>
        <v>10964</v>
      </c>
      <c r="H1159" s="29" t="str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Pg.no.59</v>
      </c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 spans="1:26" ht="13.5" customHeight="1" x14ac:dyDescent="0.3">
      <c r="A1160" s="17" t="s">
        <v>644</v>
      </c>
      <c r="B1160" s="17">
        <f t="shared" si="60"/>
        <v>12</v>
      </c>
      <c r="C1160" s="17">
        <f t="shared" si="26"/>
        <v>41</v>
      </c>
      <c r="D1160" s="17"/>
      <c r="E1160" s="17">
        <f t="shared" si="61"/>
        <v>65919</v>
      </c>
      <c r="F1160" s="17">
        <f t="shared" ca="1" si="1"/>
        <v>2009</v>
      </c>
      <c r="G1160" s="17">
        <f t="shared" ca="1" si="62"/>
        <v>10967</v>
      </c>
      <c r="H1160" s="29" t="str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RP-2000 Combined healthy table</v>
      </c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 spans="1:26" ht="13.5" customHeight="1" x14ac:dyDescent="0.3">
      <c r="A1161" s="17" t="s">
        <v>644</v>
      </c>
      <c r="B1161" s="17">
        <f t="shared" si="60"/>
        <v>12</v>
      </c>
      <c r="C1161" s="17">
        <f t="shared" si="26"/>
        <v>42</v>
      </c>
      <c r="D1161" s="17"/>
      <c r="E1161" s="17">
        <f t="shared" si="61"/>
        <v>65919</v>
      </c>
      <c r="F1161" s="17">
        <f t="shared" ca="1" si="1"/>
        <v>2009</v>
      </c>
      <c r="G1161" s="17">
        <f t="shared" ca="1" si="62"/>
        <v>10968</v>
      </c>
      <c r="H1161" s="2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2000</v>
      </c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 spans="1:26" ht="13.5" customHeight="1" x14ac:dyDescent="0.3">
      <c r="A1162" s="17" t="s">
        <v>644</v>
      </c>
      <c r="B1162" s="17">
        <f t="shared" si="60"/>
        <v>12</v>
      </c>
      <c r="C1162" s="17">
        <f t="shared" si="26"/>
        <v>43</v>
      </c>
      <c r="D1162" s="17"/>
      <c r="E1162" s="17">
        <f t="shared" si="61"/>
        <v>65919</v>
      </c>
      <c r="F1162" s="17">
        <f t="shared" ca="1" si="1"/>
        <v>2009</v>
      </c>
      <c r="G1162" s="17">
        <f t="shared" ca="1" si="62"/>
        <v>10969</v>
      </c>
      <c r="H1162" s="2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Scale AA</v>
      </c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 spans="1:26" ht="13.5" customHeight="1" x14ac:dyDescent="0.3">
      <c r="A1163" s="17" t="s">
        <v>644</v>
      </c>
      <c r="B1163" s="17">
        <f t="shared" si="60"/>
        <v>12</v>
      </c>
      <c r="C1163" s="17">
        <f t="shared" si="26"/>
        <v>44</v>
      </c>
      <c r="D1163" s="17"/>
      <c r="E1163" s="17">
        <f t="shared" si="61"/>
        <v>65919</v>
      </c>
      <c r="F1163" s="17">
        <f t="shared" ca="1" si="1"/>
        <v>2009</v>
      </c>
      <c r="G1163" s="17">
        <f t="shared" ca="1" si="62"/>
        <v>10970</v>
      </c>
      <c r="H1163" s="29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Male: 1 Year</v>
      </c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 spans="1:26" ht="13.5" customHeight="1" x14ac:dyDescent="0.3">
      <c r="A1164" s="17" t="s">
        <v>644</v>
      </c>
      <c r="B1164" s="17">
        <f t="shared" si="60"/>
        <v>12</v>
      </c>
      <c r="C1164" s="17">
        <f t="shared" si="26"/>
        <v>45</v>
      </c>
      <c r="D1164" s="17"/>
      <c r="E1164" s="17">
        <f t="shared" si="61"/>
        <v>65919</v>
      </c>
      <c r="F1164" s="17">
        <f t="shared" ca="1" si="1"/>
        <v>2009</v>
      </c>
      <c r="G1164" s="17">
        <f t="shared" ca="1" si="62"/>
        <v>10971</v>
      </c>
      <c r="H1164" s="29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Female: 1 Year</v>
      </c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 spans="1:26" ht="13.5" customHeight="1" x14ac:dyDescent="0.3">
      <c r="A1165" s="17" t="s">
        <v>644</v>
      </c>
      <c r="B1165" s="17">
        <f t="shared" si="60"/>
        <v>12</v>
      </c>
      <c r="C1165" s="17">
        <f t="shared" si="26"/>
        <v>46</v>
      </c>
      <c r="D1165" s="17"/>
      <c r="E1165" s="17">
        <f t="shared" si="61"/>
        <v>65919</v>
      </c>
      <c r="F1165" s="17">
        <f t="shared" ca="1" si="1"/>
        <v>2009</v>
      </c>
      <c r="G1165" s="17">
        <f t="shared" ca="1" si="62"/>
        <v>10972</v>
      </c>
      <c r="H1165" s="29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N/A</v>
      </c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 spans="1:26" ht="13.5" customHeight="1" x14ac:dyDescent="0.3">
      <c r="A1166" s="17" t="s">
        <v>644</v>
      </c>
      <c r="B1166" s="17">
        <f t="shared" si="60"/>
        <v>12</v>
      </c>
      <c r="C1166" s="17">
        <f t="shared" si="26"/>
        <v>47</v>
      </c>
      <c r="D1166" s="17"/>
      <c r="E1166" s="17">
        <f t="shared" si="61"/>
        <v>65919</v>
      </c>
      <c r="F1166" s="17">
        <f t="shared" ca="1" si="1"/>
        <v>2009</v>
      </c>
      <c r="G1166" s="17">
        <f t="shared" ca="1" si="62"/>
        <v>10973</v>
      </c>
      <c r="H1166" s="29" t="str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N/A</v>
      </c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 spans="1:26" ht="13.5" customHeight="1" x14ac:dyDescent="0.3">
      <c r="A1167" s="17" t="s">
        <v>644</v>
      </c>
      <c r="B1167" s="17">
        <f t="shared" si="60"/>
        <v>12</v>
      </c>
      <c r="C1167" s="17">
        <f t="shared" si="26"/>
        <v>48</v>
      </c>
      <c r="D1167" s="17"/>
      <c r="E1167" s="17">
        <f t="shared" si="61"/>
        <v>65919</v>
      </c>
      <c r="F1167" s="17">
        <f t="shared" ca="1" si="1"/>
        <v>2009</v>
      </c>
      <c r="G1167" s="17">
        <f t="shared" ca="1" si="62"/>
        <v>10975</v>
      </c>
      <c r="H1167" s="29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 xml:space="preserve">Aggregate   </v>
      </c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 spans="1:26" ht="13.5" customHeight="1" x14ac:dyDescent="0.3">
      <c r="A1168" s="17" t="s">
        <v>644</v>
      </c>
      <c r="B1168" s="17">
        <f t="shared" si="60"/>
        <v>12</v>
      </c>
      <c r="C1168" s="17">
        <f t="shared" si="26"/>
        <v>49</v>
      </c>
      <c r="D1168" s="17"/>
      <c r="E1168" s="17">
        <f t="shared" si="61"/>
        <v>65919</v>
      </c>
      <c r="F1168" s="17">
        <f t="shared" ca="1" si="1"/>
        <v>2009</v>
      </c>
      <c r="G1168" s="17">
        <f t="shared" ca="1" si="62"/>
        <v>10976</v>
      </c>
      <c r="H1168" s="3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0.08</v>
      </c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 spans="1:26" ht="13.5" customHeight="1" x14ac:dyDescent="0.3">
      <c r="A1169" s="17" t="s">
        <v>644</v>
      </c>
      <c r="B1169" s="17">
        <f t="shared" si="60"/>
        <v>12</v>
      </c>
      <c r="C1169" s="17">
        <f t="shared" si="26"/>
        <v>50</v>
      </c>
      <c r="D1169" s="17"/>
      <c r="E1169" s="17">
        <f t="shared" si="61"/>
        <v>65919</v>
      </c>
      <c r="F1169" s="17">
        <f t="shared" ca="1" si="1"/>
        <v>2009</v>
      </c>
      <c r="G1169" s="17">
        <f t="shared" ca="1" si="62"/>
        <v>10977</v>
      </c>
      <c r="H1169" s="31" t="str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No</v>
      </c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 spans="1:26" ht="13.5" customHeight="1" x14ac:dyDescent="0.3">
      <c r="A1170" s="17" t="s">
        <v>644</v>
      </c>
      <c r="B1170" s="17">
        <f t="shared" si="60"/>
        <v>12</v>
      </c>
      <c r="C1170" s="17">
        <f t="shared" si="26"/>
        <v>51</v>
      </c>
      <c r="D1170" s="17"/>
      <c r="E1170" s="17">
        <f t="shared" si="61"/>
        <v>65919</v>
      </c>
      <c r="F1170" s="17">
        <f t="shared" ca="1" si="1"/>
        <v>2009</v>
      </c>
      <c r="G1170" s="17">
        <f t="shared" ca="1" si="62"/>
        <v>10978</v>
      </c>
      <c r="H1170" s="3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0.08</v>
      </c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 spans="1:26" ht="13.5" customHeight="1" x14ac:dyDescent="0.3">
      <c r="A1171" s="17" t="s">
        <v>644</v>
      </c>
      <c r="B1171" s="17">
        <f t="shared" si="60"/>
        <v>12</v>
      </c>
      <c r="C1171" s="17">
        <f t="shared" si="26"/>
        <v>52</v>
      </c>
      <c r="D1171" s="17"/>
      <c r="E1171" s="17">
        <f t="shared" si="61"/>
        <v>65919</v>
      </c>
      <c r="F1171" s="17">
        <f t="shared" ca="1" si="1"/>
        <v>2009</v>
      </c>
      <c r="G1171" s="17">
        <f t="shared" ca="1" si="62"/>
        <v>10979</v>
      </c>
      <c r="H1171" s="29" t="str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8 Years</v>
      </c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 spans="1:26" ht="13.5" customHeight="1" x14ac:dyDescent="0.3">
      <c r="A1172" s="17" t="s">
        <v>644</v>
      </c>
      <c r="B1172" s="17">
        <f t="shared" si="60"/>
        <v>12</v>
      </c>
      <c r="C1172" s="17">
        <f t="shared" si="26"/>
        <v>53</v>
      </c>
      <c r="D1172" s="17"/>
      <c r="E1172" s="17">
        <f t="shared" si="61"/>
        <v>65919</v>
      </c>
      <c r="F1172" s="17">
        <f t="shared" ca="1" si="1"/>
        <v>2009</v>
      </c>
      <c r="G1172" s="17">
        <f t="shared" ca="1" si="62"/>
        <v>10980</v>
      </c>
      <c r="H1172" s="3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6.1800000000000001E-2</v>
      </c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 spans="1:26" ht="13.5" customHeight="1" x14ac:dyDescent="0.3">
      <c r="A1173" s="17" t="s">
        <v>644</v>
      </c>
      <c r="B1173" s="17">
        <f t="shared" si="60"/>
        <v>12</v>
      </c>
      <c r="C1173" s="17">
        <f t="shared" si="26"/>
        <v>54</v>
      </c>
      <c r="D1173" s="17"/>
      <c r="E1173" s="17">
        <f t="shared" si="61"/>
        <v>65919</v>
      </c>
      <c r="F1173" s="17">
        <f t="shared" ca="1" si="1"/>
        <v>2009</v>
      </c>
      <c r="G1173" s="17">
        <f t="shared" ca="1" si="62"/>
        <v>10981</v>
      </c>
      <c r="H1173" s="3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-0.2298</v>
      </c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 spans="1:26" ht="13.5" customHeight="1" x14ac:dyDescent="0.3">
      <c r="A1174" s="17" t="s">
        <v>644</v>
      </c>
      <c r="B1174" s="17">
        <f t="shared" si="60"/>
        <v>12</v>
      </c>
      <c r="C1174" s="17">
        <f t="shared" si="26"/>
        <v>55</v>
      </c>
      <c r="D1174" s="17"/>
      <c r="E1174" s="17">
        <f t="shared" si="61"/>
        <v>65919</v>
      </c>
      <c r="F1174" s="17">
        <f t="shared" ca="1" si="1"/>
        <v>2009</v>
      </c>
      <c r="G1174" s="17">
        <f t="shared" ca="1" si="62"/>
        <v>10706</v>
      </c>
      <c r="H1174" s="3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5.0671033345547824E-4</v>
      </c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 spans="1:26" ht="13.5" customHeight="1" x14ac:dyDescent="0.3">
      <c r="A1175" s="17" t="s">
        <v>644</v>
      </c>
      <c r="B1175" s="17">
        <f t="shared" si="60"/>
        <v>12</v>
      </c>
      <c r="C1175" s="17">
        <f t="shared" si="26"/>
        <v>56</v>
      </c>
      <c r="D1175" s="17"/>
      <c r="E1175" s="17">
        <f t="shared" si="61"/>
        <v>65919</v>
      </c>
      <c r="F1175" s="17">
        <f t="shared" ca="1" si="1"/>
        <v>2009</v>
      </c>
      <c r="G1175" s="17">
        <f t="shared" ca="1" si="62"/>
        <v>10983</v>
      </c>
      <c r="H1175" s="30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No</v>
      </c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 spans="1:26" ht="13.5" customHeight="1" x14ac:dyDescent="0.3">
      <c r="A1176" s="17" t="s">
        <v>644</v>
      </c>
      <c r="B1176" s="17">
        <f t="shared" si="60"/>
        <v>12</v>
      </c>
      <c r="C1176" s="17">
        <f t="shared" si="26"/>
        <v>57</v>
      </c>
      <c r="D1176" s="17"/>
      <c r="E1176" s="17">
        <f t="shared" si="61"/>
        <v>65919</v>
      </c>
      <c r="F1176" s="17">
        <f t="shared" ca="1" si="1"/>
        <v>2009</v>
      </c>
      <c r="G1176" s="17">
        <f t="shared" ca="1" si="62"/>
        <v>10989</v>
      </c>
      <c r="H1176" s="3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900000000</v>
      </c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 spans="1:26" ht="13.5" customHeight="1" x14ac:dyDescent="0.3">
      <c r="A1177" s="17" t="s">
        <v>644</v>
      </c>
      <c r="B1177" s="17">
        <f t="shared" si="60"/>
        <v>12</v>
      </c>
      <c r="C1177" s="17">
        <f t="shared" si="26"/>
        <v>58</v>
      </c>
      <c r="D1177" s="17"/>
      <c r="E1177" s="17">
        <f t="shared" si="61"/>
        <v>65919</v>
      </c>
      <c r="F1177" s="17">
        <f t="shared" ca="1" si="1"/>
        <v>2009</v>
      </c>
      <c r="G1177" s="17">
        <f t="shared" ca="1" si="62"/>
        <v>10990</v>
      </c>
      <c r="H1177" s="30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759000000</v>
      </c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 spans="1:26" ht="13.5" customHeight="1" x14ac:dyDescent="0.3">
      <c r="A1178" s="17" t="s">
        <v>644</v>
      </c>
      <c r="B1178" s="17">
        <f t="shared" si="60"/>
        <v>12</v>
      </c>
      <c r="C1178" s="17">
        <f t="shared" si="26"/>
        <v>59</v>
      </c>
      <c r="D1178" s="17"/>
      <c r="E1178" s="17">
        <f t="shared" si="61"/>
        <v>65919</v>
      </c>
      <c r="F1178" s="17">
        <f t="shared" ca="1" si="1"/>
        <v>2009</v>
      </c>
      <c r="G1178" s="17">
        <f t="shared" ca="1" si="62"/>
        <v>10991</v>
      </c>
      <c r="H1178" s="3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-142000000</v>
      </c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 spans="1:26" ht="13.5" customHeight="1" x14ac:dyDescent="0.3">
      <c r="A1179" s="17" t="s">
        <v>644</v>
      </c>
      <c r="B1179" s="17">
        <f t="shared" si="60"/>
        <v>12</v>
      </c>
      <c r="C1179" s="17">
        <f t="shared" si="26"/>
        <v>60</v>
      </c>
      <c r="D1179" s="17"/>
      <c r="E1179" s="17">
        <f t="shared" si="61"/>
        <v>65919</v>
      </c>
      <c r="F1179" s="17">
        <f t="shared" ca="1" si="1"/>
        <v>2009</v>
      </c>
      <c r="G1179" s="17">
        <f t="shared" ca="1" si="62"/>
        <v>10992</v>
      </c>
      <c r="H1179" s="3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1.1870000000000001</v>
      </c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 spans="1:26" ht="13.5" customHeight="1" x14ac:dyDescent="0.3">
      <c r="A1180" s="17" t="s">
        <v>644</v>
      </c>
      <c r="B1180" s="17">
        <f t="shared" si="60"/>
        <v>12</v>
      </c>
      <c r="C1180" s="17">
        <f t="shared" si="26"/>
        <v>61</v>
      </c>
      <c r="D1180" s="17"/>
      <c r="E1180" s="17">
        <f t="shared" si="61"/>
        <v>65919</v>
      </c>
      <c r="F1180" s="17">
        <f t="shared" ca="1" si="1"/>
        <v>2009</v>
      </c>
      <c r="G1180" s="17">
        <f t="shared" ca="1" si="62"/>
        <v>10993</v>
      </c>
      <c r="H1180" s="30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67000000</v>
      </c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 spans="1:26" ht="13.5" customHeight="1" x14ac:dyDescent="0.3">
      <c r="A1181" s="17" t="s">
        <v>644</v>
      </c>
      <c r="B1181" s="17">
        <f t="shared" si="60"/>
        <v>12</v>
      </c>
      <c r="C1181" s="17">
        <f t="shared" si="26"/>
        <v>62</v>
      </c>
      <c r="D1181" s="17"/>
      <c r="E1181" s="17">
        <f t="shared" si="61"/>
        <v>65919</v>
      </c>
      <c r="F1181" s="17">
        <f t="shared" ca="1" si="1"/>
        <v>2009</v>
      </c>
      <c r="G1181" s="17">
        <f t="shared" ca="1" si="62"/>
        <v>10801</v>
      </c>
      <c r="H1181" s="30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6200000</v>
      </c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 spans="1:26" ht="13.5" customHeight="1" x14ac:dyDescent="0.3">
      <c r="A1182" s="17" t="s">
        <v>644</v>
      </c>
      <c r="B1182" s="17">
        <f t="shared" si="60"/>
        <v>12</v>
      </c>
      <c r="C1182" s="17">
        <f t="shared" si="26"/>
        <v>63</v>
      </c>
      <c r="D1182" s="17"/>
      <c r="E1182" s="17">
        <f t="shared" si="61"/>
        <v>65919</v>
      </c>
      <c r="F1182" s="17">
        <f t="shared" ca="1" si="1"/>
        <v>2009</v>
      </c>
      <c r="G1182" s="17">
        <f t="shared" ca="1" si="62"/>
        <v>10802</v>
      </c>
      <c r="H1182" s="30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 spans="1:26" ht="13.5" customHeight="1" x14ac:dyDescent="0.3">
      <c r="A1183" s="17" t="s">
        <v>644</v>
      </c>
      <c r="B1183" s="17">
        <f t="shared" si="60"/>
        <v>12</v>
      </c>
      <c r="C1183" s="17">
        <f t="shared" si="26"/>
        <v>64</v>
      </c>
      <c r="D1183" s="17"/>
      <c r="E1183" s="17">
        <f t="shared" si="61"/>
        <v>65919</v>
      </c>
      <c r="F1183" s="17">
        <f t="shared" ca="1" si="1"/>
        <v>2009</v>
      </c>
      <c r="G1183" s="17">
        <f t="shared" ca="1" si="62"/>
        <v>10803</v>
      </c>
      <c r="H1183" s="3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 spans="1:26" ht="13.5" customHeight="1" x14ac:dyDescent="0.3">
      <c r="A1184" s="17" t="s">
        <v>644</v>
      </c>
      <c r="B1184" s="17">
        <f t="shared" si="60"/>
        <v>12</v>
      </c>
      <c r="C1184" s="17">
        <f t="shared" si="26"/>
        <v>65</v>
      </c>
      <c r="D1184" s="17"/>
      <c r="E1184" s="17">
        <f t="shared" si="61"/>
        <v>65919</v>
      </c>
      <c r="F1184" s="17">
        <f t="shared" ca="1" si="1"/>
        <v>2009</v>
      </c>
      <c r="G1184" s="17">
        <f t="shared" ca="1" si="62"/>
        <v>10804</v>
      </c>
      <c r="H1184" s="3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 spans="1:26" ht="13.5" customHeight="1" x14ac:dyDescent="0.3">
      <c r="A1185" s="17" t="s">
        <v>644</v>
      </c>
      <c r="B1185" s="17">
        <f t="shared" si="60"/>
        <v>12</v>
      </c>
      <c r="C1185" s="17">
        <f t="shared" si="26"/>
        <v>66</v>
      </c>
      <c r="D1185" s="17"/>
      <c r="E1185" s="17">
        <f t="shared" si="61"/>
        <v>65919</v>
      </c>
      <c r="F1185" s="17">
        <f t="shared" ca="1" si="1"/>
        <v>2009</v>
      </c>
      <c r="G1185" s="17">
        <f t="shared" ca="1" si="62"/>
        <v>10805</v>
      </c>
      <c r="H1185" s="3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 spans="1:26" ht="13.5" customHeight="1" x14ac:dyDescent="0.3">
      <c r="A1186" s="17" t="s">
        <v>644</v>
      </c>
      <c r="B1186" s="17">
        <f t="shared" si="60"/>
        <v>12</v>
      </c>
      <c r="C1186" s="17">
        <f t="shared" si="26"/>
        <v>67</v>
      </c>
      <c r="D1186" s="17"/>
      <c r="E1186" s="17">
        <f t="shared" si="61"/>
        <v>65919</v>
      </c>
      <c r="F1186" s="17">
        <f t="shared" ca="1" si="1"/>
        <v>2009</v>
      </c>
      <c r="G1186" s="17">
        <f t="shared" ca="1" si="62"/>
        <v>10806</v>
      </c>
      <c r="H1186" s="30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 spans="1:26" ht="13.5" customHeight="1" x14ac:dyDescent="0.3">
      <c r="A1187" s="17" t="s">
        <v>644</v>
      </c>
      <c r="B1187" s="17">
        <f t="shared" ref="B1187:B1212" si="63">B1186</f>
        <v>12</v>
      </c>
      <c r="C1187" s="17">
        <f t="shared" si="26"/>
        <v>68</v>
      </c>
      <c r="D1187" s="17"/>
      <c r="E1187" s="17">
        <f t="shared" si="61"/>
        <v>65919</v>
      </c>
      <c r="F1187" s="17">
        <f t="shared" ca="1" si="1"/>
        <v>2009</v>
      </c>
      <c r="G1187" s="17">
        <f t="shared" ca="1" si="62"/>
        <v>10807</v>
      </c>
      <c r="H1187" s="30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 spans="1:26" ht="13.5" customHeight="1" x14ac:dyDescent="0.3">
      <c r="A1188" s="17" t="s">
        <v>644</v>
      </c>
      <c r="B1188" s="17">
        <f t="shared" si="63"/>
        <v>12</v>
      </c>
      <c r="C1188" s="17">
        <f t="shared" si="26"/>
        <v>69</v>
      </c>
      <c r="D1188" s="17"/>
      <c r="E1188" s="17">
        <f t="shared" si="61"/>
        <v>65919</v>
      </c>
      <c r="F1188" s="17">
        <f t="shared" ca="1" si="1"/>
        <v>2009</v>
      </c>
      <c r="G1188" s="17">
        <f t="shared" ca="1" si="62"/>
        <v>10808</v>
      </c>
      <c r="H1188" s="3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 spans="1:26" ht="13.5" customHeight="1" x14ac:dyDescent="0.3">
      <c r="A1189" s="17" t="s">
        <v>644</v>
      </c>
      <c r="B1189" s="17">
        <f t="shared" si="63"/>
        <v>12</v>
      </c>
      <c r="C1189" s="17">
        <f t="shared" si="26"/>
        <v>70</v>
      </c>
      <c r="D1189" s="17"/>
      <c r="E1189" s="17">
        <f t="shared" si="61"/>
        <v>65919</v>
      </c>
      <c r="F1189" s="17">
        <f t="shared" ca="1" si="1"/>
        <v>2009</v>
      </c>
      <c r="G1189" s="17">
        <f t="shared" ca="1" si="62"/>
        <v>10809</v>
      </c>
      <c r="H1189" s="30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 spans="1:26" ht="13.5" customHeight="1" x14ac:dyDescent="0.3">
      <c r="A1190" s="17" t="s">
        <v>644</v>
      </c>
      <c r="B1190" s="17">
        <f t="shared" si="63"/>
        <v>12</v>
      </c>
      <c r="C1190" s="17">
        <f t="shared" si="26"/>
        <v>71</v>
      </c>
      <c r="D1190" s="17"/>
      <c r="E1190" s="17">
        <f t="shared" si="61"/>
        <v>65919</v>
      </c>
      <c r="F1190" s="17">
        <f t="shared" ca="1" si="1"/>
        <v>2009</v>
      </c>
      <c r="G1190" s="17">
        <f t="shared" ca="1" si="62"/>
        <v>10810</v>
      </c>
      <c r="H1190" s="30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 spans="1:26" ht="13.5" customHeight="1" x14ac:dyDescent="0.3">
      <c r="A1191" s="17" t="s">
        <v>644</v>
      </c>
      <c r="B1191" s="17">
        <f t="shared" si="63"/>
        <v>12</v>
      </c>
      <c r="C1191" s="17">
        <f t="shared" si="26"/>
        <v>72</v>
      </c>
      <c r="D1191" s="17"/>
      <c r="E1191" s="17">
        <f t="shared" si="61"/>
        <v>65919</v>
      </c>
      <c r="F1191" s="17">
        <f t="shared" ca="1" si="1"/>
        <v>2009</v>
      </c>
      <c r="G1191" s="17">
        <f t="shared" ca="1" si="62"/>
        <v>10811</v>
      </c>
      <c r="H1191" s="30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 spans="1:26" ht="13.5" customHeight="1" x14ac:dyDescent="0.3">
      <c r="A1192" s="17" t="s">
        <v>644</v>
      </c>
      <c r="B1192" s="17">
        <f t="shared" si="63"/>
        <v>12</v>
      </c>
      <c r="C1192" s="17">
        <f t="shared" si="26"/>
        <v>73</v>
      </c>
      <c r="D1192" s="17"/>
      <c r="E1192" s="17">
        <f t="shared" si="61"/>
        <v>65919</v>
      </c>
      <c r="F1192" s="17">
        <f t="shared" ca="1" si="1"/>
        <v>2009</v>
      </c>
      <c r="G1192" s="17">
        <f t="shared" ca="1" si="62"/>
        <v>10812</v>
      </c>
      <c r="H1192" s="30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 spans="1:26" ht="13.5" customHeight="1" x14ac:dyDescent="0.3">
      <c r="A1193" s="17" t="s">
        <v>644</v>
      </c>
      <c r="B1193" s="17">
        <f t="shared" si="63"/>
        <v>12</v>
      </c>
      <c r="C1193" s="17">
        <f t="shared" si="26"/>
        <v>74</v>
      </c>
      <c r="D1193" s="17"/>
      <c r="E1193" s="17">
        <f t="shared" si="61"/>
        <v>65919</v>
      </c>
      <c r="F1193" s="17">
        <f t="shared" ca="1" si="1"/>
        <v>2009</v>
      </c>
      <c r="G1193" s="17">
        <f t="shared" ca="1" si="62"/>
        <v>10813</v>
      </c>
      <c r="H1193" s="3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 spans="1:26" ht="13.5" customHeight="1" x14ac:dyDescent="0.3">
      <c r="A1194" s="17" t="s">
        <v>644</v>
      </c>
      <c r="B1194" s="17">
        <f t="shared" si="63"/>
        <v>12</v>
      </c>
      <c r="C1194" s="17">
        <f t="shared" si="26"/>
        <v>75</v>
      </c>
      <c r="D1194" s="17"/>
      <c r="E1194" s="17">
        <f t="shared" si="61"/>
        <v>65919</v>
      </c>
      <c r="F1194" s="17">
        <f t="shared" ca="1" si="1"/>
        <v>2009</v>
      </c>
      <c r="G1194" s="17">
        <f t="shared" ca="1" si="62"/>
        <v>10814</v>
      </c>
      <c r="H1194" s="3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 spans="1:26" ht="13.5" customHeight="1" x14ac:dyDescent="0.3">
      <c r="A1195" s="17" t="s">
        <v>644</v>
      </c>
      <c r="B1195" s="17">
        <f t="shared" si="63"/>
        <v>12</v>
      </c>
      <c r="C1195" s="17">
        <f t="shared" si="26"/>
        <v>76</v>
      </c>
      <c r="D1195" s="17"/>
      <c r="E1195" s="17">
        <f t="shared" si="61"/>
        <v>65919</v>
      </c>
      <c r="F1195" s="17">
        <f t="shared" ca="1" si="1"/>
        <v>2009</v>
      </c>
      <c r="G1195" s="17">
        <f t="shared" ca="1" si="62"/>
        <v>10815</v>
      </c>
      <c r="H1195" s="3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-1200000</v>
      </c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 spans="1:26" ht="13.5" customHeight="1" x14ac:dyDescent="0.3">
      <c r="A1196" s="17" t="s">
        <v>644</v>
      </c>
      <c r="B1196" s="17">
        <f t="shared" si="63"/>
        <v>12</v>
      </c>
      <c r="C1196" s="17">
        <f t="shared" si="26"/>
        <v>77</v>
      </c>
      <c r="D1196" s="17"/>
      <c r="E1196" s="17">
        <f t="shared" si="61"/>
        <v>65919</v>
      </c>
      <c r="F1196" s="17">
        <f t="shared" ca="1" si="1"/>
        <v>2009</v>
      </c>
      <c r="G1196" s="17">
        <f t="shared" ca="1" si="62"/>
        <v>10816</v>
      </c>
      <c r="H1196" s="30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700000</v>
      </c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 spans="1:26" ht="13.5" customHeight="1" x14ac:dyDescent="0.3">
      <c r="A1197" s="17" t="s">
        <v>644</v>
      </c>
      <c r="B1197" s="17">
        <f t="shared" si="63"/>
        <v>12</v>
      </c>
      <c r="C1197" s="17">
        <f t="shared" si="26"/>
        <v>78</v>
      </c>
      <c r="D1197" s="17"/>
      <c r="E1197" s="17">
        <f t="shared" si="61"/>
        <v>65919</v>
      </c>
      <c r="F1197" s="17">
        <f t="shared" ca="1" si="1"/>
        <v>2009</v>
      </c>
      <c r="G1197" s="17">
        <f t="shared" ca="1" si="62"/>
        <v>10817</v>
      </c>
      <c r="H1197" s="30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 spans="1:26" ht="13.5" customHeight="1" x14ac:dyDescent="0.3">
      <c r="A1198" s="17" t="s">
        <v>644</v>
      </c>
      <c r="B1198" s="17">
        <f t="shared" si="63"/>
        <v>12</v>
      </c>
      <c r="C1198" s="17">
        <f t="shared" si="26"/>
        <v>79</v>
      </c>
      <c r="D1198" s="17"/>
      <c r="E1198" s="17">
        <f t="shared" si="61"/>
        <v>65919</v>
      </c>
      <c r="F1198" s="17">
        <f t="shared" ca="1" si="1"/>
        <v>2009</v>
      </c>
      <c r="G1198" s="17">
        <f t="shared" ca="1" si="62"/>
        <v>10818</v>
      </c>
      <c r="H1198" s="30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 spans="1:26" ht="13.5" customHeight="1" x14ac:dyDescent="0.3">
      <c r="A1199" s="17" t="s">
        <v>644</v>
      </c>
      <c r="B1199" s="17">
        <f t="shared" si="63"/>
        <v>12</v>
      </c>
      <c r="C1199" s="17">
        <f t="shared" si="26"/>
        <v>80</v>
      </c>
      <c r="D1199" s="17"/>
      <c r="E1199" s="17">
        <f t="shared" si="61"/>
        <v>65919</v>
      </c>
      <c r="F1199" s="17">
        <f t="shared" ca="1" si="1"/>
        <v>2009</v>
      </c>
      <c r="G1199" s="17">
        <f t="shared" ca="1" si="62"/>
        <v>10819</v>
      </c>
      <c r="H1199" s="30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500000</v>
      </c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 spans="1:26" ht="13.5" customHeight="1" x14ac:dyDescent="0.3">
      <c r="A1200" s="17" t="s">
        <v>644</v>
      </c>
      <c r="B1200" s="17">
        <f t="shared" si="63"/>
        <v>12</v>
      </c>
      <c r="C1200" s="17">
        <f t="shared" si="26"/>
        <v>81</v>
      </c>
      <c r="D1200" s="17"/>
      <c r="E1200" s="17">
        <f t="shared" si="61"/>
        <v>65919</v>
      </c>
      <c r="F1200" s="17">
        <f t="shared" ca="1" si="1"/>
        <v>2009</v>
      </c>
      <c r="G1200" s="17">
        <f t="shared" ca="1" si="62"/>
        <v>10820</v>
      </c>
      <c r="H1200" s="3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 spans="1:26" ht="13.5" customHeight="1" x14ac:dyDescent="0.3">
      <c r="A1201" s="17" t="s">
        <v>644</v>
      </c>
      <c r="B1201" s="17">
        <f t="shared" si="63"/>
        <v>12</v>
      </c>
      <c r="C1201" s="17">
        <f t="shared" si="26"/>
        <v>82</v>
      </c>
      <c r="D1201" s="17"/>
      <c r="E1201" s="17">
        <f t="shared" si="61"/>
        <v>65919</v>
      </c>
      <c r="F1201" s="17">
        <f t="shared" ca="1" si="1"/>
        <v>2009</v>
      </c>
      <c r="G1201" s="17">
        <f t="shared" ca="1" si="62"/>
        <v>10821</v>
      </c>
      <c r="H1201" s="3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 spans="1:26" ht="13.5" customHeight="1" x14ac:dyDescent="0.3">
      <c r="A1202" s="17" t="s">
        <v>644</v>
      </c>
      <c r="B1202" s="17">
        <f t="shared" si="63"/>
        <v>12</v>
      </c>
      <c r="C1202" s="17">
        <f t="shared" si="26"/>
        <v>83</v>
      </c>
      <c r="D1202" s="17"/>
      <c r="E1202" s="17">
        <f t="shared" si="61"/>
        <v>65919</v>
      </c>
      <c r="F1202" s="17">
        <f t="shared" ca="1" si="1"/>
        <v>2009</v>
      </c>
      <c r="G1202" s="17">
        <f t="shared" ca="1" si="62"/>
        <v>10822</v>
      </c>
      <c r="H1202" s="30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 spans="1:26" ht="13.5" customHeight="1" x14ac:dyDescent="0.3">
      <c r="A1203" s="17" t="s">
        <v>644</v>
      </c>
      <c r="B1203" s="17">
        <f t="shared" si="63"/>
        <v>12</v>
      </c>
      <c r="C1203" s="17">
        <f t="shared" si="26"/>
        <v>84</v>
      </c>
      <c r="D1203" s="17"/>
      <c r="E1203" s="17">
        <f t="shared" si="61"/>
        <v>65919</v>
      </c>
      <c r="F1203" s="17">
        <f t="shared" ca="1" si="1"/>
        <v>2009</v>
      </c>
      <c r="G1203" s="17">
        <f t="shared" ca="1" si="62"/>
        <v>10829</v>
      </c>
      <c r="H1203" s="3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 spans="1:26" ht="13.5" customHeight="1" x14ac:dyDescent="0.3">
      <c r="A1204" s="17" t="s">
        <v>644</v>
      </c>
      <c r="B1204" s="17">
        <f t="shared" si="63"/>
        <v>12</v>
      </c>
      <c r="C1204" s="17">
        <f t="shared" si="26"/>
        <v>85</v>
      </c>
      <c r="D1204" s="17"/>
      <c r="E1204" s="17">
        <f t="shared" si="61"/>
        <v>65919</v>
      </c>
      <c r="F1204" s="17">
        <f t="shared" ca="1" si="1"/>
        <v>2009</v>
      </c>
      <c r="G1204" s="17">
        <f t="shared" ca="1" si="62"/>
        <v>10823</v>
      </c>
      <c r="H1204" s="30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6200000</v>
      </c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 spans="1:26" ht="13.5" customHeight="1" x14ac:dyDescent="0.3">
      <c r="A1205" s="17" t="s">
        <v>644</v>
      </c>
      <c r="B1205" s="17">
        <f t="shared" si="63"/>
        <v>12</v>
      </c>
      <c r="C1205" s="17">
        <f t="shared" si="26"/>
        <v>86</v>
      </c>
      <c r="D1205" s="17"/>
      <c r="E1205" s="17">
        <f t="shared" si="61"/>
        <v>65919</v>
      </c>
      <c r="F1205" s="17">
        <f t="shared" ca="1" si="1"/>
        <v>2009</v>
      </c>
      <c r="G1205" s="17">
        <f t="shared" ca="1" si="62"/>
        <v>10798</v>
      </c>
      <c r="H1205" s="30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 spans="1:26" ht="13.5" customHeight="1" x14ac:dyDescent="0.3">
      <c r="A1206" s="17" t="s">
        <v>644</v>
      </c>
      <c r="B1206" s="17">
        <f t="shared" si="63"/>
        <v>12</v>
      </c>
      <c r="C1206" s="17">
        <f t="shared" si="26"/>
        <v>87</v>
      </c>
      <c r="D1206" s="17"/>
      <c r="E1206" s="17">
        <f t="shared" si="61"/>
        <v>65919</v>
      </c>
      <c r="F1206" s="17">
        <f t="shared" ca="1" si="1"/>
        <v>2009</v>
      </c>
      <c r="G1206" s="17">
        <f t="shared" ca="1" si="62"/>
        <v>10799</v>
      </c>
      <c r="H1206" s="30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 spans="1:26" ht="13.5" customHeight="1" x14ac:dyDescent="0.3">
      <c r="A1207" s="17" t="s">
        <v>644</v>
      </c>
      <c r="B1207" s="17">
        <f t="shared" si="63"/>
        <v>12</v>
      </c>
      <c r="C1207" s="17">
        <f t="shared" si="26"/>
        <v>88</v>
      </c>
      <c r="D1207" s="17"/>
      <c r="E1207" s="17">
        <f t="shared" si="61"/>
        <v>65919</v>
      </c>
      <c r="F1207" s="17">
        <f t="shared" ca="1" si="1"/>
        <v>2009</v>
      </c>
      <c r="G1207" s="17">
        <f t="shared" ca="1" si="62"/>
        <v>10800</v>
      </c>
      <c r="H1207" s="3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 spans="1:26" ht="13.5" customHeight="1" x14ac:dyDescent="0.3">
      <c r="A1208" s="17" t="s">
        <v>644</v>
      </c>
      <c r="B1208" s="17">
        <f t="shared" si="63"/>
        <v>12</v>
      </c>
      <c r="C1208" s="17">
        <f t="shared" si="26"/>
        <v>89</v>
      </c>
      <c r="D1208" s="17"/>
      <c r="E1208" s="17">
        <f t="shared" si="61"/>
        <v>65919</v>
      </c>
      <c r="F1208" s="17">
        <f t="shared" ca="1" si="1"/>
        <v>2009</v>
      </c>
      <c r="G1208" s="17">
        <f t="shared" ca="1" si="62"/>
        <v>10824</v>
      </c>
      <c r="H1208" s="30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 spans="1:26" ht="13.5" customHeight="1" x14ac:dyDescent="0.3">
      <c r="A1209" s="17" t="s">
        <v>644</v>
      </c>
      <c r="B1209" s="17">
        <f t="shared" si="63"/>
        <v>12</v>
      </c>
      <c r="C1209" s="17">
        <f t="shared" si="26"/>
        <v>90</v>
      </c>
      <c r="D1209" s="17"/>
      <c r="E1209" s="17">
        <f t="shared" si="61"/>
        <v>65919</v>
      </c>
      <c r="F1209" s="17">
        <f t="shared" ca="1" si="1"/>
        <v>2009</v>
      </c>
      <c r="G1209" s="17">
        <f t="shared" ca="1" si="62"/>
        <v>10825</v>
      </c>
      <c r="H1209" s="3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 spans="1:26" ht="13.5" customHeight="1" x14ac:dyDescent="0.3">
      <c r="A1210" s="17" t="s">
        <v>644</v>
      </c>
      <c r="B1210" s="17">
        <f t="shared" si="63"/>
        <v>12</v>
      </c>
      <c r="C1210" s="17">
        <f t="shared" si="26"/>
        <v>91</v>
      </c>
      <c r="D1210" s="17"/>
      <c r="E1210" s="17">
        <f t="shared" si="61"/>
        <v>65919</v>
      </c>
      <c r="F1210" s="17">
        <f t="shared" ca="1" si="1"/>
        <v>2009</v>
      </c>
      <c r="G1210" s="17">
        <f t="shared" ca="1" si="62"/>
        <v>10826</v>
      </c>
      <c r="H1210" s="30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 spans="1:26" ht="13.5" customHeight="1" x14ac:dyDescent="0.3">
      <c r="A1211" s="17" t="s">
        <v>644</v>
      </c>
      <c r="B1211" s="17">
        <f t="shared" si="63"/>
        <v>12</v>
      </c>
      <c r="C1211" s="17">
        <f t="shared" si="26"/>
        <v>92</v>
      </c>
      <c r="D1211" s="17"/>
      <c r="E1211" s="17">
        <f t="shared" si="61"/>
        <v>65919</v>
      </c>
      <c r="F1211" s="17">
        <f t="shared" ca="1" si="1"/>
        <v>2009</v>
      </c>
      <c r="G1211" s="17">
        <f t="shared" ca="1" si="62"/>
        <v>10828</v>
      </c>
      <c r="H1211" s="3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 spans="1:26" ht="13.5" customHeight="1" x14ac:dyDescent="0.3">
      <c r="A1212" s="17" t="s">
        <v>644</v>
      </c>
      <c r="B1212" s="17">
        <f t="shared" si="63"/>
        <v>12</v>
      </c>
      <c r="C1212" s="17">
        <f t="shared" si="26"/>
        <v>93</v>
      </c>
      <c r="D1212" s="17"/>
      <c r="E1212" s="17">
        <f t="shared" si="61"/>
        <v>65919</v>
      </c>
      <c r="F1212" s="17">
        <f t="shared" ca="1" si="1"/>
        <v>2009</v>
      </c>
      <c r="G1212" s="17">
        <f t="shared" ca="1" si="62"/>
        <v>10827</v>
      </c>
      <c r="H1212" s="2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 spans="1:26" ht="13.5" customHeight="1" x14ac:dyDescent="0.3">
      <c r="A1213" s="17" t="s">
        <v>644</v>
      </c>
      <c r="B1213" s="17">
        <f t="shared" ref="B1213:B1277" si="64">B1148+1</f>
        <v>13</v>
      </c>
      <c r="C1213" s="17">
        <f t="shared" si="26"/>
        <v>3</v>
      </c>
      <c r="D1213" s="17"/>
      <c r="E1213" s="17">
        <f t="shared" si="61"/>
        <v>65919</v>
      </c>
      <c r="F1213" s="17">
        <f t="shared" ca="1" si="1"/>
        <v>2010</v>
      </c>
      <c r="G1213" s="17">
        <f t="shared" ca="1" si="62"/>
        <v>10703</v>
      </c>
      <c r="H1213" s="2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2010</v>
      </c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 spans="1:26" ht="13.5" customHeight="1" x14ac:dyDescent="0.3">
      <c r="A1214" s="17" t="s">
        <v>644</v>
      </c>
      <c r="B1214" s="17">
        <f t="shared" si="64"/>
        <v>13</v>
      </c>
      <c r="C1214" s="17">
        <f t="shared" si="26"/>
        <v>4</v>
      </c>
      <c r="D1214" s="17"/>
      <c r="E1214" s="17">
        <f t="shared" si="61"/>
        <v>65919</v>
      </c>
      <c r="F1214" s="17">
        <f t="shared" ca="1" si="1"/>
        <v>2010</v>
      </c>
      <c r="G1214" s="17">
        <f t="shared" ca="1" si="62"/>
        <v>10845</v>
      </c>
      <c r="H1214" s="2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The Office Of The State Actuary</v>
      </c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 spans="1:26" ht="13.5" customHeight="1" x14ac:dyDescent="0.3">
      <c r="A1215" s="17" t="s">
        <v>644</v>
      </c>
      <c r="B1215" s="17">
        <f t="shared" si="64"/>
        <v>13</v>
      </c>
      <c r="C1215" s="17">
        <f t="shared" si="26"/>
        <v>5</v>
      </c>
      <c r="D1215" s="17"/>
      <c r="E1215" s="17">
        <f t="shared" si="61"/>
        <v>65919</v>
      </c>
      <c r="F1215" s="17">
        <f t="shared" ca="1" si="1"/>
        <v>2010</v>
      </c>
      <c r="G1215" s="17">
        <f t="shared" ca="1" si="62"/>
        <v>10924</v>
      </c>
      <c r="H1215" s="3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0.14100000000000001</v>
      </c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 spans="1:26" ht="13.5" customHeight="1" x14ac:dyDescent="0.3">
      <c r="A1216" s="17" t="s">
        <v>644</v>
      </c>
      <c r="B1216" s="17">
        <f t="shared" si="64"/>
        <v>13</v>
      </c>
      <c r="C1216" s="17">
        <f t="shared" si="26"/>
        <v>6</v>
      </c>
      <c r="D1216" s="17"/>
      <c r="E1216" s="17">
        <f t="shared" si="61"/>
        <v>65919</v>
      </c>
      <c r="F1216" s="17">
        <f t="shared" ca="1" si="1"/>
        <v>2010</v>
      </c>
      <c r="G1216" s="17">
        <f t="shared" ca="1" si="62"/>
        <v>10925</v>
      </c>
      <c r="H1216" s="3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7.7100000000000002E-2</v>
      </c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 spans="1:26" ht="13.5" customHeight="1" x14ac:dyDescent="0.3">
      <c r="A1217" s="17" t="s">
        <v>644</v>
      </c>
      <c r="B1217" s="17">
        <f t="shared" si="64"/>
        <v>13</v>
      </c>
      <c r="C1217" s="17">
        <f t="shared" si="26"/>
        <v>7</v>
      </c>
      <c r="D1217" s="17"/>
      <c r="E1217" s="17">
        <f t="shared" si="61"/>
        <v>65919</v>
      </c>
      <c r="F1217" s="17">
        <f t="shared" ca="1" si="1"/>
        <v>2010</v>
      </c>
      <c r="G1217" s="17">
        <f t="shared" ca="1" si="62"/>
        <v>10926</v>
      </c>
      <c r="H1217" s="3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6.3899999999999998E-2</v>
      </c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 spans="1:26" ht="13.5" customHeight="1" x14ac:dyDescent="0.3">
      <c r="A1218" s="17" t="s">
        <v>644</v>
      </c>
      <c r="B1218" s="17">
        <f t="shared" si="64"/>
        <v>13</v>
      </c>
      <c r="C1218" s="17">
        <f t="shared" si="26"/>
        <v>8</v>
      </c>
      <c r="D1218" s="17"/>
      <c r="E1218" s="17">
        <f t="shared" si="61"/>
        <v>65919</v>
      </c>
      <c r="F1218" s="17">
        <f t="shared" ca="1" si="1"/>
        <v>2010</v>
      </c>
      <c r="G1218" s="17">
        <f t="shared" ca="1" si="62"/>
        <v>10704</v>
      </c>
      <c r="H1218" s="3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</v>
      </c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 spans="1:26" ht="13.5" customHeight="1" x14ac:dyDescent="0.3">
      <c r="A1219" s="17" t="s">
        <v>644</v>
      </c>
      <c r="B1219" s="17">
        <f t="shared" si="64"/>
        <v>13</v>
      </c>
      <c r="C1219" s="17">
        <f t="shared" si="26"/>
        <v>9</v>
      </c>
      <c r="D1219" s="17"/>
      <c r="E1219" s="17">
        <f t="shared" si="61"/>
        <v>65919</v>
      </c>
      <c r="F1219" s="17">
        <f t="shared" ca="1" si="1"/>
        <v>2010</v>
      </c>
      <c r="G1219" s="17">
        <f t="shared" ca="1" si="62"/>
        <v>10928</v>
      </c>
      <c r="H1219" s="31" t="str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N/A</v>
      </c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 spans="1:26" ht="13.5" customHeight="1" x14ac:dyDescent="0.3">
      <c r="A1220" s="17" t="s">
        <v>644</v>
      </c>
      <c r="B1220" s="17">
        <f t="shared" si="64"/>
        <v>13</v>
      </c>
      <c r="C1220" s="17">
        <f t="shared" si="26"/>
        <v>10</v>
      </c>
      <c r="D1220" s="17"/>
      <c r="E1220" s="17">
        <f t="shared" ref="E1220:E1283" si="65">plan_id</f>
        <v>65919</v>
      </c>
      <c r="F1220" s="17">
        <f t="shared" ca="1" si="1"/>
        <v>2010</v>
      </c>
      <c r="G1220" s="17">
        <f t="shared" ref="G1220:G1283" ca="1" si="66">VLOOKUP(INDIRECT(CHAR(39)&amp;$A1220&amp;CHAR(39)&amp;"!r2c"&amp;$C1220,0),variables,2,0)</f>
        <v>10929</v>
      </c>
      <c r="H1220" s="31" t="str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N/A</v>
      </c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 spans="1:26" ht="13.5" customHeight="1" x14ac:dyDescent="0.3">
      <c r="A1221" s="17" t="s">
        <v>644</v>
      </c>
      <c r="B1221" s="17">
        <f t="shared" si="64"/>
        <v>13</v>
      </c>
      <c r="C1221" s="17">
        <f t="shared" si="26"/>
        <v>11</v>
      </c>
      <c r="D1221" s="17"/>
      <c r="E1221" s="17">
        <f t="shared" si="65"/>
        <v>65919</v>
      </c>
      <c r="F1221" s="17">
        <f t="shared" ca="1" si="1"/>
        <v>2010</v>
      </c>
      <c r="G1221" s="17">
        <f t="shared" ca="1" si="66"/>
        <v>10930</v>
      </c>
      <c r="H1221" s="3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 spans="1:26" ht="13.5" customHeight="1" x14ac:dyDescent="0.3">
      <c r="A1222" s="17" t="s">
        <v>644</v>
      </c>
      <c r="B1222" s="17">
        <f t="shared" si="64"/>
        <v>13</v>
      </c>
      <c r="C1222" s="17">
        <f t="shared" si="26"/>
        <v>12</v>
      </c>
      <c r="D1222" s="17"/>
      <c r="E1222" s="17">
        <f t="shared" si="65"/>
        <v>65919</v>
      </c>
      <c r="F1222" s="17">
        <f t="shared" ca="1" si="1"/>
        <v>2010</v>
      </c>
      <c r="G1222" s="17">
        <f t="shared" ca="1" si="66"/>
        <v>10705</v>
      </c>
      <c r="H1222" s="3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4173000</v>
      </c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 spans="1:26" ht="13.5" customHeight="1" x14ac:dyDescent="0.3">
      <c r="A1223" s="17" t="s">
        <v>644</v>
      </c>
      <c r="B1223" s="17">
        <f t="shared" si="64"/>
        <v>13</v>
      </c>
      <c r="C1223" s="17">
        <f t="shared" si="26"/>
        <v>13</v>
      </c>
      <c r="D1223" s="17"/>
      <c r="E1223" s="17">
        <f t="shared" si="65"/>
        <v>65919</v>
      </c>
      <c r="F1223" s="17">
        <f t="shared" ca="1" si="1"/>
        <v>2010</v>
      </c>
      <c r="G1223" s="17">
        <f t="shared" ca="1" si="66"/>
        <v>10842</v>
      </c>
      <c r="H1223" s="3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 spans="1:26" ht="13.5" customHeight="1" x14ac:dyDescent="0.3">
      <c r="A1224" s="17" t="s">
        <v>644</v>
      </c>
      <c r="B1224" s="17">
        <f t="shared" si="64"/>
        <v>13</v>
      </c>
      <c r="C1224" s="17">
        <f t="shared" si="26"/>
        <v>14</v>
      </c>
      <c r="D1224" s="17"/>
      <c r="E1224" s="17">
        <f t="shared" si="65"/>
        <v>65919</v>
      </c>
      <c r="F1224" s="17">
        <f t="shared" ca="1" si="1"/>
        <v>2010</v>
      </c>
      <c r="G1224" s="17">
        <f t="shared" ca="1" si="66"/>
        <v>10843</v>
      </c>
      <c r="H1224" s="3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 spans="1:26" ht="13.5" customHeight="1" x14ac:dyDescent="0.3">
      <c r="A1225" s="17" t="s">
        <v>644</v>
      </c>
      <c r="B1225" s="17">
        <f t="shared" si="64"/>
        <v>13</v>
      </c>
      <c r="C1225" s="17">
        <f t="shared" si="26"/>
        <v>15</v>
      </c>
      <c r="D1225" s="17"/>
      <c r="E1225" s="17">
        <f t="shared" si="65"/>
        <v>65919</v>
      </c>
      <c r="F1225" s="17">
        <f t="shared" ca="1" si="1"/>
        <v>2010</v>
      </c>
      <c r="G1225" s="17">
        <f t="shared" ca="1" si="66"/>
        <v>10931</v>
      </c>
      <c r="H1225" s="3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 spans="1:26" ht="13.5" customHeight="1" x14ac:dyDescent="0.3">
      <c r="A1226" s="17" t="s">
        <v>644</v>
      </c>
      <c r="B1226" s="17">
        <f t="shared" si="64"/>
        <v>13</v>
      </c>
      <c r="C1226" s="17">
        <f t="shared" si="26"/>
        <v>16</v>
      </c>
      <c r="D1226" s="17"/>
      <c r="E1226" s="17">
        <f t="shared" si="65"/>
        <v>65919</v>
      </c>
      <c r="F1226" s="17">
        <f t="shared" ca="1" si="1"/>
        <v>2010</v>
      </c>
      <c r="G1226" s="17">
        <f t="shared" ca="1" si="66"/>
        <v>10932</v>
      </c>
      <c r="H1226" s="3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 spans="1:26" ht="13.5" customHeight="1" x14ac:dyDescent="0.3">
      <c r="A1227" s="17" t="s">
        <v>644</v>
      </c>
      <c r="B1227" s="17">
        <f t="shared" si="64"/>
        <v>13</v>
      </c>
      <c r="C1227" s="17">
        <f t="shared" si="26"/>
        <v>17</v>
      </c>
      <c r="D1227" s="17"/>
      <c r="E1227" s="17">
        <f t="shared" si="65"/>
        <v>65919</v>
      </c>
      <c r="F1227" s="17">
        <f t="shared" ca="1" si="1"/>
        <v>2010</v>
      </c>
      <c r="G1227" s="17">
        <f t="shared" ca="1" si="66"/>
        <v>10933</v>
      </c>
      <c r="H1227" s="3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7.7100000000000002E-2</v>
      </c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 spans="1:26" ht="13.5" customHeight="1" x14ac:dyDescent="0.3">
      <c r="A1228" s="17" t="s">
        <v>644</v>
      </c>
      <c r="B1228" s="17">
        <f t="shared" si="64"/>
        <v>13</v>
      </c>
      <c r="C1228" s="17">
        <f t="shared" si="26"/>
        <v>18</v>
      </c>
      <c r="D1228" s="17"/>
      <c r="E1228" s="17">
        <f t="shared" si="65"/>
        <v>65919</v>
      </c>
      <c r="F1228" s="17">
        <f t="shared" ca="1" si="1"/>
        <v>2010</v>
      </c>
      <c r="G1228" s="17">
        <f t="shared" ca="1" si="66"/>
        <v>10934</v>
      </c>
      <c r="H1228" s="3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6.3899999999999998E-2</v>
      </c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 spans="1:26" ht="13.5" customHeight="1" x14ac:dyDescent="0.3">
      <c r="A1229" s="17" t="s">
        <v>644</v>
      </c>
      <c r="B1229" s="17">
        <f t="shared" si="64"/>
        <v>13</v>
      </c>
      <c r="C1229" s="17">
        <f t="shared" si="26"/>
        <v>19</v>
      </c>
      <c r="D1229" s="17"/>
      <c r="E1229" s="17">
        <f t="shared" si="65"/>
        <v>65919</v>
      </c>
      <c r="F1229" s="17">
        <f t="shared" ca="1" si="1"/>
        <v>2010</v>
      </c>
      <c r="G1229" s="17">
        <f t="shared" ca="1" si="66"/>
        <v>10935</v>
      </c>
      <c r="H1229" s="29" t="str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Single Rate</v>
      </c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 spans="1:26" ht="13.5" customHeight="1" x14ac:dyDescent="0.3">
      <c r="A1230" s="17" t="s">
        <v>644</v>
      </c>
      <c r="B1230" s="17">
        <f t="shared" si="64"/>
        <v>13</v>
      </c>
      <c r="C1230" s="17">
        <f t="shared" si="26"/>
        <v>20</v>
      </c>
      <c r="D1230" s="17"/>
      <c r="E1230" s="17">
        <f t="shared" si="65"/>
        <v>65919</v>
      </c>
      <c r="F1230" s="17">
        <f t="shared" ca="1" si="1"/>
        <v>2010</v>
      </c>
      <c r="G1230" s="17">
        <f t="shared" ca="1" si="66"/>
        <v>10937</v>
      </c>
      <c r="H1230" s="3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 spans="1:26" ht="13.5" customHeight="1" x14ac:dyDescent="0.3">
      <c r="A1231" s="17" t="s">
        <v>644</v>
      </c>
      <c r="B1231" s="17">
        <f t="shared" si="64"/>
        <v>13</v>
      </c>
      <c r="C1231" s="17">
        <f t="shared" si="26"/>
        <v>21</v>
      </c>
      <c r="D1231" s="17"/>
      <c r="E1231" s="17">
        <f t="shared" si="65"/>
        <v>65919</v>
      </c>
      <c r="F1231" s="17">
        <f t="shared" ca="1" si="1"/>
        <v>2010</v>
      </c>
      <c r="G1231" s="17">
        <f t="shared" ca="1" si="66"/>
        <v>10938</v>
      </c>
      <c r="H1231" s="3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 spans="1:26" ht="13.5" customHeight="1" x14ac:dyDescent="0.3">
      <c r="A1232" s="17" t="s">
        <v>644</v>
      </c>
      <c r="B1232" s="17">
        <f t="shared" si="64"/>
        <v>13</v>
      </c>
      <c r="C1232" s="17">
        <f t="shared" si="26"/>
        <v>22</v>
      </c>
      <c r="D1232" s="17"/>
      <c r="E1232" s="17">
        <f t="shared" si="65"/>
        <v>65919</v>
      </c>
      <c r="F1232" s="17">
        <f t="shared" ca="1" si="1"/>
        <v>2010</v>
      </c>
      <c r="G1232" s="17">
        <f t="shared" ca="1" si="66"/>
        <v>11007</v>
      </c>
      <c r="H1232" s="29" t="str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Accrued Benefit Formula= 2% x YOS x AFC (Max= 75% AFC)</v>
      </c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 spans="1:26" ht="13.5" customHeight="1" x14ac:dyDescent="0.3">
      <c r="A1233" s="17" t="s">
        <v>644</v>
      </c>
      <c r="B1233" s="17">
        <f t="shared" si="64"/>
        <v>13</v>
      </c>
      <c r="C1233" s="17">
        <f t="shared" si="26"/>
        <v>23</v>
      </c>
      <c r="D1233" s="17"/>
      <c r="E1233" s="17">
        <f t="shared" si="65"/>
        <v>65919</v>
      </c>
      <c r="F1233" s="17">
        <f t="shared" ca="1" si="1"/>
        <v>2010</v>
      </c>
      <c r="G1233" s="17">
        <f t="shared" ca="1" si="66"/>
        <v>10941</v>
      </c>
      <c r="H1233" s="29" t="str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COLA</v>
      </c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 spans="1:26" ht="13.5" customHeight="1" x14ac:dyDescent="0.3">
      <c r="A1234" s="17" t="s">
        <v>644</v>
      </c>
      <c r="B1234" s="17">
        <f t="shared" si="64"/>
        <v>13</v>
      </c>
      <c r="C1234" s="17">
        <f t="shared" si="26"/>
        <v>24</v>
      </c>
      <c r="D1234" s="17"/>
      <c r="E1234" s="17">
        <f t="shared" si="65"/>
        <v>65919</v>
      </c>
      <c r="F1234" s="17">
        <f t="shared" ca="1" si="1"/>
        <v>2010</v>
      </c>
      <c r="G1234" s="17">
        <f t="shared" ca="1" si="66"/>
        <v>10942</v>
      </c>
      <c r="H1234" s="29" t="str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Percentage</v>
      </c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 spans="1:26" ht="13.5" customHeight="1" x14ac:dyDescent="0.3">
      <c r="A1235" s="17" t="s">
        <v>644</v>
      </c>
      <c r="B1235" s="17">
        <f t="shared" si="64"/>
        <v>13</v>
      </c>
      <c r="C1235" s="17">
        <f t="shared" si="26"/>
        <v>25</v>
      </c>
      <c r="D1235" s="17"/>
      <c r="E1235" s="17">
        <f t="shared" si="65"/>
        <v>65919</v>
      </c>
      <c r="F1235" s="17">
        <f t="shared" ca="1" si="1"/>
        <v>2010</v>
      </c>
      <c r="G1235" s="17">
        <f t="shared" ca="1" si="66"/>
        <v>10701</v>
      </c>
      <c r="H1235" s="3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0.03</v>
      </c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 spans="1:26" ht="13.5" customHeight="1" x14ac:dyDescent="0.3">
      <c r="A1236" s="17" t="s">
        <v>644</v>
      </c>
      <c r="B1236" s="17">
        <f t="shared" si="64"/>
        <v>13</v>
      </c>
      <c r="C1236" s="17">
        <f t="shared" si="26"/>
        <v>26</v>
      </c>
      <c r="D1236" s="17"/>
      <c r="E1236" s="17">
        <f t="shared" si="65"/>
        <v>65919</v>
      </c>
      <c r="F1236" s="17">
        <f t="shared" ca="1" si="1"/>
        <v>2010</v>
      </c>
      <c r="G1236" s="17">
        <f t="shared" ca="1" si="66"/>
        <v>10702</v>
      </c>
      <c r="H1236" s="3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 spans="1:26" ht="13.5" customHeight="1" x14ac:dyDescent="0.3">
      <c r="A1237" s="17" t="s">
        <v>644</v>
      </c>
      <c r="B1237" s="17">
        <f t="shared" si="64"/>
        <v>13</v>
      </c>
      <c r="C1237" s="17">
        <f t="shared" si="26"/>
        <v>27</v>
      </c>
      <c r="D1237" s="17"/>
      <c r="E1237" s="17">
        <f t="shared" si="65"/>
        <v>65919</v>
      </c>
      <c r="F1237" s="17">
        <f t="shared" ca="1" si="1"/>
        <v>2010</v>
      </c>
      <c r="G1237" s="17">
        <f t="shared" ca="1" si="66"/>
        <v>10943</v>
      </c>
      <c r="H1237" s="2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 spans="1:26" ht="13.5" customHeight="1" x14ac:dyDescent="0.3">
      <c r="A1238" s="17" t="s">
        <v>644</v>
      </c>
      <c r="B1238" s="17">
        <f t="shared" si="64"/>
        <v>13</v>
      </c>
      <c r="C1238" s="17">
        <f t="shared" si="26"/>
        <v>28</v>
      </c>
      <c r="D1238" s="17"/>
      <c r="E1238" s="17">
        <f t="shared" si="65"/>
        <v>65919</v>
      </c>
      <c r="F1238" s="17">
        <f t="shared" ca="1" si="1"/>
        <v>2010</v>
      </c>
      <c r="G1238" s="17">
        <f t="shared" ca="1" si="66"/>
        <v>10944</v>
      </c>
      <c r="H1238" s="31" t="str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No</v>
      </c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 spans="1:26" ht="13.5" customHeight="1" x14ac:dyDescent="0.3">
      <c r="A1239" s="17" t="s">
        <v>644</v>
      </c>
      <c r="B1239" s="17">
        <f t="shared" si="64"/>
        <v>13</v>
      </c>
      <c r="C1239" s="17">
        <f t="shared" si="26"/>
        <v>29</v>
      </c>
      <c r="D1239" s="17"/>
      <c r="E1239" s="17">
        <f t="shared" si="65"/>
        <v>65919</v>
      </c>
      <c r="F1239" s="17">
        <f t="shared" ca="1" si="1"/>
        <v>2010</v>
      </c>
      <c r="G1239" s="17">
        <f t="shared" ca="1" si="66"/>
        <v>10945</v>
      </c>
      <c r="H1239" s="31" t="str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No</v>
      </c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 spans="1:26" ht="13.5" customHeight="1" x14ac:dyDescent="0.3">
      <c r="A1240" s="17" t="s">
        <v>644</v>
      </c>
      <c r="B1240" s="17">
        <f t="shared" si="64"/>
        <v>13</v>
      </c>
      <c r="C1240" s="17">
        <f t="shared" si="26"/>
        <v>30</v>
      </c>
      <c r="D1240" s="17"/>
      <c r="E1240" s="17">
        <f t="shared" si="65"/>
        <v>65919</v>
      </c>
      <c r="F1240" s="17">
        <f t="shared" ca="1" si="1"/>
        <v>2010</v>
      </c>
      <c r="G1240" s="17">
        <f t="shared" ca="1" si="66"/>
        <v>10947</v>
      </c>
      <c r="H1240" s="2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 spans="1:26" ht="13.5" customHeight="1" x14ac:dyDescent="0.3">
      <c r="A1241" s="17" t="s">
        <v>644</v>
      </c>
      <c r="B1241" s="17">
        <f t="shared" si="64"/>
        <v>13</v>
      </c>
      <c r="C1241" s="17">
        <f t="shared" si="26"/>
        <v>31</v>
      </c>
      <c r="D1241" s="17"/>
      <c r="E1241" s="17">
        <f t="shared" si="65"/>
        <v>65919</v>
      </c>
      <c r="F1241" s="17">
        <f t="shared" ca="1" si="1"/>
        <v>2010</v>
      </c>
      <c r="G1241" s="17">
        <f t="shared" ca="1" si="66"/>
        <v>10948</v>
      </c>
      <c r="H1241" s="31" t="str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No</v>
      </c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 spans="1:26" ht="13.5" customHeight="1" x14ac:dyDescent="0.3">
      <c r="A1242" s="17" t="s">
        <v>644</v>
      </c>
      <c r="B1242" s="17">
        <f t="shared" si="64"/>
        <v>13</v>
      </c>
      <c r="C1242" s="17">
        <f t="shared" si="26"/>
        <v>32</v>
      </c>
      <c r="D1242" s="17"/>
      <c r="E1242" s="17">
        <f t="shared" si="65"/>
        <v>65919</v>
      </c>
      <c r="F1242" s="17">
        <f t="shared" ca="1" si="1"/>
        <v>2010</v>
      </c>
      <c r="G1242" s="17">
        <f t="shared" ca="1" si="66"/>
        <v>10949</v>
      </c>
      <c r="H1242" s="31" t="str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No</v>
      </c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 spans="1:26" ht="13.5" customHeight="1" x14ac:dyDescent="0.3">
      <c r="A1243" s="17" t="s">
        <v>644</v>
      </c>
      <c r="B1243" s="17">
        <f t="shared" si="64"/>
        <v>13</v>
      </c>
      <c r="C1243" s="17">
        <f t="shared" si="26"/>
        <v>33</v>
      </c>
      <c r="D1243" s="17"/>
      <c r="E1243" s="17">
        <f t="shared" si="65"/>
        <v>65919</v>
      </c>
      <c r="F1243" s="17">
        <f t="shared" ca="1" si="1"/>
        <v>2010</v>
      </c>
      <c r="G1243" s="17">
        <f t="shared" ca="1" si="66"/>
        <v>10951</v>
      </c>
      <c r="H1243" s="31" t="str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No</v>
      </c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 spans="1:26" ht="13.5" customHeight="1" x14ac:dyDescent="0.3">
      <c r="A1244" s="17" t="s">
        <v>644</v>
      </c>
      <c r="B1244" s="17">
        <f t="shared" si="64"/>
        <v>13</v>
      </c>
      <c r="C1244" s="17">
        <f t="shared" si="26"/>
        <v>34</v>
      </c>
      <c r="D1244" s="17"/>
      <c r="E1244" s="17">
        <f t="shared" si="65"/>
        <v>65919</v>
      </c>
      <c r="F1244" s="17">
        <f t="shared" ca="1" si="1"/>
        <v>2010</v>
      </c>
      <c r="G1244" s="17">
        <f t="shared" ca="1" si="66"/>
        <v>10950</v>
      </c>
      <c r="H1244" s="31" t="str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No</v>
      </c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 spans="1:26" ht="13.5" customHeight="1" x14ac:dyDescent="0.3">
      <c r="A1245" s="17" t="s">
        <v>644</v>
      </c>
      <c r="B1245" s="17">
        <f t="shared" si="64"/>
        <v>13</v>
      </c>
      <c r="C1245" s="17">
        <f t="shared" si="26"/>
        <v>35</v>
      </c>
      <c r="D1245" s="17"/>
      <c r="E1245" s="17">
        <f t="shared" si="65"/>
        <v>65919</v>
      </c>
      <c r="F1245" s="17">
        <f t="shared" ca="1" si="1"/>
        <v>2010</v>
      </c>
      <c r="G1245" s="17">
        <f t="shared" ca="1" si="66"/>
        <v>10954</v>
      </c>
      <c r="H1245" s="3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3.5000000000000003E-2</v>
      </c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 spans="1:26" ht="13.5" customHeight="1" x14ac:dyDescent="0.3">
      <c r="A1246" s="17" t="s">
        <v>644</v>
      </c>
      <c r="B1246" s="17">
        <f t="shared" si="64"/>
        <v>13</v>
      </c>
      <c r="C1246" s="17">
        <f t="shared" si="26"/>
        <v>36</v>
      </c>
      <c r="D1246" s="17"/>
      <c r="E1246" s="17">
        <f t="shared" si="65"/>
        <v>65919</v>
      </c>
      <c r="F1246" s="17">
        <f t="shared" ca="1" si="1"/>
        <v>2010</v>
      </c>
      <c r="G1246" s="17">
        <f t="shared" ca="1" si="66"/>
        <v>10955</v>
      </c>
      <c r="H1246" s="3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0.08</v>
      </c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 spans="1:26" ht="13.5" customHeight="1" x14ac:dyDescent="0.3">
      <c r="A1247" s="17" t="s">
        <v>644</v>
      </c>
      <c r="B1247" s="17">
        <f t="shared" si="64"/>
        <v>13</v>
      </c>
      <c r="C1247" s="17">
        <f t="shared" si="26"/>
        <v>37</v>
      </c>
      <c r="D1247" s="17"/>
      <c r="E1247" s="17">
        <f t="shared" si="65"/>
        <v>65919</v>
      </c>
      <c r="F1247" s="17">
        <f t="shared" ca="1" si="1"/>
        <v>2010</v>
      </c>
      <c r="G1247" s="17">
        <f t="shared" ca="1" si="66"/>
        <v>10956</v>
      </c>
      <c r="H1247" s="3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5.0000000000000001E-4</v>
      </c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 spans="1:26" ht="13.5" customHeight="1" x14ac:dyDescent="0.3">
      <c r="A1248" s="17" t="s">
        <v>644</v>
      </c>
      <c r="B1248" s="17">
        <f t="shared" si="64"/>
        <v>13</v>
      </c>
      <c r="C1248" s="17">
        <f t="shared" si="26"/>
        <v>38</v>
      </c>
      <c r="D1248" s="17"/>
      <c r="E1248" s="17">
        <f t="shared" si="65"/>
        <v>65919</v>
      </c>
      <c r="F1248" s="17">
        <f t="shared" ca="1" si="1"/>
        <v>2010</v>
      </c>
      <c r="G1248" s="17">
        <f t="shared" ca="1" si="66"/>
        <v>10959</v>
      </c>
      <c r="H1248" s="3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0.04</v>
      </c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 spans="1:26" ht="13.5" customHeight="1" x14ac:dyDescent="0.3">
      <c r="A1249" s="17" t="s">
        <v>644</v>
      </c>
      <c r="B1249" s="17">
        <f t="shared" si="64"/>
        <v>13</v>
      </c>
      <c r="C1249" s="17">
        <f t="shared" si="26"/>
        <v>39</v>
      </c>
      <c r="D1249" s="17"/>
      <c r="E1249" s="17">
        <f t="shared" si="65"/>
        <v>65919</v>
      </c>
      <c r="F1249" s="17">
        <f t="shared" ca="1" si="1"/>
        <v>2010</v>
      </c>
      <c r="G1249" s="17">
        <f t="shared" ca="1" si="66"/>
        <v>10962</v>
      </c>
      <c r="H1249" s="29" t="str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Pg.no.80</v>
      </c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 spans="1:26" ht="13.5" customHeight="1" x14ac:dyDescent="0.3">
      <c r="A1250" s="17" t="s">
        <v>644</v>
      </c>
      <c r="B1250" s="17">
        <f t="shared" si="64"/>
        <v>13</v>
      </c>
      <c r="C1250" s="17">
        <f t="shared" si="26"/>
        <v>40</v>
      </c>
      <c r="D1250" s="17"/>
      <c r="E1250" s="17">
        <f t="shared" si="65"/>
        <v>65919</v>
      </c>
      <c r="F1250" s="17">
        <f t="shared" ca="1" si="1"/>
        <v>2010</v>
      </c>
      <c r="G1250" s="17">
        <f t="shared" ca="1" si="66"/>
        <v>10964</v>
      </c>
      <c r="H1250" s="29" t="str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Pg.no.64</v>
      </c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 spans="1:26" ht="13.5" customHeight="1" x14ac:dyDescent="0.3">
      <c r="A1251" s="17" t="s">
        <v>644</v>
      </c>
      <c r="B1251" s="17">
        <f t="shared" si="64"/>
        <v>13</v>
      </c>
      <c r="C1251" s="17">
        <f t="shared" si="26"/>
        <v>41</v>
      </c>
      <c r="D1251" s="17"/>
      <c r="E1251" s="17">
        <f t="shared" si="65"/>
        <v>65919</v>
      </c>
      <c r="F1251" s="17">
        <f t="shared" ca="1" si="1"/>
        <v>2010</v>
      </c>
      <c r="G1251" s="17">
        <f t="shared" ca="1" si="66"/>
        <v>10967</v>
      </c>
      <c r="H1251" s="29" t="str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RP-2000 Combined healthy table</v>
      </c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 spans="1:26" ht="13.5" customHeight="1" x14ac:dyDescent="0.3">
      <c r="A1252" s="17" t="s">
        <v>644</v>
      </c>
      <c r="B1252" s="17">
        <f t="shared" si="64"/>
        <v>13</v>
      </c>
      <c r="C1252" s="17">
        <f t="shared" si="26"/>
        <v>42</v>
      </c>
      <c r="D1252" s="17"/>
      <c r="E1252" s="17">
        <f t="shared" si="65"/>
        <v>65919</v>
      </c>
      <c r="F1252" s="17">
        <f t="shared" ca="1" si="1"/>
        <v>2010</v>
      </c>
      <c r="G1252" s="17">
        <f t="shared" ca="1" si="66"/>
        <v>10968</v>
      </c>
      <c r="H1252" s="2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2000</v>
      </c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 spans="1:26" ht="13.5" customHeight="1" x14ac:dyDescent="0.3">
      <c r="A1253" s="17" t="s">
        <v>644</v>
      </c>
      <c r="B1253" s="17">
        <f t="shared" si="64"/>
        <v>13</v>
      </c>
      <c r="C1253" s="17">
        <f t="shared" si="26"/>
        <v>43</v>
      </c>
      <c r="D1253" s="17"/>
      <c r="E1253" s="17">
        <f t="shared" si="65"/>
        <v>65919</v>
      </c>
      <c r="F1253" s="17">
        <f t="shared" ca="1" si="1"/>
        <v>2010</v>
      </c>
      <c r="G1253" s="17">
        <f t="shared" ca="1" si="66"/>
        <v>10969</v>
      </c>
      <c r="H1253" s="2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Scale AA</v>
      </c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 spans="1:26" ht="13.5" customHeight="1" x14ac:dyDescent="0.3">
      <c r="A1254" s="17" t="s">
        <v>644</v>
      </c>
      <c r="B1254" s="17">
        <f t="shared" si="64"/>
        <v>13</v>
      </c>
      <c r="C1254" s="17">
        <f t="shared" si="26"/>
        <v>44</v>
      </c>
      <c r="D1254" s="17"/>
      <c r="E1254" s="17">
        <f t="shared" si="65"/>
        <v>65919</v>
      </c>
      <c r="F1254" s="17">
        <f t="shared" ca="1" si="1"/>
        <v>2010</v>
      </c>
      <c r="G1254" s="17">
        <f t="shared" ca="1" si="66"/>
        <v>10970</v>
      </c>
      <c r="H1254" s="29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Male: 1 Year</v>
      </c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 spans="1:26" ht="13.5" customHeight="1" x14ac:dyDescent="0.3">
      <c r="A1255" s="17" t="s">
        <v>644</v>
      </c>
      <c r="B1255" s="17">
        <f t="shared" si="64"/>
        <v>13</v>
      </c>
      <c r="C1255" s="17">
        <f t="shared" si="26"/>
        <v>45</v>
      </c>
      <c r="D1255" s="17"/>
      <c r="E1255" s="17">
        <f t="shared" si="65"/>
        <v>65919</v>
      </c>
      <c r="F1255" s="17">
        <f t="shared" ca="1" si="1"/>
        <v>2010</v>
      </c>
      <c r="G1255" s="17">
        <f t="shared" ca="1" si="66"/>
        <v>10971</v>
      </c>
      <c r="H1255" s="29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Female: 1 Year</v>
      </c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 spans="1:26" ht="13.5" customHeight="1" x14ac:dyDescent="0.3">
      <c r="A1256" s="17" t="s">
        <v>644</v>
      </c>
      <c r="B1256" s="17">
        <f t="shared" si="64"/>
        <v>13</v>
      </c>
      <c r="C1256" s="17">
        <f t="shared" si="26"/>
        <v>46</v>
      </c>
      <c r="D1256" s="17"/>
      <c r="E1256" s="17">
        <f t="shared" si="65"/>
        <v>65919</v>
      </c>
      <c r="F1256" s="17">
        <f t="shared" ca="1" si="1"/>
        <v>2010</v>
      </c>
      <c r="G1256" s="17">
        <f t="shared" ca="1" si="66"/>
        <v>10972</v>
      </c>
      <c r="H1256" s="29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N/A</v>
      </c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 spans="1:26" ht="13.5" customHeight="1" x14ac:dyDescent="0.3">
      <c r="A1257" s="17" t="s">
        <v>644</v>
      </c>
      <c r="B1257" s="17">
        <f t="shared" si="64"/>
        <v>13</v>
      </c>
      <c r="C1257" s="17">
        <f t="shared" si="26"/>
        <v>47</v>
      </c>
      <c r="D1257" s="17"/>
      <c r="E1257" s="17">
        <f t="shared" si="65"/>
        <v>65919</v>
      </c>
      <c r="F1257" s="17">
        <f t="shared" ca="1" si="1"/>
        <v>2010</v>
      </c>
      <c r="G1257" s="17">
        <f t="shared" ca="1" si="66"/>
        <v>10973</v>
      </c>
      <c r="H1257" s="29" t="str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N/A</v>
      </c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 spans="1:26" ht="13.5" customHeight="1" x14ac:dyDescent="0.3">
      <c r="A1258" s="17" t="s">
        <v>644</v>
      </c>
      <c r="B1258" s="17">
        <f t="shared" si="64"/>
        <v>13</v>
      </c>
      <c r="C1258" s="17">
        <f t="shared" si="26"/>
        <v>48</v>
      </c>
      <c r="D1258" s="17"/>
      <c r="E1258" s="17">
        <f t="shared" si="65"/>
        <v>65919</v>
      </c>
      <c r="F1258" s="17">
        <f t="shared" ca="1" si="1"/>
        <v>2010</v>
      </c>
      <c r="G1258" s="17">
        <f t="shared" ca="1" si="66"/>
        <v>10975</v>
      </c>
      <c r="H1258" s="29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 xml:space="preserve">Aggregate   </v>
      </c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 spans="1:26" ht="13.5" customHeight="1" x14ac:dyDescent="0.3">
      <c r="A1259" s="17" t="s">
        <v>644</v>
      </c>
      <c r="B1259" s="17">
        <f t="shared" si="64"/>
        <v>13</v>
      </c>
      <c r="C1259" s="17">
        <f t="shared" si="26"/>
        <v>49</v>
      </c>
      <c r="D1259" s="17"/>
      <c r="E1259" s="17">
        <f t="shared" si="65"/>
        <v>65919</v>
      </c>
      <c r="F1259" s="17">
        <f t="shared" ca="1" si="1"/>
        <v>2010</v>
      </c>
      <c r="G1259" s="17">
        <f t="shared" ca="1" si="66"/>
        <v>10976</v>
      </c>
      <c r="H1259" s="3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0.08</v>
      </c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 spans="1:26" ht="13.5" customHeight="1" x14ac:dyDescent="0.3">
      <c r="A1260" s="17" t="s">
        <v>644</v>
      </c>
      <c r="B1260" s="17">
        <f t="shared" si="64"/>
        <v>13</v>
      </c>
      <c r="C1260" s="17">
        <f t="shared" si="26"/>
        <v>50</v>
      </c>
      <c r="D1260" s="17"/>
      <c r="E1260" s="17">
        <f t="shared" si="65"/>
        <v>65919</v>
      </c>
      <c r="F1260" s="17">
        <f t="shared" ca="1" si="1"/>
        <v>2010</v>
      </c>
      <c r="G1260" s="17">
        <f t="shared" ca="1" si="66"/>
        <v>10977</v>
      </c>
      <c r="H1260" s="31" t="str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No</v>
      </c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 spans="1:26" ht="13.5" customHeight="1" x14ac:dyDescent="0.3">
      <c r="A1261" s="17" t="s">
        <v>644</v>
      </c>
      <c r="B1261" s="17">
        <f t="shared" si="64"/>
        <v>13</v>
      </c>
      <c r="C1261" s="17">
        <f t="shared" si="26"/>
        <v>51</v>
      </c>
      <c r="D1261" s="17"/>
      <c r="E1261" s="17">
        <f t="shared" si="65"/>
        <v>65919</v>
      </c>
      <c r="F1261" s="17">
        <f t="shared" ca="1" si="1"/>
        <v>2010</v>
      </c>
      <c r="G1261" s="17">
        <f t="shared" ca="1" si="66"/>
        <v>10978</v>
      </c>
      <c r="H1261" s="3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0.08</v>
      </c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 spans="1:26" ht="13.5" customHeight="1" x14ac:dyDescent="0.3">
      <c r="A1262" s="17" t="s">
        <v>644</v>
      </c>
      <c r="B1262" s="17">
        <f t="shared" si="64"/>
        <v>13</v>
      </c>
      <c r="C1262" s="17">
        <f t="shared" si="26"/>
        <v>52</v>
      </c>
      <c r="D1262" s="17"/>
      <c r="E1262" s="17">
        <f t="shared" si="65"/>
        <v>65919</v>
      </c>
      <c r="F1262" s="17">
        <f t="shared" ca="1" si="1"/>
        <v>2010</v>
      </c>
      <c r="G1262" s="17">
        <f t="shared" ca="1" si="66"/>
        <v>10979</v>
      </c>
      <c r="H1262" s="29" t="str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8 Years</v>
      </c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 spans="1:26" ht="13.5" customHeight="1" x14ac:dyDescent="0.3">
      <c r="A1263" s="17" t="s">
        <v>644</v>
      </c>
      <c r="B1263" s="17">
        <f t="shared" si="64"/>
        <v>13</v>
      </c>
      <c r="C1263" s="17">
        <f t="shared" si="26"/>
        <v>53</v>
      </c>
      <c r="D1263" s="17"/>
      <c r="E1263" s="17">
        <f t="shared" si="65"/>
        <v>65919</v>
      </c>
      <c r="F1263" s="17">
        <f t="shared" ca="1" si="1"/>
        <v>2010</v>
      </c>
      <c r="G1263" s="17">
        <f t="shared" ca="1" si="66"/>
        <v>10980</v>
      </c>
      <c r="H1263" s="3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5.0700000000000002E-2</v>
      </c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 spans="1:26" ht="13.5" customHeight="1" x14ac:dyDescent="0.3">
      <c r="A1264" s="17" t="s">
        <v>644</v>
      </c>
      <c r="B1264" s="17">
        <f t="shared" si="64"/>
        <v>13</v>
      </c>
      <c r="C1264" s="17">
        <f t="shared" si="26"/>
        <v>54</v>
      </c>
      <c r="D1264" s="17"/>
      <c r="E1264" s="17">
        <f t="shared" si="65"/>
        <v>65919</v>
      </c>
      <c r="F1264" s="17">
        <f t="shared" ca="1" si="1"/>
        <v>2010</v>
      </c>
      <c r="G1264" s="17">
        <f t="shared" ca="1" si="66"/>
        <v>10981</v>
      </c>
      <c r="H1264" s="3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0.13389999999999999</v>
      </c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 spans="1:26" ht="13.5" customHeight="1" x14ac:dyDescent="0.3">
      <c r="A1265" s="17" t="s">
        <v>644</v>
      </c>
      <c r="B1265" s="17">
        <f t="shared" si="64"/>
        <v>13</v>
      </c>
      <c r="C1265" s="17">
        <f t="shared" si="26"/>
        <v>55</v>
      </c>
      <c r="D1265" s="17"/>
      <c r="E1265" s="17">
        <f t="shared" si="65"/>
        <v>65919</v>
      </c>
      <c r="F1265" s="17">
        <f t="shared" ca="1" si="1"/>
        <v>2010</v>
      </c>
      <c r="G1265" s="17">
        <f t="shared" ca="1" si="66"/>
        <v>10706</v>
      </c>
      <c r="H1265" s="3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4.7632071039831664E-4</v>
      </c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 spans="1:26" ht="13.5" customHeight="1" x14ac:dyDescent="0.3">
      <c r="A1266" s="17" t="s">
        <v>644</v>
      </c>
      <c r="B1266" s="17">
        <f t="shared" si="64"/>
        <v>13</v>
      </c>
      <c r="C1266" s="17">
        <f t="shared" si="26"/>
        <v>56</v>
      </c>
      <c r="D1266" s="17"/>
      <c r="E1266" s="17">
        <f t="shared" si="65"/>
        <v>65919</v>
      </c>
      <c r="F1266" s="17">
        <f t="shared" ca="1" si="1"/>
        <v>2010</v>
      </c>
      <c r="G1266" s="17">
        <f t="shared" ca="1" si="66"/>
        <v>10983</v>
      </c>
      <c r="H1266" s="30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No</v>
      </c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 spans="1:26" ht="13.5" customHeight="1" x14ac:dyDescent="0.3">
      <c r="A1267" s="17" t="s">
        <v>644</v>
      </c>
      <c r="B1267" s="17">
        <f t="shared" si="64"/>
        <v>13</v>
      </c>
      <c r="C1267" s="17">
        <f t="shared" si="26"/>
        <v>57</v>
      </c>
      <c r="D1267" s="17"/>
      <c r="E1267" s="17">
        <f t="shared" si="65"/>
        <v>65919</v>
      </c>
      <c r="F1267" s="17">
        <f t="shared" ca="1" si="1"/>
        <v>2010</v>
      </c>
      <c r="G1267" s="17">
        <f t="shared" ca="1" si="66"/>
        <v>10989</v>
      </c>
      <c r="H1267" s="3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920000000</v>
      </c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 spans="1:26" ht="13.5" customHeight="1" x14ac:dyDescent="0.3">
      <c r="A1268" s="17" t="s">
        <v>644</v>
      </c>
      <c r="B1268" s="17">
        <f t="shared" si="64"/>
        <v>13</v>
      </c>
      <c r="C1268" s="17">
        <f t="shared" si="26"/>
        <v>58</v>
      </c>
      <c r="D1268" s="17"/>
      <c r="E1268" s="17">
        <f t="shared" si="65"/>
        <v>65919</v>
      </c>
      <c r="F1268" s="17">
        <f t="shared" ca="1" si="1"/>
        <v>2010</v>
      </c>
      <c r="G1268" s="17">
        <f t="shared" ca="1" si="66"/>
        <v>10990</v>
      </c>
      <c r="H1268" s="30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782000000</v>
      </c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 spans="1:26" ht="13.5" customHeight="1" x14ac:dyDescent="0.3">
      <c r="A1269" s="17" t="s">
        <v>644</v>
      </c>
      <c r="B1269" s="17">
        <f t="shared" si="64"/>
        <v>13</v>
      </c>
      <c r="C1269" s="17">
        <f t="shared" si="26"/>
        <v>59</v>
      </c>
      <c r="D1269" s="17"/>
      <c r="E1269" s="17">
        <f t="shared" si="65"/>
        <v>65919</v>
      </c>
      <c r="F1269" s="17">
        <f t="shared" ca="1" si="1"/>
        <v>2010</v>
      </c>
      <c r="G1269" s="17">
        <f t="shared" ca="1" si="66"/>
        <v>10991</v>
      </c>
      <c r="H1269" s="3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-137000000</v>
      </c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 spans="1:26" ht="13.5" customHeight="1" x14ac:dyDescent="0.3">
      <c r="A1270" s="17" t="s">
        <v>644</v>
      </c>
      <c r="B1270" s="17">
        <f t="shared" si="64"/>
        <v>13</v>
      </c>
      <c r="C1270" s="17">
        <f t="shared" si="26"/>
        <v>60</v>
      </c>
      <c r="D1270" s="17"/>
      <c r="E1270" s="17">
        <f t="shared" si="65"/>
        <v>65919</v>
      </c>
      <c r="F1270" s="17">
        <f t="shared" ca="1" si="1"/>
        <v>2010</v>
      </c>
      <c r="G1270" s="17">
        <f t="shared" ca="1" si="66"/>
        <v>10992</v>
      </c>
      <c r="H1270" s="3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1.175</v>
      </c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 spans="1:26" ht="13.5" customHeight="1" x14ac:dyDescent="0.3">
      <c r="A1271" s="17" t="s">
        <v>644</v>
      </c>
      <c r="B1271" s="17">
        <f t="shared" si="64"/>
        <v>13</v>
      </c>
      <c r="C1271" s="17">
        <f t="shared" si="26"/>
        <v>61</v>
      </c>
      <c r="D1271" s="17"/>
      <c r="E1271" s="17">
        <f t="shared" si="65"/>
        <v>65919</v>
      </c>
      <c r="F1271" s="17">
        <f t="shared" ca="1" si="1"/>
        <v>2010</v>
      </c>
      <c r="G1271" s="17">
        <f t="shared" ca="1" si="66"/>
        <v>10993</v>
      </c>
      <c r="H1271" s="30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65000000</v>
      </c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 spans="1:26" ht="13.5" customHeight="1" x14ac:dyDescent="0.3">
      <c r="A1272" s="17" t="s">
        <v>644</v>
      </c>
      <c r="B1272" s="17">
        <f t="shared" si="64"/>
        <v>13</v>
      </c>
      <c r="C1272" s="17">
        <f t="shared" si="26"/>
        <v>62</v>
      </c>
      <c r="D1272" s="17"/>
      <c r="E1272" s="17">
        <f t="shared" si="65"/>
        <v>65919</v>
      </c>
      <c r="F1272" s="17">
        <f t="shared" ca="1" si="1"/>
        <v>2010</v>
      </c>
      <c r="G1272" s="17">
        <f t="shared" ca="1" si="66"/>
        <v>10801</v>
      </c>
      <c r="H1272" s="30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20500000</v>
      </c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 spans="1:26" ht="13.5" customHeight="1" x14ac:dyDescent="0.3">
      <c r="A1273" s="17" t="s">
        <v>644</v>
      </c>
      <c r="B1273" s="17">
        <f t="shared" si="64"/>
        <v>13</v>
      </c>
      <c r="C1273" s="17">
        <f t="shared" si="26"/>
        <v>63</v>
      </c>
      <c r="D1273" s="17"/>
      <c r="E1273" s="17">
        <f t="shared" si="65"/>
        <v>65919</v>
      </c>
      <c r="F1273" s="17">
        <f t="shared" ca="1" si="1"/>
        <v>2010</v>
      </c>
      <c r="G1273" s="17">
        <f t="shared" ca="1" si="66"/>
        <v>10802</v>
      </c>
      <c r="H1273" s="30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 spans="1:26" ht="13.5" customHeight="1" x14ac:dyDescent="0.3">
      <c r="A1274" s="17" t="s">
        <v>644</v>
      </c>
      <c r="B1274" s="17">
        <f t="shared" si="64"/>
        <v>13</v>
      </c>
      <c r="C1274" s="17">
        <f t="shared" si="26"/>
        <v>64</v>
      </c>
      <c r="D1274" s="17"/>
      <c r="E1274" s="17">
        <f t="shared" si="65"/>
        <v>65919</v>
      </c>
      <c r="F1274" s="17">
        <f t="shared" ca="1" si="1"/>
        <v>2010</v>
      </c>
      <c r="G1274" s="17">
        <f t="shared" ca="1" si="66"/>
        <v>10803</v>
      </c>
      <c r="H1274" s="3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 spans="1:26" ht="13.5" customHeight="1" x14ac:dyDescent="0.3">
      <c r="A1275" s="17" t="s">
        <v>644</v>
      </c>
      <c r="B1275" s="17">
        <f t="shared" si="64"/>
        <v>13</v>
      </c>
      <c r="C1275" s="17">
        <f t="shared" si="26"/>
        <v>65</v>
      </c>
      <c r="D1275" s="17"/>
      <c r="E1275" s="17">
        <f t="shared" si="65"/>
        <v>65919</v>
      </c>
      <c r="F1275" s="17">
        <f t="shared" ca="1" si="1"/>
        <v>2010</v>
      </c>
      <c r="G1275" s="17">
        <f t="shared" ca="1" si="66"/>
        <v>10804</v>
      </c>
      <c r="H1275" s="3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 spans="1:26" ht="13.5" customHeight="1" x14ac:dyDescent="0.3">
      <c r="A1276" s="17" t="s">
        <v>644</v>
      </c>
      <c r="B1276" s="17">
        <f t="shared" si="64"/>
        <v>13</v>
      </c>
      <c r="C1276" s="17">
        <f t="shared" si="26"/>
        <v>66</v>
      </c>
      <c r="D1276" s="17"/>
      <c r="E1276" s="17">
        <f t="shared" si="65"/>
        <v>65919</v>
      </c>
      <c r="F1276" s="17">
        <f t="shared" ca="1" si="1"/>
        <v>2010</v>
      </c>
      <c r="G1276" s="17">
        <f t="shared" ca="1" si="66"/>
        <v>10805</v>
      </c>
      <c r="H1276" s="3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 spans="1:26" ht="13.5" customHeight="1" x14ac:dyDescent="0.3">
      <c r="A1277" s="17" t="s">
        <v>644</v>
      </c>
      <c r="B1277" s="17">
        <f t="shared" si="64"/>
        <v>13</v>
      </c>
      <c r="C1277" s="17">
        <f t="shared" si="26"/>
        <v>67</v>
      </c>
      <c r="D1277" s="17"/>
      <c r="E1277" s="17">
        <f t="shared" si="65"/>
        <v>65919</v>
      </c>
      <c r="F1277" s="17">
        <f t="shared" ca="1" si="1"/>
        <v>2010</v>
      </c>
      <c r="G1277" s="17">
        <f t="shared" ca="1" si="66"/>
        <v>10806</v>
      </c>
      <c r="H1277" s="30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 spans="1:26" ht="13.5" customHeight="1" x14ac:dyDescent="0.3">
      <c r="A1278" s="17" t="s">
        <v>644</v>
      </c>
      <c r="B1278" s="17">
        <f t="shared" ref="B1278:B1303" si="67">B1277</f>
        <v>13</v>
      </c>
      <c r="C1278" s="17">
        <f t="shared" si="26"/>
        <v>68</v>
      </c>
      <c r="D1278" s="17"/>
      <c r="E1278" s="17">
        <f t="shared" si="65"/>
        <v>65919</v>
      </c>
      <c r="F1278" s="17">
        <f t="shared" ca="1" si="1"/>
        <v>2010</v>
      </c>
      <c r="G1278" s="17">
        <f t="shared" ca="1" si="66"/>
        <v>10807</v>
      </c>
      <c r="H1278" s="30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 spans="1:26" ht="13.5" customHeight="1" x14ac:dyDescent="0.3">
      <c r="A1279" s="17" t="s">
        <v>644</v>
      </c>
      <c r="B1279" s="17">
        <f t="shared" si="67"/>
        <v>13</v>
      </c>
      <c r="C1279" s="17">
        <f t="shared" si="26"/>
        <v>69</v>
      </c>
      <c r="D1279" s="17"/>
      <c r="E1279" s="17">
        <f t="shared" si="65"/>
        <v>65919</v>
      </c>
      <c r="F1279" s="17">
        <f t="shared" ca="1" si="1"/>
        <v>2010</v>
      </c>
      <c r="G1279" s="17">
        <f t="shared" ca="1" si="66"/>
        <v>10808</v>
      </c>
      <c r="H1279" s="3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 spans="1:26" ht="13.5" customHeight="1" x14ac:dyDescent="0.3">
      <c r="A1280" s="17" t="s">
        <v>644</v>
      </c>
      <c r="B1280" s="17">
        <f t="shared" si="67"/>
        <v>13</v>
      </c>
      <c r="C1280" s="17">
        <f t="shared" si="26"/>
        <v>70</v>
      </c>
      <c r="D1280" s="17"/>
      <c r="E1280" s="17">
        <f t="shared" si="65"/>
        <v>65919</v>
      </c>
      <c r="F1280" s="17">
        <f t="shared" ca="1" si="1"/>
        <v>2010</v>
      </c>
      <c r="G1280" s="17">
        <f t="shared" ca="1" si="66"/>
        <v>10809</v>
      </c>
      <c r="H1280" s="30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 spans="1:26" ht="13.5" customHeight="1" x14ac:dyDescent="0.3">
      <c r="A1281" s="17" t="s">
        <v>644</v>
      </c>
      <c r="B1281" s="17">
        <f t="shared" si="67"/>
        <v>13</v>
      </c>
      <c r="C1281" s="17">
        <f t="shared" si="26"/>
        <v>71</v>
      </c>
      <c r="D1281" s="17"/>
      <c r="E1281" s="17">
        <f t="shared" si="65"/>
        <v>65919</v>
      </c>
      <c r="F1281" s="17">
        <f t="shared" ca="1" si="1"/>
        <v>2010</v>
      </c>
      <c r="G1281" s="17">
        <f t="shared" ca="1" si="66"/>
        <v>10810</v>
      </c>
      <c r="H1281" s="30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 spans="1:26" ht="13.5" customHeight="1" x14ac:dyDescent="0.3">
      <c r="A1282" s="17" t="s">
        <v>644</v>
      </c>
      <c r="B1282" s="17">
        <f t="shared" si="67"/>
        <v>13</v>
      </c>
      <c r="C1282" s="17">
        <f t="shared" si="26"/>
        <v>72</v>
      </c>
      <c r="D1282" s="17"/>
      <c r="E1282" s="17">
        <f t="shared" si="65"/>
        <v>65919</v>
      </c>
      <c r="F1282" s="17">
        <f t="shared" ca="1" si="1"/>
        <v>2010</v>
      </c>
      <c r="G1282" s="17">
        <f t="shared" ca="1" si="66"/>
        <v>10811</v>
      </c>
      <c r="H1282" s="30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 spans="1:26" ht="13.5" customHeight="1" x14ac:dyDescent="0.3">
      <c r="A1283" s="17" t="s">
        <v>644</v>
      </c>
      <c r="B1283" s="17">
        <f t="shared" si="67"/>
        <v>13</v>
      </c>
      <c r="C1283" s="17">
        <f t="shared" si="26"/>
        <v>73</v>
      </c>
      <c r="D1283" s="17"/>
      <c r="E1283" s="17">
        <f t="shared" si="65"/>
        <v>65919</v>
      </c>
      <c r="F1283" s="17">
        <f t="shared" ca="1" si="1"/>
        <v>2010</v>
      </c>
      <c r="G1283" s="17">
        <f t="shared" ca="1" si="66"/>
        <v>10812</v>
      </c>
      <c r="H1283" s="30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 spans="1:26" ht="13.5" customHeight="1" x14ac:dyDescent="0.3">
      <c r="A1284" s="17" t="s">
        <v>644</v>
      </c>
      <c r="B1284" s="17">
        <f t="shared" si="67"/>
        <v>13</v>
      </c>
      <c r="C1284" s="17">
        <f t="shared" si="26"/>
        <v>74</v>
      </c>
      <c r="D1284" s="17"/>
      <c r="E1284" s="17">
        <f t="shared" ref="E1284:E1347" si="68">plan_id</f>
        <v>65919</v>
      </c>
      <c r="F1284" s="17">
        <f t="shared" ca="1" si="1"/>
        <v>2010</v>
      </c>
      <c r="G1284" s="17">
        <f t="shared" ref="G1284:G1347" ca="1" si="69">VLOOKUP(INDIRECT(CHAR(39)&amp;$A1284&amp;CHAR(39)&amp;"!r2c"&amp;$C1284,0),variables,2,0)</f>
        <v>10813</v>
      </c>
      <c r="H1284" s="3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 spans="1:26" ht="13.5" customHeight="1" x14ac:dyDescent="0.3">
      <c r="A1285" s="17" t="s">
        <v>644</v>
      </c>
      <c r="B1285" s="17">
        <f t="shared" si="67"/>
        <v>13</v>
      </c>
      <c r="C1285" s="17">
        <f t="shared" si="26"/>
        <v>75</v>
      </c>
      <c r="D1285" s="17"/>
      <c r="E1285" s="17">
        <f t="shared" si="68"/>
        <v>65919</v>
      </c>
      <c r="F1285" s="17">
        <f t="shared" ca="1" si="1"/>
        <v>2010</v>
      </c>
      <c r="G1285" s="17">
        <f t="shared" ca="1" si="69"/>
        <v>10814</v>
      </c>
      <c r="H1285" s="3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 spans="1:26" ht="13.5" customHeight="1" x14ac:dyDescent="0.3">
      <c r="A1286" s="17" t="s">
        <v>644</v>
      </c>
      <c r="B1286" s="17">
        <f t="shared" si="67"/>
        <v>13</v>
      </c>
      <c r="C1286" s="17">
        <f t="shared" si="26"/>
        <v>76</v>
      </c>
      <c r="D1286" s="17"/>
      <c r="E1286" s="17">
        <f t="shared" si="68"/>
        <v>65919</v>
      </c>
      <c r="F1286" s="17">
        <f t="shared" ca="1" si="1"/>
        <v>2010</v>
      </c>
      <c r="G1286" s="17">
        <f t="shared" ca="1" si="69"/>
        <v>10815</v>
      </c>
      <c r="H1286" s="3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1000000</v>
      </c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 spans="1:26" ht="13.5" customHeight="1" x14ac:dyDescent="0.3">
      <c r="A1287" s="17" t="s">
        <v>644</v>
      </c>
      <c r="B1287" s="17">
        <f t="shared" si="67"/>
        <v>13</v>
      </c>
      <c r="C1287" s="17">
        <f t="shared" si="26"/>
        <v>77</v>
      </c>
      <c r="D1287" s="17"/>
      <c r="E1287" s="17">
        <f t="shared" si="68"/>
        <v>65919</v>
      </c>
      <c r="F1287" s="17">
        <f t="shared" ca="1" si="1"/>
        <v>2010</v>
      </c>
      <c r="G1287" s="17">
        <f t="shared" ca="1" si="69"/>
        <v>10816</v>
      </c>
      <c r="H1287" s="30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-19000000</v>
      </c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 spans="1:26" ht="13.5" customHeight="1" x14ac:dyDescent="0.3">
      <c r="A1288" s="17" t="s">
        <v>644</v>
      </c>
      <c r="B1288" s="17">
        <f t="shared" si="67"/>
        <v>13</v>
      </c>
      <c r="C1288" s="17">
        <f t="shared" si="26"/>
        <v>78</v>
      </c>
      <c r="D1288" s="17"/>
      <c r="E1288" s="17">
        <f t="shared" si="68"/>
        <v>65919</v>
      </c>
      <c r="F1288" s="17">
        <f t="shared" ca="1" si="1"/>
        <v>2010</v>
      </c>
      <c r="G1288" s="17">
        <f t="shared" ca="1" si="69"/>
        <v>10817</v>
      </c>
      <c r="H1288" s="30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 spans="1:26" ht="13.5" customHeight="1" x14ac:dyDescent="0.3">
      <c r="A1289" s="17" t="s">
        <v>644</v>
      </c>
      <c r="B1289" s="17">
        <f t="shared" si="67"/>
        <v>13</v>
      </c>
      <c r="C1289" s="17">
        <f t="shared" si="26"/>
        <v>79</v>
      </c>
      <c r="D1289" s="17"/>
      <c r="E1289" s="17">
        <f t="shared" si="68"/>
        <v>65919</v>
      </c>
      <c r="F1289" s="17">
        <f t="shared" ca="1" si="1"/>
        <v>2010</v>
      </c>
      <c r="G1289" s="17">
        <f t="shared" ca="1" si="69"/>
        <v>10818</v>
      </c>
      <c r="H1289" s="30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 spans="1:26" ht="13.5" customHeight="1" x14ac:dyDescent="0.3">
      <c r="A1290" s="17" t="s">
        <v>644</v>
      </c>
      <c r="B1290" s="17">
        <f t="shared" si="67"/>
        <v>13</v>
      </c>
      <c r="C1290" s="17">
        <f t="shared" si="26"/>
        <v>80</v>
      </c>
      <c r="D1290" s="17"/>
      <c r="E1290" s="17">
        <f t="shared" si="68"/>
        <v>65919</v>
      </c>
      <c r="F1290" s="17">
        <f t="shared" ca="1" si="1"/>
        <v>2010</v>
      </c>
      <c r="G1290" s="17">
        <f t="shared" ca="1" si="69"/>
        <v>10819</v>
      </c>
      <c r="H1290" s="30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500000</v>
      </c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 spans="1:26" ht="13.5" customHeight="1" x14ac:dyDescent="0.3">
      <c r="A1291" s="17" t="s">
        <v>644</v>
      </c>
      <c r="B1291" s="17">
        <f t="shared" si="67"/>
        <v>13</v>
      </c>
      <c r="C1291" s="17">
        <f t="shared" si="26"/>
        <v>81</v>
      </c>
      <c r="D1291" s="17"/>
      <c r="E1291" s="17">
        <f t="shared" si="68"/>
        <v>65919</v>
      </c>
      <c r="F1291" s="17">
        <f t="shared" ca="1" si="1"/>
        <v>2010</v>
      </c>
      <c r="G1291" s="17">
        <f t="shared" ca="1" si="69"/>
        <v>10820</v>
      </c>
      <c r="H1291" s="3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 spans="1:26" ht="13.5" customHeight="1" x14ac:dyDescent="0.3">
      <c r="A1292" s="17" t="s">
        <v>644</v>
      </c>
      <c r="B1292" s="17">
        <f t="shared" si="67"/>
        <v>13</v>
      </c>
      <c r="C1292" s="17">
        <f t="shared" si="26"/>
        <v>82</v>
      </c>
      <c r="D1292" s="17"/>
      <c r="E1292" s="17">
        <f t="shared" si="68"/>
        <v>65919</v>
      </c>
      <c r="F1292" s="17">
        <f t="shared" ca="1" si="1"/>
        <v>2010</v>
      </c>
      <c r="G1292" s="17">
        <f t="shared" ca="1" si="69"/>
        <v>10821</v>
      </c>
      <c r="H1292" s="3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 spans="1:26" ht="13.5" customHeight="1" x14ac:dyDescent="0.3">
      <c r="A1293" s="17" t="s">
        <v>644</v>
      </c>
      <c r="B1293" s="17">
        <f t="shared" si="67"/>
        <v>13</v>
      </c>
      <c r="C1293" s="17">
        <f t="shared" si="26"/>
        <v>83</v>
      </c>
      <c r="D1293" s="17"/>
      <c r="E1293" s="17">
        <f t="shared" si="68"/>
        <v>65919</v>
      </c>
      <c r="F1293" s="17">
        <f t="shared" ca="1" si="1"/>
        <v>2010</v>
      </c>
      <c r="G1293" s="17">
        <f t="shared" ca="1" si="69"/>
        <v>10822</v>
      </c>
      <c r="H1293" s="30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 spans="1:26" ht="13.5" customHeight="1" x14ac:dyDescent="0.3">
      <c r="A1294" s="17" t="s">
        <v>644</v>
      </c>
      <c r="B1294" s="17">
        <f t="shared" si="67"/>
        <v>13</v>
      </c>
      <c r="C1294" s="17">
        <f t="shared" si="26"/>
        <v>84</v>
      </c>
      <c r="D1294" s="17"/>
      <c r="E1294" s="17">
        <f t="shared" si="68"/>
        <v>65919</v>
      </c>
      <c r="F1294" s="17">
        <f t="shared" ca="1" si="1"/>
        <v>2010</v>
      </c>
      <c r="G1294" s="17">
        <f t="shared" ca="1" si="69"/>
        <v>10829</v>
      </c>
      <c r="H1294" s="3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 spans="1:26" ht="13.5" customHeight="1" x14ac:dyDescent="0.3">
      <c r="A1295" s="17" t="s">
        <v>644</v>
      </c>
      <c r="B1295" s="17">
        <f t="shared" si="67"/>
        <v>13</v>
      </c>
      <c r="C1295" s="17">
        <f t="shared" si="26"/>
        <v>85</v>
      </c>
      <c r="D1295" s="17"/>
      <c r="E1295" s="17">
        <f t="shared" si="68"/>
        <v>65919</v>
      </c>
      <c r="F1295" s="17">
        <f t="shared" ca="1" si="1"/>
        <v>2010</v>
      </c>
      <c r="G1295" s="17">
        <f t="shared" ca="1" si="69"/>
        <v>10823</v>
      </c>
      <c r="H1295" s="30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3000000</v>
      </c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 spans="1:26" ht="13.5" customHeight="1" x14ac:dyDescent="0.3">
      <c r="A1296" s="17" t="s">
        <v>644</v>
      </c>
      <c r="B1296" s="17">
        <f t="shared" si="67"/>
        <v>13</v>
      </c>
      <c r="C1296" s="17">
        <f t="shared" si="26"/>
        <v>86</v>
      </c>
      <c r="D1296" s="17"/>
      <c r="E1296" s="17">
        <f t="shared" si="68"/>
        <v>65919</v>
      </c>
      <c r="F1296" s="17">
        <f t="shared" ca="1" si="1"/>
        <v>2010</v>
      </c>
      <c r="G1296" s="17">
        <f t="shared" ca="1" si="69"/>
        <v>10798</v>
      </c>
      <c r="H1296" s="30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 spans="1:26" ht="13.5" customHeight="1" x14ac:dyDescent="0.3">
      <c r="A1297" s="17" t="s">
        <v>644</v>
      </c>
      <c r="B1297" s="17">
        <f t="shared" si="67"/>
        <v>13</v>
      </c>
      <c r="C1297" s="17">
        <f t="shared" si="26"/>
        <v>87</v>
      </c>
      <c r="D1297" s="17"/>
      <c r="E1297" s="17">
        <f t="shared" si="68"/>
        <v>65919</v>
      </c>
      <c r="F1297" s="17">
        <f t="shared" ca="1" si="1"/>
        <v>2010</v>
      </c>
      <c r="G1297" s="17">
        <f t="shared" ca="1" si="69"/>
        <v>10799</v>
      </c>
      <c r="H1297" s="30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 spans="1:26" ht="13.5" customHeight="1" x14ac:dyDescent="0.3">
      <c r="A1298" s="17" t="s">
        <v>644</v>
      </c>
      <c r="B1298" s="17">
        <f t="shared" si="67"/>
        <v>13</v>
      </c>
      <c r="C1298" s="17">
        <f t="shared" si="26"/>
        <v>88</v>
      </c>
      <c r="D1298" s="17"/>
      <c r="E1298" s="17">
        <f t="shared" si="68"/>
        <v>65919</v>
      </c>
      <c r="F1298" s="17">
        <f t="shared" ca="1" si="1"/>
        <v>2010</v>
      </c>
      <c r="G1298" s="17">
        <f t="shared" ca="1" si="69"/>
        <v>10800</v>
      </c>
      <c r="H1298" s="3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 spans="1:26" ht="13.5" customHeight="1" x14ac:dyDescent="0.3">
      <c r="A1299" s="17" t="s">
        <v>644</v>
      </c>
      <c r="B1299" s="17">
        <f t="shared" si="67"/>
        <v>13</v>
      </c>
      <c r="C1299" s="17">
        <f t="shared" si="26"/>
        <v>89</v>
      </c>
      <c r="D1299" s="17"/>
      <c r="E1299" s="17">
        <f t="shared" si="68"/>
        <v>65919</v>
      </c>
      <c r="F1299" s="17">
        <f t="shared" ca="1" si="1"/>
        <v>2010</v>
      </c>
      <c r="G1299" s="17">
        <f t="shared" ca="1" si="69"/>
        <v>10824</v>
      </c>
      <c r="H1299" s="30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 spans="1:26" ht="13.5" customHeight="1" x14ac:dyDescent="0.3">
      <c r="A1300" s="17" t="s">
        <v>644</v>
      </c>
      <c r="B1300" s="17">
        <f t="shared" si="67"/>
        <v>13</v>
      </c>
      <c r="C1300" s="17">
        <f t="shared" si="26"/>
        <v>90</v>
      </c>
      <c r="D1300" s="17"/>
      <c r="E1300" s="17">
        <f t="shared" si="68"/>
        <v>65919</v>
      </c>
      <c r="F1300" s="17">
        <f t="shared" ca="1" si="1"/>
        <v>2010</v>
      </c>
      <c r="G1300" s="17">
        <f t="shared" ca="1" si="69"/>
        <v>10825</v>
      </c>
      <c r="H1300" s="3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 spans="1:26" ht="13.5" customHeight="1" x14ac:dyDescent="0.3">
      <c r="A1301" s="17" t="s">
        <v>644</v>
      </c>
      <c r="B1301" s="17">
        <f t="shared" si="67"/>
        <v>13</v>
      </c>
      <c r="C1301" s="17">
        <f t="shared" si="26"/>
        <v>91</v>
      </c>
      <c r="D1301" s="17"/>
      <c r="E1301" s="17">
        <f t="shared" si="68"/>
        <v>65919</v>
      </c>
      <c r="F1301" s="17">
        <f t="shared" ca="1" si="1"/>
        <v>2010</v>
      </c>
      <c r="G1301" s="17">
        <f t="shared" ca="1" si="69"/>
        <v>10826</v>
      </c>
      <c r="H1301" s="30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 spans="1:26" ht="13.5" customHeight="1" x14ac:dyDescent="0.3">
      <c r="A1302" s="17" t="s">
        <v>644</v>
      </c>
      <c r="B1302" s="17">
        <f t="shared" si="67"/>
        <v>13</v>
      </c>
      <c r="C1302" s="17">
        <f t="shared" si="26"/>
        <v>92</v>
      </c>
      <c r="D1302" s="17"/>
      <c r="E1302" s="17">
        <f t="shared" si="68"/>
        <v>65919</v>
      </c>
      <c r="F1302" s="17">
        <f t="shared" ca="1" si="1"/>
        <v>2010</v>
      </c>
      <c r="G1302" s="17">
        <f t="shared" ca="1" si="69"/>
        <v>10828</v>
      </c>
      <c r="H1302" s="3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 spans="1:26" ht="13.5" customHeight="1" x14ac:dyDescent="0.3">
      <c r="A1303" s="17" t="s">
        <v>644</v>
      </c>
      <c r="B1303" s="17">
        <f t="shared" si="67"/>
        <v>13</v>
      </c>
      <c r="C1303" s="17">
        <f t="shared" si="26"/>
        <v>93</v>
      </c>
      <c r="D1303" s="17"/>
      <c r="E1303" s="17">
        <f t="shared" si="68"/>
        <v>65919</v>
      </c>
      <c r="F1303" s="17">
        <f t="shared" ca="1" si="1"/>
        <v>2010</v>
      </c>
      <c r="G1303" s="17">
        <f t="shared" ca="1" si="69"/>
        <v>10827</v>
      </c>
      <c r="H1303" s="2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 spans="1:26" ht="13.5" customHeight="1" x14ac:dyDescent="0.3">
      <c r="A1304" s="17" t="s">
        <v>644</v>
      </c>
      <c r="B1304" s="17">
        <f t="shared" ref="B1304:B1368" si="70">B1239+1</f>
        <v>14</v>
      </c>
      <c r="C1304" s="17">
        <f t="shared" si="26"/>
        <v>3</v>
      </c>
      <c r="D1304" s="17"/>
      <c r="E1304" s="17">
        <f t="shared" si="68"/>
        <v>65919</v>
      </c>
      <c r="F1304" s="17">
        <f t="shared" ca="1" si="1"/>
        <v>2011</v>
      </c>
      <c r="G1304" s="17">
        <f t="shared" ca="1" si="69"/>
        <v>10703</v>
      </c>
      <c r="H1304" s="2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2011</v>
      </c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 spans="1:26" ht="13.5" customHeight="1" x14ac:dyDescent="0.3">
      <c r="A1305" s="17" t="s">
        <v>644</v>
      </c>
      <c r="B1305" s="17">
        <f t="shared" si="70"/>
        <v>14</v>
      </c>
      <c r="C1305" s="17">
        <f t="shared" si="26"/>
        <v>4</v>
      </c>
      <c r="D1305" s="17"/>
      <c r="E1305" s="17">
        <f t="shared" si="68"/>
        <v>65919</v>
      </c>
      <c r="F1305" s="17">
        <f t="shared" ca="1" si="1"/>
        <v>2011</v>
      </c>
      <c r="G1305" s="17">
        <f t="shared" ca="1" si="69"/>
        <v>10845</v>
      </c>
      <c r="H1305" s="2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The Office Of The State Actuary</v>
      </c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 spans="1:26" ht="13.5" customHeight="1" x14ac:dyDescent="0.3">
      <c r="A1306" s="17" t="s">
        <v>644</v>
      </c>
      <c r="B1306" s="17">
        <f t="shared" si="70"/>
        <v>14</v>
      </c>
      <c r="C1306" s="17">
        <f t="shared" si="26"/>
        <v>5</v>
      </c>
      <c r="D1306" s="17"/>
      <c r="E1306" s="17">
        <f t="shared" si="68"/>
        <v>65919</v>
      </c>
      <c r="F1306" s="17">
        <f t="shared" ca="1" si="1"/>
        <v>2011</v>
      </c>
      <c r="G1306" s="17">
        <f t="shared" ca="1" si="69"/>
        <v>10924</v>
      </c>
      <c r="H1306" s="3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0.13940000000000002</v>
      </c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 spans="1:26" ht="13.5" customHeight="1" x14ac:dyDescent="0.3">
      <c r="A1307" s="17" t="s">
        <v>644</v>
      </c>
      <c r="B1307" s="17">
        <f t="shared" si="70"/>
        <v>14</v>
      </c>
      <c r="C1307" s="17">
        <f t="shared" si="26"/>
        <v>6</v>
      </c>
      <c r="D1307" s="17"/>
      <c r="E1307" s="17">
        <f t="shared" si="68"/>
        <v>65919</v>
      </c>
      <c r="F1307" s="17">
        <f t="shared" ca="1" si="1"/>
        <v>2011</v>
      </c>
      <c r="G1307" s="17">
        <f t="shared" ca="1" si="69"/>
        <v>10925</v>
      </c>
      <c r="H1307" s="3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7.6300000000000007E-2</v>
      </c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 spans="1:26" ht="13.5" customHeight="1" x14ac:dyDescent="0.3">
      <c r="A1308" s="17" t="s">
        <v>644</v>
      </c>
      <c r="B1308" s="17">
        <f t="shared" si="70"/>
        <v>14</v>
      </c>
      <c r="C1308" s="17">
        <f t="shared" si="26"/>
        <v>7</v>
      </c>
      <c r="D1308" s="17"/>
      <c r="E1308" s="17">
        <f t="shared" si="68"/>
        <v>65919</v>
      </c>
      <c r="F1308" s="17">
        <f t="shared" ca="1" si="1"/>
        <v>2011</v>
      </c>
      <c r="G1308" s="17">
        <f t="shared" ca="1" si="69"/>
        <v>10926</v>
      </c>
      <c r="H1308" s="3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6.3100000000000003E-2</v>
      </c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 spans="1:26" ht="13.5" customHeight="1" x14ac:dyDescent="0.3">
      <c r="A1309" s="17" t="s">
        <v>644</v>
      </c>
      <c r="B1309" s="17">
        <f t="shared" si="70"/>
        <v>14</v>
      </c>
      <c r="C1309" s="17">
        <f t="shared" si="26"/>
        <v>8</v>
      </c>
      <c r="D1309" s="17"/>
      <c r="E1309" s="17">
        <f t="shared" si="68"/>
        <v>65919</v>
      </c>
      <c r="F1309" s="17">
        <f t="shared" ca="1" si="1"/>
        <v>2011</v>
      </c>
      <c r="G1309" s="17">
        <f t="shared" ca="1" si="69"/>
        <v>10704</v>
      </c>
      <c r="H1309" s="3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 spans="1:26" ht="13.5" customHeight="1" x14ac:dyDescent="0.3">
      <c r="A1310" s="17" t="s">
        <v>644</v>
      </c>
      <c r="B1310" s="17">
        <f t="shared" si="70"/>
        <v>14</v>
      </c>
      <c r="C1310" s="17">
        <f t="shared" si="26"/>
        <v>9</v>
      </c>
      <c r="D1310" s="17"/>
      <c r="E1310" s="17">
        <f t="shared" si="68"/>
        <v>65919</v>
      </c>
      <c r="F1310" s="17">
        <f t="shared" ca="1" si="1"/>
        <v>2011</v>
      </c>
      <c r="G1310" s="17">
        <f t="shared" ca="1" si="69"/>
        <v>10928</v>
      </c>
      <c r="H1310" s="31" t="str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N/A</v>
      </c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 spans="1:26" ht="13.5" customHeight="1" x14ac:dyDescent="0.3">
      <c r="A1311" s="17" t="s">
        <v>644</v>
      </c>
      <c r="B1311" s="17">
        <f t="shared" si="70"/>
        <v>14</v>
      </c>
      <c r="C1311" s="17">
        <f t="shared" si="26"/>
        <v>10</v>
      </c>
      <c r="D1311" s="17"/>
      <c r="E1311" s="17">
        <f t="shared" si="68"/>
        <v>65919</v>
      </c>
      <c r="F1311" s="17">
        <f t="shared" ca="1" si="1"/>
        <v>2011</v>
      </c>
      <c r="G1311" s="17">
        <f t="shared" ca="1" si="69"/>
        <v>10929</v>
      </c>
      <c r="H1311" s="31" t="str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N/A</v>
      </c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 spans="1:26" ht="13.5" customHeight="1" x14ac:dyDescent="0.3">
      <c r="A1312" s="17" t="s">
        <v>644</v>
      </c>
      <c r="B1312" s="17">
        <f t="shared" si="70"/>
        <v>14</v>
      </c>
      <c r="C1312" s="17">
        <f t="shared" si="26"/>
        <v>11</v>
      </c>
      <c r="D1312" s="17"/>
      <c r="E1312" s="17">
        <f t="shared" si="68"/>
        <v>65919</v>
      </c>
      <c r="F1312" s="17">
        <f t="shared" ca="1" si="1"/>
        <v>2011</v>
      </c>
      <c r="G1312" s="17">
        <f t="shared" ca="1" si="69"/>
        <v>10930</v>
      </c>
      <c r="H1312" s="3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 spans="1:26" ht="13.5" customHeight="1" x14ac:dyDescent="0.3">
      <c r="A1313" s="17" t="s">
        <v>644</v>
      </c>
      <c r="B1313" s="17">
        <f t="shared" si="70"/>
        <v>14</v>
      </c>
      <c r="C1313" s="17">
        <f t="shared" si="26"/>
        <v>12</v>
      </c>
      <c r="D1313" s="17"/>
      <c r="E1313" s="17">
        <f t="shared" si="68"/>
        <v>65919</v>
      </c>
      <c r="F1313" s="17">
        <f t="shared" ca="1" si="1"/>
        <v>2011</v>
      </c>
      <c r="G1313" s="17">
        <f t="shared" ca="1" si="69"/>
        <v>10705</v>
      </c>
      <c r="H1313" s="3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4166000</v>
      </c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 spans="1:26" ht="13.5" customHeight="1" x14ac:dyDescent="0.3">
      <c r="A1314" s="17" t="s">
        <v>644</v>
      </c>
      <c r="B1314" s="17">
        <f t="shared" si="70"/>
        <v>14</v>
      </c>
      <c r="C1314" s="17">
        <f t="shared" si="26"/>
        <v>13</v>
      </c>
      <c r="D1314" s="17"/>
      <c r="E1314" s="17">
        <f t="shared" si="68"/>
        <v>65919</v>
      </c>
      <c r="F1314" s="17">
        <f t="shared" ca="1" si="1"/>
        <v>2011</v>
      </c>
      <c r="G1314" s="17">
        <f t="shared" ca="1" si="69"/>
        <v>10842</v>
      </c>
      <c r="H1314" s="3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 spans="1:26" ht="13.5" customHeight="1" x14ac:dyDescent="0.3">
      <c r="A1315" s="17" t="s">
        <v>644</v>
      </c>
      <c r="B1315" s="17">
        <f t="shared" si="70"/>
        <v>14</v>
      </c>
      <c r="C1315" s="17">
        <f t="shared" si="26"/>
        <v>14</v>
      </c>
      <c r="D1315" s="17"/>
      <c r="E1315" s="17">
        <f t="shared" si="68"/>
        <v>65919</v>
      </c>
      <c r="F1315" s="17">
        <f t="shared" ca="1" si="1"/>
        <v>2011</v>
      </c>
      <c r="G1315" s="17">
        <f t="shared" ca="1" si="69"/>
        <v>10843</v>
      </c>
      <c r="H1315" s="3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 spans="1:26" ht="13.5" customHeight="1" x14ac:dyDescent="0.3">
      <c r="A1316" s="17" t="s">
        <v>644</v>
      </c>
      <c r="B1316" s="17">
        <f t="shared" si="70"/>
        <v>14</v>
      </c>
      <c r="C1316" s="17">
        <f t="shared" si="26"/>
        <v>15</v>
      </c>
      <c r="D1316" s="17"/>
      <c r="E1316" s="17">
        <f t="shared" si="68"/>
        <v>65919</v>
      </c>
      <c r="F1316" s="17">
        <f t="shared" ca="1" si="1"/>
        <v>2011</v>
      </c>
      <c r="G1316" s="17">
        <f t="shared" ca="1" si="69"/>
        <v>10931</v>
      </c>
      <c r="H1316" s="3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 spans="1:26" ht="13.5" customHeight="1" x14ac:dyDescent="0.3">
      <c r="A1317" s="17" t="s">
        <v>644</v>
      </c>
      <c r="B1317" s="17">
        <f t="shared" si="70"/>
        <v>14</v>
      </c>
      <c r="C1317" s="17">
        <f t="shared" si="26"/>
        <v>16</v>
      </c>
      <c r="D1317" s="17"/>
      <c r="E1317" s="17">
        <f t="shared" si="68"/>
        <v>65919</v>
      </c>
      <c r="F1317" s="17">
        <f t="shared" ca="1" si="1"/>
        <v>2011</v>
      </c>
      <c r="G1317" s="17">
        <f t="shared" ca="1" si="69"/>
        <v>10932</v>
      </c>
      <c r="H1317" s="3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 spans="1:26" ht="13.5" customHeight="1" x14ac:dyDescent="0.3">
      <c r="A1318" s="17" t="s">
        <v>644</v>
      </c>
      <c r="B1318" s="17">
        <f t="shared" si="70"/>
        <v>14</v>
      </c>
      <c r="C1318" s="17">
        <f t="shared" si="26"/>
        <v>17</v>
      </c>
      <c r="D1318" s="17"/>
      <c r="E1318" s="17">
        <f t="shared" si="68"/>
        <v>65919</v>
      </c>
      <c r="F1318" s="17">
        <f t="shared" ca="1" si="1"/>
        <v>2011</v>
      </c>
      <c r="G1318" s="17">
        <f t="shared" ca="1" si="69"/>
        <v>10933</v>
      </c>
      <c r="H1318" s="3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7.6300000000000007E-2</v>
      </c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 spans="1:26" ht="13.5" customHeight="1" x14ac:dyDescent="0.3">
      <c r="A1319" s="17" t="s">
        <v>644</v>
      </c>
      <c r="B1319" s="17">
        <f t="shared" si="70"/>
        <v>14</v>
      </c>
      <c r="C1319" s="17">
        <f t="shared" si="26"/>
        <v>18</v>
      </c>
      <c r="D1319" s="17"/>
      <c r="E1319" s="17">
        <f t="shared" si="68"/>
        <v>65919</v>
      </c>
      <c r="F1319" s="17">
        <f t="shared" ca="1" si="1"/>
        <v>2011</v>
      </c>
      <c r="G1319" s="17">
        <f t="shared" ca="1" si="69"/>
        <v>10934</v>
      </c>
      <c r="H1319" s="3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6.3100000000000003E-2</v>
      </c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 spans="1:26" ht="13.5" customHeight="1" x14ac:dyDescent="0.3">
      <c r="A1320" s="17" t="s">
        <v>644</v>
      </c>
      <c r="B1320" s="17">
        <f t="shared" si="70"/>
        <v>14</v>
      </c>
      <c r="C1320" s="17">
        <f t="shared" si="26"/>
        <v>19</v>
      </c>
      <c r="D1320" s="17"/>
      <c r="E1320" s="17">
        <f t="shared" si="68"/>
        <v>65919</v>
      </c>
      <c r="F1320" s="17">
        <f t="shared" ca="1" si="1"/>
        <v>2011</v>
      </c>
      <c r="G1320" s="17">
        <f t="shared" ca="1" si="69"/>
        <v>10935</v>
      </c>
      <c r="H1320" s="29" t="str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Single Rate</v>
      </c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 spans="1:26" ht="13.5" customHeight="1" x14ac:dyDescent="0.3">
      <c r="A1321" s="17" t="s">
        <v>644</v>
      </c>
      <c r="B1321" s="17">
        <f t="shared" si="70"/>
        <v>14</v>
      </c>
      <c r="C1321" s="17">
        <f t="shared" si="26"/>
        <v>20</v>
      </c>
      <c r="D1321" s="17"/>
      <c r="E1321" s="17">
        <f t="shared" si="68"/>
        <v>65919</v>
      </c>
      <c r="F1321" s="17">
        <f t="shared" ca="1" si="1"/>
        <v>2011</v>
      </c>
      <c r="G1321" s="17">
        <f t="shared" ca="1" si="69"/>
        <v>10937</v>
      </c>
      <c r="H1321" s="3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 spans="1:26" ht="13.5" customHeight="1" x14ac:dyDescent="0.3">
      <c r="A1322" s="17" t="s">
        <v>644</v>
      </c>
      <c r="B1322" s="17">
        <f t="shared" si="70"/>
        <v>14</v>
      </c>
      <c r="C1322" s="17">
        <f t="shared" si="26"/>
        <v>21</v>
      </c>
      <c r="D1322" s="17"/>
      <c r="E1322" s="17">
        <f t="shared" si="68"/>
        <v>65919</v>
      </c>
      <c r="F1322" s="17">
        <f t="shared" ca="1" si="1"/>
        <v>2011</v>
      </c>
      <c r="G1322" s="17">
        <f t="shared" ca="1" si="69"/>
        <v>10938</v>
      </c>
      <c r="H1322" s="3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 spans="1:26" ht="13.5" customHeight="1" x14ac:dyDescent="0.3">
      <c r="A1323" s="17" t="s">
        <v>644</v>
      </c>
      <c r="B1323" s="17">
        <f t="shared" si="70"/>
        <v>14</v>
      </c>
      <c r="C1323" s="17">
        <f t="shared" si="26"/>
        <v>22</v>
      </c>
      <c r="D1323" s="17"/>
      <c r="E1323" s="17">
        <f t="shared" si="68"/>
        <v>65919</v>
      </c>
      <c r="F1323" s="17">
        <f t="shared" ca="1" si="1"/>
        <v>2011</v>
      </c>
      <c r="G1323" s="17">
        <f t="shared" ca="1" si="69"/>
        <v>11007</v>
      </c>
      <c r="H1323" s="29" t="str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Accrued Benefit Formula= 2% x YOS x AFC (Max= 75% AFC)</v>
      </c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 spans="1:26" ht="13.5" customHeight="1" x14ac:dyDescent="0.3">
      <c r="A1324" s="17" t="s">
        <v>644</v>
      </c>
      <c r="B1324" s="17">
        <f t="shared" si="70"/>
        <v>14</v>
      </c>
      <c r="C1324" s="17">
        <f t="shared" si="26"/>
        <v>23</v>
      </c>
      <c r="D1324" s="17"/>
      <c r="E1324" s="17">
        <f t="shared" si="68"/>
        <v>65919</v>
      </c>
      <c r="F1324" s="17">
        <f t="shared" ca="1" si="1"/>
        <v>2011</v>
      </c>
      <c r="G1324" s="17">
        <f t="shared" ca="1" si="69"/>
        <v>10941</v>
      </c>
      <c r="H1324" s="29" t="str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COLA</v>
      </c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 spans="1:26" ht="13.5" customHeight="1" x14ac:dyDescent="0.3">
      <c r="A1325" s="17" t="s">
        <v>644</v>
      </c>
      <c r="B1325" s="17">
        <f t="shared" si="70"/>
        <v>14</v>
      </c>
      <c r="C1325" s="17">
        <f t="shared" si="26"/>
        <v>24</v>
      </c>
      <c r="D1325" s="17"/>
      <c r="E1325" s="17">
        <f t="shared" si="68"/>
        <v>65919</v>
      </c>
      <c r="F1325" s="17">
        <f t="shared" ca="1" si="1"/>
        <v>2011</v>
      </c>
      <c r="G1325" s="17">
        <f t="shared" ca="1" si="69"/>
        <v>10942</v>
      </c>
      <c r="H1325" s="29" t="str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Percentage</v>
      </c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 spans="1:26" ht="13.5" customHeight="1" x14ac:dyDescent="0.3">
      <c r="A1326" s="17" t="s">
        <v>644</v>
      </c>
      <c r="B1326" s="17">
        <f t="shared" si="70"/>
        <v>14</v>
      </c>
      <c r="C1326" s="17">
        <f t="shared" si="26"/>
        <v>25</v>
      </c>
      <c r="D1326" s="17"/>
      <c r="E1326" s="17">
        <f t="shared" si="68"/>
        <v>65919</v>
      </c>
      <c r="F1326" s="17">
        <f t="shared" ca="1" si="1"/>
        <v>2011</v>
      </c>
      <c r="G1326" s="17">
        <f t="shared" ca="1" si="69"/>
        <v>10701</v>
      </c>
      <c r="H1326" s="3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0.03</v>
      </c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 spans="1:26" ht="13.5" customHeight="1" x14ac:dyDescent="0.3">
      <c r="A1327" s="17" t="s">
        <v>644</v>
      </c>
      <c r="B1327" s="17">
        <f t="shared" si="70"/>
        <v>14</v>
      </c>
      <c r="C1327" s="17">
        <f t="shared" si="26"/>
        <v>26</v>
      </c>
      <c r="D1327" s="17"/>
      <c r="E1327" s="17">
        <f t="shared" si="68"/>
        <v>65919</v>
      </c>
      <c r="F1327" s="17">
        <f t="shared" ca="1" si="1"/>
        <v>2011</v>
      </c>
      <c r="G1327" s="17">
        <f t="shared" ca="1" si="69"/>
        <v>10702</v>
      </c>
      <c r="H1327" s="3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 spans="1:26" ht="13.5" customHeight="1" x14ac:dyDescent="0.3">
      <c r="A1328" s="17" t="s">
        <v>644</v>
      </c>
      <c r="B1328" s="17">
        <f t="shared" si="70"/>
        <v>14</v>
      </c>
      <c r="C1328" s="17">
        <f t="shared" si="26"/>
        <v>27</v>
      </c>
      <c r="D1328" s="17"/>
      <c r="E1328" s="17">
        <f t="shared" si="68"/>
        <v>65919</v>
      </c>
      <c r="F1328" s="17">
        <f t="shared" ca="1" si="1"/>
        <v>2011</v>
      </c>
      <c r="G1328" s="17">
        <f t="shared" ca="1" si="69"/>
        <v>10943</v>
      </c>
      <c r="H1328" s="2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 spans="1:26" ht="13.5" customHeight="1" x14ac:dyDescent="0.3">
      <c r="A1329" s="17" t="s">
        <v>644</v>
      </c>
      <c r="B1329" s="17">
        <f t="shared" si="70"/>
        <v>14</v>
      </c>
      <c r="C1329" s="17">
        <f t="shared" si="26"/>
        <v>28</v>
      </c>
      <c r="D1329" s="17"/>
      <c r="E1329" s="17">
        <f t="shared" si="68"/>
        <v>65919</v>
      </c>
      <c r="F1329" s="17">
        <f t="shared" ca="1" si="1"/>
        <v>2011</v>
      </c>
      <c r="G1329" s="17">
        <f t="shared" ca="1" si="69"/>
        <v>10944</v>
      </c>
      <c r="H1329" s="31" t="str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No</v>
      </c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 spans="1:26" ht="13.5" customHeight="1" x14ac:dyDescent="0.3">
      <c r="A1330" s="17" t="s">
        <v>644</v>
      </c>
      <c r="B1330" s="17">
        <f t="shared" si="70"/>
        <v>14</v>
      </c>
      <c r="C1330" s="17">
        <f t="shared" si="26"/>
        <v>29</v>
      </c>
      <c r="D1330" s="17"/>
      <c r="E1330" s="17">
        <f t="shared" si="68"/>
        <v>65919</v>
      </c>
      <c r="F1330" s="17">
        <f t="shared" ca="1" si="1"/>
        <v>2011</v>
      </c>
      <c r="G1330" s="17">
        <f t="shared" ca="1" si="69"/>
        <v>10945</v>
      </c>
      <c r="H1330" s="31" t="str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No</v>
      </c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 spans="1:26" ht="13.5" customHeight="1" x14ac:dyDescent="0.3">
      <c r="A1331" s="17" t="s">
        <v>644</v>
      </c>
      <c r="B1331" s="17">
        <f t="shared" si="70"/>
        <v>14</v>
      </c>
      <c r="C1331" s="17">
        <f t="shared" si="26"/>
        <v>30</v>
      </c>
      <c r="D1331" s="17"/>
      <c r="E1331" s="17">
        <f t="shared" si="68"/>
        <v>65919</v>
      </c>
      <c r="F1331" s="17">
        <f t="shared" ca="1" si="1"/>
        <v>2011</v>
      </c>
      <c r="G1331" s="17">
        <f t="shared" ca="1" si="69"/>
        <v>10947</v>
      </c>
      <c r="H1331" s="2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 spans="1:26" ht="13.5" customHeight="1" x14ac:dyDescent="0.3">
      <c r="A1332" s="17" t="s">
        <v>644</v>
      </c>
      <c r="B1332" s="17">
        <f t="shared" si="70"/>
        <v>14</v>
      </c>
      <c r="C1332" s="17">
        <f t="shared" si="26"/>
        <v>31</v>
      </c>
      <c r="D1332" s="17"/>
      <c r="E1332" s="17">
        <f t="shared" si="68"/>
        <v>65919</v>
      </c>
      <c r="F1332" s="17">
        <f t="shared" ca="1" si="1"/>
        <v>2011</v>
      </c>
      <c r="G1332" s="17">
        <f t="shared" ca="1" si="69"/>
        <v>10948</v>
      </c>
      <c r="H1332" s="31" t="str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No</v>
      </c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 spans="1:26" ht="13.5" customHeight="1" x14ac:dyDescent="0.3">
      <c r="A1333" s="17" t="s">
        <v>644</v>
      </c>
      <c r="B1333" s="17">
        <f t="shared" si="70"/>
        <v>14</v>
      </c>
      <c r="C1333" s="17">
        <f t="shared" si="26"/>
        <v>32</v>
      </c>
      <c r="D1333" s="17"/>
      <c r="E1333" s="17">
        <f t="shared" si="68"/>
        <v>65919</v>
      </c>
      <c r="F1333" s="17">
        <f t="shared" ca="1" si="1"/>
        <v>2011</v>
      </c>
      <c r="G1333" s="17">
        <f t="shared" ca="1" si="69"/>
        <v>10949</v>
      </c>
      <c r="H1333" s="31" t="str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No</v>
      </c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 spans="1:26" ht="13.5" customHeight="1" x14ac:dyDescent="0.3">
      <c r="A1334" s="17" t="s">
        <v>644</v>
      </c>
      <c r="B1334" s="17">
        <f t="shared" si="70"/>
        <v>14</v>
      </c>
      <c r="C1334" s="17">
        <f t="shared" si="26"/>
        <v>33</v>
      </c>
      <c r="D1334" s="17"/>
      <c r="E1334" s="17">
        <f t="shared" si="68"/>
        <v>65919</v>
      </c>
      <c r="F1334" s="17">
        <f t="shared" ca="1" si="1"/>
        <v>2011</v>
      </c>
      <c r="G1334" s="17">
        <f t="shared" ca="1" si="69"/>
        <v>10951</v>
      </c>
      <c r="H1334" s="31" t="str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No</v>
      </c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 spans="1:26" ht="13.5" customHeight="1" x14ac:dyDescent="0.3">
      <c r="A1335" s="17" t="s">
        <v>644</v>
      </c>
      <c r="B1335" s="17">
        <f t="shared" si="70"/>
        <v>14</v>
      </c>
      <c r="C1335" s="17">
        <f t="shared" si="26"/>
        <v>34</v>
      </c>
      <c r="D1335" s="17"/>
      <c r="E1335" s="17">
        <f t="shared" si="68"/>
        <v>65919</v>
      </c>
      <c r="F1335" s="17">
        <f t="shared" ca="1" si="1"/>
        <v>2011</v>
      </c>
      <c r="G1335" s="17">
        <f t="shared" ca="1" si="69"/>
        <v>10950</v>
      </c>
      <c r="H1335" s="31" t="str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No</v>
      </c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 spans="1:26" ht="13.5" customHeight="1" x14ac:dyDescent="0.3">
      <c r="A1336" s="17" t="s">
        <v>644</v>
      </c>
      <c r="B1336" s="17">
        <f t="shared" si="70"/>
        <v>14</v>
      </c>
      <c r="C1336" s="17">
        <f t="shared" si="26"/>
        <v>35</v>
      </c>
      <c r="D1336" s="17"/>
      <c r="E1336" s="17">
        <f t="shared" si="68"/>
        <v>65919</v>
      </c>
      <c r="F1336" s="17">
        <f t="shared" ca="1" si="1"/>
        <v>2011</v>
      </c>
      <c r="G1336" s="17">
        <f t="shared" ca="1" si="69"/>
        <v>10954</v>
      </c>
      <c r="H1336" s="3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0.03</v>
      </c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 spans="1:26" ht="13.5" customHeight="1" x14ac:dyDescent="0.3">
      <c r="A1337" s="17" t="s">
        <v>644</v>
      </c>
      <c r="B1337" s="17">
        <f t="shared" si="70"/>
        <v>14</v>
      </c>
      <c r="C1337" s="17">
        <f t="shared" si="26"/>
        <v>36</v>
      </c>
      <c r="D1337" s="17"/>
      <c r="E1337" s="17">
        <f t="shared" si="68"/>
        <v>65919</v>
      </c>
      <c r="F1337" s="17">
        <f t="shared" ca="1" si="1"/>
        <v>2011</v>
      </c>
      <c r="G1337" s="17">
        <f t="shared" ca="1" si="69"/>
        <v>10955</v>
      </c>
      <c r="H1337" s="3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7.9000000000000001E-2</v>
      </c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 spans="1:26" ht="13.5" customHeight="1" x14ac:dyDescent="0.3">
      <c r="A1338" s="17" t="s">
        <v>644</v>
      </c>
      <c r="B1338" s="17">
        <f t="shared" si="70"/>
        <v>14</v>
      </c>
      <c r="C1338" s="17">
        <f t="shared" si="26"/>
        <v>37</v>
      </c>
      <c r="D1338" s="17"/>
      <c r="E1338" s="17">
        <f t="shared" si="68"/>
        <v>65919</v>
      </c>
      <c r="F1338" s="17">
        <f t="shared" ca="1" si="1"/>
        <v>2011</v>
      </c>
      <c r="G1338" s="17">
        <f t="shared" ca="1" si="69"/>
        <v>10956</v>
      </c>
      <c r="H1338" s="3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3.5624999999999996E-4</v>
      </c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 spans="1:26" ht="13.5" customHeight="1" x14ac:dyDescent="0.3">
      <c r="A1339" s="17" t="s">
        <v>644</v>
      </c>
      <c r="B1339" s="17">
        <f t="shared" si="70"/>
        <v>14</v>
      </c>
      <c r="C1339" s="17">
        <f t="shared" si="26"/>
        <v>38</v>
      </c>
      <c r="D1339" s="17"/>
      <c r="E1339" s="17">
        <f t="shared" si="68"/>
        <v>65919</v>
      </c>
      <c r="F1339" s="17">
        <f t="shared" ca="1" si="1"/>
        <v>2011</v>
      </c>
      <c r="G1339" s="17">
        <f t="shared" ca="1" si="69"/>
        <v>10959</v>
      </c>
      <c r="H1339" s="3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3.7499999999999999E-2</v>
      </c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 spans="1:26" ht="13.5" customHeight="1" x14ac:dyDescent="0.3">
      <c r="A1340" s="17" t="s">
        <v>644</v>
      </c>
      <c r="B1340" s="17">
        <f t="shared" si="70"/>
        <v>14</v>
      </c>
      <c r="C1340" s="17">
        <f t="shared" si="26"/>
        <v>39</v>
      </c>
      <c r="D1340" s="17"/>
      <c r="E1340" s="17">
        <f t="shared" si="68"/>
        <v>65919</v>
      </c>
      <c r="F1340" s="17">
        <f t="shared" ca="1" si="1"/>
        <v>2011</v>
      </c>
      <c r="G1340" s="17">
        <f t="shared" ca="1" si="69"/>
        <v>10962</v>
      </c>
      <c r="H1340" s="29" t="str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Pg.no.82</v>
      </c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 spans="1:26" ht="13.5" customHeight="1" x14ac:dyDescent="0.3">
      <c r="A1341" s="17" t="s">
        <v>644</v>
      </c>
      <c r="B1341" s="17">
        <f t="shared" si="70"/>
        <v>14</v>
      </c>
      <c r="C1341" s="17">
        <f t="shared" si="26"/>
        <v>40</v>
      </c>
      <c r="D1341" s="17"/>
      <c r="E1341" s="17">
        <f t="shared" si="68"/>
        <v>65919</v>
      </c>
      <c r="F1341" s="17">
        <f t="shared" ca="1" si="1"/>
        <v>2011</v>
      </c>
      <c r="G1341" s="17">
        <f t="shared" ca="1" si="69"/>
        <v>10964</v>
      </c>
      <c r="H1341" s="29" t="str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Pg.no.67</v>
      </c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 spans="1:26" ht="13.5" customHeight="1" x14ac:dyDescent="0.3">
      <c r="A1342" s="17" t="s">
        <v>644</v>
      </c>
      <c r="B1342" s="17">
        <f t="shared" si="70"/>
        <v>14</v>
      </c>
      <c r="C1342" s="17">
        <f t="shared" si="26"/>
        <v>41</v>
      </c>
      <c r="D1342" s="17"/>
      <c r="E1342" s="17">
        <f t="shared" si="68"/>
        <v>65919</v>
      </c>
      <c r="F1342" s="17">
        <f t="shared" ca="1" si="1"/>
        <v>2011</v>
      </c>
      <c r="G1342" s="17">
        <f t="shared" ca="1" si="69"/>
        <v>10967</v>
      </c>
      <c r="H1342" s="29" t="str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RP-2000 Combined healthy table</v>
      </c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 spans="1:26" ht="13.5" customHeight="1" x14ac:dyDescent="0.3">
      <c r="A1343" s="17" t="s">
        <v>644</v>
      </c>
      <c r="B1343" s="17">
        <f t="shared" si="70"/>
        <v>14</v>
      </c>
      <c r="C1343" s="17">
        <f t="shared" si="26"/>
        <v>42</v>
      </c>
      <c r="D1343" s="17"/>
      <c r="E1343" s="17">
        <f t="shared" si="68"/>
        <v>65919</v>
      </c>
      <c r="F1343" s="17">
        <f t="shared" ca="1" si="1"/>
        <v>2011</v>
      </c>
      <c r="G1343" s="17">
        <f t="shared" ca="1" si="69"/>
        <v>10968</v>
      </c>
      <c r="H1343" s="2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2000</v>
      </c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 spans="1:26" ht="13.5" customHeight="1" x14ac:dyDescent="0.3">
      <c r="A1344" s="17" t="s">
        <v>644</v>
      </c>
      <c r="B1344" s="17">
        <f t="shared" si="70"/>
        <v>14</v>
      </c>
      <c r="C1344" s="17">
        <f t="shared" si="26"/>
        <v>43</v>
      </c>
      <c r="D1344" s="17"/>
      <c r="E1344" s="17">
        <f t="shared" si="68"/>
        <v>65919</v>
      </c>
      <c r="F1344" s="17">
        <f t="shared" ca="1" si="1"/>
        <v>2011</v>
      </c>
      <c r="G1344" s="17">
        <f t="shared" ca="1" si="69"/>
        <v>10969</v>
      </c>
      <c r="H1344" s="2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Scale AA</v>
      </c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 spans="1:26" ht="13.5" customHeight="1" x14ac:dyDescent="0.3">
      <c r="A1345" s="17" t="s">
        <v>644</v>
      </c>
      <c r="B1345" s="17">
        <f t="shared" si="70"/>
        <v>14</v>
      </c>
      <c r="C1345" s="17">
        <f t="shared" si="26"/>
        <v>44</v>
      </c>
      <c r="D1345" s="17"/>
      <c r="E1345" s="17">
        <f t="shared" si="68"/>
        <v>65919</v>
      </c>
      <c r="F1345" s="17">
        <f t="shared" ca="1" si="1"/>
        <v>2011</v>
      </c>
      <c r="G1345" s="17">
        <f t="shared" ca="1" si="69"/>
        <v>10970</v>
      </c>
      <c r="H1345" s="29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Male: 1 Year</v>
      </c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 spans="1:26" ht="13.5" customHeight="1" x14ac:dyDescent="0.3">
      <c r="A1346" s="17" t="s">
        <v>644</v>
      </c>
      <c r="B1346" s="17">
        <f t="shared" si="70"/>
        <v>14</v>
      </c>
      <c r="C1346" s="17">
        <f t="shared" si="26"/>
        <v>45</v>
      </c>
      <c r="D1346" s="17"/>
      <c r="E1346" s="17">
        <f t="shared" si="68"/>
        <v>65919</v>
      </c>
      <c r="F1346" s="17">
        <f t="shared" ca="1" si="1"/>
        <v>2011</v>
      </c>
      <c r="G1346" s="17">
        <f t="shared" ca="1" si="69"/>
        <v>10971</v>
      </c>
      <c r="H1346" s="29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Female: 1 Year</v>
      </c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 spans="1:26" ht="13.5" customHeight="1" x14ac:dyDescent="0.3">
      <c r="A1347" s="17" t="s">
        <v>644</v>
      </c>
      <c r="B1347" s="17">
        <f t="shared" si="70"/>
        <v>14</v>
      </c>
      <c r="C1347" s="17">
        <f t="shared" si="26"/>
        <v>46</v>
      </c>
      <c r="D1347" s="17"/>
      <c r="E1347" s="17">
        <f t="shared" si="68"/>
        <v>65919</v>
      </c>
      <c r="F1347" s="17">
        <f t="shared" ca="1" si="1"/>
        <v>2011</v>
      </c>
      <c r="G1347" s="17">
        <f t="shared" ca="1" si="69"/>
        <v>10972</v>
      </c>
      <c r="H1347" s="29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N/A</v>
      </c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 spans="1:26" ht="13.5" customHeight="1" x14ac:dyDescent="0.3">
      <c r="A1348" s="17" t="s">
        <v>644</v>
      </c>
      <c r="B1348" s="17">
        <f t="shared" si="70"/>
        <v>14</v>
      </c>
      <c r="C1348" s="17">
        <f t="shared" si="26"/>
        <v>47</v>
      </c>
      <c r="D1348" s="17"/>
      <c r="E1348" s="17">
        <f t="shared" ref="E1348:E1411" si="71">plan_id</f>
        <v>65919</v>
      </c>
      <c r="F1348" s="17">
        <f t="shared" ca="1" si="1"/>
        <v>2011</v>
      </c>
      <c r="G1348" s="17">
        <f t="shared" ref="G1348:G1411" ca="1" si="72">VLOOKUP(INDIRECT(CHAR(39)&amp;$A1348&amp;CHAR(39)&amp;"!r2c"&amp;$C1348,0),variables,2,0)</f>
        <v>10973</v>
      </c>
      <c r="H1348" s="29" t="str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N/A</v>
      </c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 spans="1:26" ht="13.5" customHeight="1" x14ac:dyDescent="0.3">
      <c r="A1349" s="17" t="s">
        <v>644</v>
      </c>
      <c r="B1349" s="17">
        <f t="shared" si="70"/>
        <v>14</v>
      </c>
      <c r="C1349" s="17">
        <f t="shared" si="26"/>
        <v>48</v>
      </c>
      <c r="D1349" s="17"/>
      <c r="E1349" s="17">
        <f t="shared" si="71"/>
        <v>65919</v>
      </c>
      <c r="F1349" s="17">
        <f t="shared" ca="1" si="1"/>
        <v>2011</v>
      </c>
      <c r="G1349" s="17">
        <f t="shared" ca="1" si="72"/>
        <v>10975</v>
      </c>
      <c r="H1349" s="29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 xml:space="preserve">Aggregate   </v>
      </c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 spans="1:26" ht="13.5" customHeight="1" x14ac:dyDescent="0.3">
      <c r="A1350" s="17" t="s">
        <v>644</v>
      </c>
      <c r="B1350" s="17">
        <f t="shared" si="70"/>
        <v>14</v>
      </c>
      <c r="C1350" s="17">
        <f t="shared" si="26"/>
        <v>49</v>
      </c>
      <c r="D1350" s="17"/>
      <c r="E1350" s="17">
        <f t="shared" si="71"/>
        <v>65919</v>
      </c>
      <c r="F1350" s="17">
        <f t="shared" ca="1" si="1"/>
        <v>2011</v>
      </c>
      <c r="G1350" s="17">
        <f t="shared" ca="1" si="72"/>
        <v>10976</v>
      </c>
      <c r="H1350" s="3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7.9000000000000001E-2</v>
      </c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 spans="1:26" ht="13.5" customHeight="1" x14ac:dyDescent="0.3">
      <c r="A1351" s="17" t="s">
        <v>644</v>
      </c>
      <c r="B1351" s="17">
        <f t="shared" si="70"/>
        <v>14</v>
      </c>
      <c r="C1351" s="17">
        <f t="shared" si="26"/>
        <v>50</v>
      </c>
      <c r="D1351" s="17"/>
      <c r="E1351" s="17">
        <f t="shared" si="71"/>
        <v>65919</v>
      </c>
      <c r="F1351" s="17">
        <f t="shared" ca="1" si="1"/>
        <v>2011</v>
      </c>
      <c r="G1351" s="17">
        <f t="shared" ca="1" si="72"/>
        <v>10977</v>
      </c>
      <c r="H1351" s="31" t="str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No</v>
      </c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 spans="1:26" ht="13.5" customHeight="1" x14ac:dyDescent="0.3">
      <c r="A1352" s="17" t="s">
        <v>644</v>
      </c>
      <c r="B1352" s="17">
        <f t="shared" si="70"/>
        <v>14</v>
      </c>
      <c r="C1352" s="17">
        <f t="shared" si="26"/>
        <v>51</v>
      </c>
      <c r="D1352" s="17"/>
      <c r="E1352" s="17">
        <f t="shared" si="71"/>
        <v>65919</v>
      </c>
      <c r="F1352" s="17">
        <f t="shared" ca="1" si="1"/>
        <v>2011</v>
      </c>
      <c r="G1352" s="17">
        <f t="shared" ca="1" si="72"/>
        <v>10978</v>
      </c>
      <c r="H1352" s="3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7.9000000000000001E-2</v>
      </c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 spans="1:26" ht="13.5" customHeight="1" x14ac:dyDescent="0.3">
      <c r="A1353" s="17" t="s">
        <v>644</v>
      </c>
      <c r="B1353" s="17">
        <f t="shared" si="70"/>
        <v>14</v>
      </c>
      <c r="C1353" s="17">
        <f t="shared" si="26"/>
        <v>52</v>
      </c>
      <c r="D1353" s="17"/>
      <c r="E1353" s="17">
        <f t="shared" si="71"/>
        <v>65919</v>
      </c>
      <c r="F1353" s="17">
        <f t="shared" ca="1" si="1"/>
        <v>2011</v>
      </c>
      <c r="G1353" s="17">
        <f t="shared" ca="1" si="72"/>
        <v>10979</v>
      </c>
      <c r="H1353" s="29" t="str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8 Years</v>
      </c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 spans="1:26" ht="13.5" customHeight="1" x14ac:dyDescent="0.3">
      <c r="A1354" s="17" t="s">
        <v>644</v>
      </c>
      <c r="B1354" s="17">
        <f t="shared" si="70"/>
        <v>14</v>
      </c>
      <c r="C1354" s="17">
        <f t="shared" si="26"/>
        <v>53</v>
      </c>
      <c r="D1354" s="17"/>
      <c r="E1354" s="17">
        <f t="shared" si="71"/>
        <v>65919</v>
      </c>
      <c r="F1354" s="17">
        <f t="shared" ca="1" si="1"/>
        <v>2011</v>
      </c>
      <c r="G1354" s="17">
        <f t="shared" ca="1" si="72"/>
        <v>10980</v>
      </c>
      <c r="H1354" s="3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6.3799999999999996E-2</v>
      </c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 spans="1:26" ht="13.5" customHeight="1" x14ac:dyDescent="0.3">
      <c r="A1355" s="17" t="s">
        <v>644</v>
      </c>
      <c r="B1355" s="17">
        <f t="shared" si="70"/>
        <v>14</v>
      </c>
      <c r="C1355" s="17">
        <f t="shared" si="26"/>
        <v>54</v>
      </c>
      <c r="D1355" s="17"/>
      <c r="E1355" s="17">
        <f t="shared" si="71"/>
        <v>65919</v>
      </c>
      <c r="F1355" s="17">
        <f t="shared" ca="1" si="1"/>
        <v>2011</v>
      </c>
      <c r="G1355" s="17">
        <f t="shared" ca="1" si="72"/>
        <v>10981</v>
      </c>
      <c r="H1355" s="3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0.21229999999999999</v>
      </c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 spans="1:26" ht="13.5" customHeight="1" x14ac:dyDescent="0.3">
      <c r="A1356" s="17" t="s">
        <v>644</v>
      </c>
      <c r="B1356" s="17">
        <f t="shared" si="70"/>
        <v>14</v>
      </c>
      <c r="C1356" s="17">
        <f t="shared" si="26"/>
        <v>55</v>
      </c>
      <c r="D1356" s="17"/>
      <c r="E1356" s="17">
        <f t="shared" si="71"/>
        <v>65919</v>
      </c>
      <c r="F1356" s="17">
        <f t="shared" ca="1" si="1"/>
        <v>2011</v>
      </c>
      <c r="G1356" s="17">
        <f t="shared" ca="1" si="72"/>
        <v>10706</v>
      </c>
      <c r="H1356" s="3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3.9781025568248486E-4</v>
      </c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 spans="1:26" ht="13.5" customHeight="1" x14ac:dyDescent="0.3">
      <c r="A1357" s="17" t="s">
        <v>644</v>
      </c>
      <c r="B1357" s="17">
        <f t="shared" si="70"/>
        <v>14</v>
      </c>
      <c r="C1357" s="17">
        <f t="shared" si="26"/>
        <v>56</v>
      </c>
      <c r="D1357" s="17"/>
      <c r="E1357" s="17">
        <f t="shared" si="71"/>
        <v>65919</v>
      </c>
      <c r="F1357" s="17">
        <f t="shared" ca="1" si="1"/>
        <v>2011</v>
      </c>
      <c r="G1357" s="17">
        <f t="shared" ca="1" si="72"/>
        <v>10983</v>
      </c>
      <c r="H1357" s="30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No</v>
      </c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 spans="1:26" ht="13.5" customHeight="1" x14ac:dyDescent="0.3">
      <c r="A1358" s="17" t="s">
        <v>644</v>
      </c>
      <c r="B1358" s="17">
        <f t="shared" si="70"/>
        <v>14</v>
      </c>
      <c r="C1358" s="17">
        <f t="shared" si="26"/>
        <v>57</v>
      </c>
      <c r="D1358" s="17"/>
      <c r="E1358" s="17">
        <f t="shared" si="71"/>
        <v>65919</v>
      </c>
      <c r="F1358" s="17">
        <f t="shared" ca="1" si="1"/>
        <v>2011</v>
      </c>
      <c r="G1358" s="17">
        <f t="shared" ca="1" si="72"/>
        <v>10989</v>
      </c>
      <c r="H1358" s="3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949000000</v>
      </c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 spans="1:26" ht="13.5" customHeight="1" x14ac:dyDescent="0.3">
      <c r="A1359" s="17" t="s">
        <v>644</v>
      </c>
      <c r="B1359" s="17">
        <f t="shared" si="70"/>
        <v>14</v>
      </c>
      <c r="C1359" s="17">
        <f t="shared" si="26"/>
        <v>58</v>
      </c>
      <c r="D1359" s="17"/>
      <c r="E1359" s="17">
        <f t="shared" si="71"/>
        <v>65919</v>
      </c>
      <c r="F1359" s="17">
        <f t="shared" ca="1" si="1"/>
        <v>2011</v>
      </c>
      <c r="G1359" s="17">
        <f t="shared" ca="1" si="72"/>
        <v>10990</v>
      </c>
      <c r="H1359" s="30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829000000</v>
      </c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 spans="1:26" ht="13.5" customHeight="1" x14ac:dyDescent="0.3">
      <c r="A1360" s="17" t="s">
        <v>644</v>
      </c>
      <c r="B1360" s="17">
        <f t="shared" si="70"/>
        <v>14</v>
      </c>
      <c r="C1360" s="17">
        <f t="shared" si="26"/>
        <v>59</v>
      </c>
      <c r="D1360" s="17"/>
      <c r="E1360" s="17">
        <f t="shared" si="71"/>
        <v>65919</v>
      </c>
      <c r="F1360" s="17">
        <f t="shared" ca="1" si="1"/>
        <v>2011</v>
      </c>
      <c r="G1360" s="17">
        <f t="shared" ca="1" si="72"/>
        <v>10991</v>
      </c>
      <c r="H1360" s="3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-120000000</v>
      </c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 spans="1:26" ht="13.5" customHeight="1" x14ac:dyDescent="0.3">
      <c r="A1361" s="17" t="s">
        <v>644</v>
      </c>
      <c r="B1361" s="17">
        <f t="shared" si="70"/>
        <v>14</v>
      </c>
      <c r="C1361" s="17">
        <f t="shared" si="26"/>
        <v>60</v>
      </c>
      <c r="D1361" s="17"/>
      <c r="E1361" s="17">
        <f t="shared" si="71"/>
        <v>65919</v>
      </c>
      <c r="F1361" s="17">
        <f t="shared" ca="1" si="1"/>
        <v>2011</v>
      </c>
      <c r="G1361" s="17">
        <f t="shared" ca="1" si="72"/>
        <v>10992</v>
      </c>
      <c r="H1361" s="3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1.145</v>
      </c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 spans="1:26" ht="13.5" customHeight="1" x14ac:dyDescent="0.3">
      <c r="A1362" s="17" t="s">
        <v>644</v>
      </c>
      <c r="B1362" s="17">
        <f t="shared" si="70"/>
        <v>14</v>
      </c>
      <c r="C1362" s="17">
        <f t="shared" si="26"/>
        <v>61</v>
      </c>
      <c r="D1362" s="17"/>
      <c r="E1362" s="17">
        <f t="shared" si="71"/>
        <v>65919</v>
      </c>
      <c r="F1362" s="17">
        <f t="shared" ca="1" si="1"/>
        <v>2011</v>
      </c>
      <c r="G1362" s="17">
        <f t="shared" ca="1" si="72"/>
        <v>10993</v>
      </c>
      <c r="H1362" s="30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61000000</v>
      </c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 spans="1:26" ht="13.5" customHeight="1" x14ac:dyDescent="0.3">
      <c r="A1363" s="17" t="s">
        <v>644</v>
      </c>
      <c r="B1363" s="17">
        <f t="shared" si="70"/>
        <v>14</v>
      </c>
      <c r="C1363" s="17">
        <f t="shared" si="26"/>
        <v>62</v>
      </c>
      <c r="D1363" s="17"/>
      <c r="E1363" s="17">
        <f t="shared" si="71"/>
        <v>65919</v>
      </c>
      <c r="F1363" s="17">
        <f t="shared" ca="1" si="1"/>
        <v>2011</v>
      </c>
      <c r="G1363" s="17">
        <f t="shared" ca="1" si="72"/>
        <v>10801</v>
      </c>
      <c r="H1363" s="30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8500000</v>
      </c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 spans="1:26" ht="13.5" customHeight="1" x14ac:dyDescent="0.3">
      <c r="A1364" s="17" t="s">
        <v>644</v>
      </c>
      <c r="B1364" s="17">
        <f t="shared" si="70"/>
        <v>14</v>
      </c>
      <c r="C1364" s="17">
        <f t="shared" si="26"/>
        <v>63</v>
      </c>
      <c r="D1364" s="17"/>
      <c r="E1364" s="17">
        <f t="shared" si="71"/>
        <v>65919</v>
      </c>
      <c r="F1364" s="17">
        <f t="shared" ca="1" si="1"/>
        <v>2011</v>
      </c>
      <c r="G1364" s="17">
        <f t="shared" ca="1" si="72"/>
        <v>10802</v>
      </c>
      <c r="H1364" s="30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 spans="1:26" ht="13.5" customHeight="1" x14ac:dyDescent="0.3">
      <c r="A1365" s="17" t="s">
        <v>644</v>
      </c>
      <c r="B1365" s="17">
        <f t="shared" si="70"/>
        <v>14</v>
      </c>
      <c r="C1365" s="17">
        <f t="shared" si="26"/>
        <v>64</v>
      </c>
      <c r="D1365" s="17"/>
      <c r="E1365" s="17">
        <f t="shared" si="71"/>
        <v>65919</v>
      </c>
      <c r="F1365" s="17">
        <f t="shared" ca="1" si="1"/>
        <v>2011</v>
      </c>
      <c r="G1365" s="17">
        <f t="shared" ca="1" si="72"/>
        <v>10803</v>
      </c>
      <c r="H1365" s="3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 spans="1:26" ht="13.5" customHeight="1" x14ac:dyDescent="0.3">
      <c r="A1366" s="17" t="s">
        <v>644</v>
      </c>
      <c r="B1366" s="17">
        <f t="shared" si="70"/>
        <v>14</v>
      </c>
      <c r="C1366" s="17">
        <f t="shared" si="26"/>
        <v>65</v>
      </c>
      <c r="D1366" s="17"/>
      <c r="E1366" s="17">
        <f t="shared" si="71"/>
        <v>65919</v>
      </c>
      <c r="F1366" s="17">
        <f t="shared" ca="1" si="1"/>
        <v>2011</v>
      </c>
      <c r="G1366" s="17">
        <f t="shared" ca="1" si="72"/>
        <v>10804</v>
      </c>
      <c r="H1366" s="3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 spans="1:26" ht="13.5" customHeight="1" x14ac:dyDescent="0.3">
      <c r="A1367" s="17" t="s">
        <v>644</v>
      </c>
      <c r="B1367" s="17">
        <f t="shared" si="70"/>
        <v>14</v>
      </c>
      <c r="C1367" s="17">
        <f t="shared" si="26"/>
        <v>66</v>
      </c>
      <c r="D1367" s="17"/>
      <c r="E1367" s="17">
        <f t="shared" si="71"/>
        <v>65919</v>
      </c>
      <c r="F1367" s="17">
        <f t="shared" ca="1" si="1"/>
        <v>2011</v>
      </c>
      <c r="G1367" s="17">
        <f t="shared" ca="1" si="72"/>
        <v>10805</v>
      </c>
      <c r="H1367" s="3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 spans="1:26" ht="13.5" customHeight="1" x14ac:dyDescent="0.3">
      <c r="A1368" s="17" t="s">
        <v>644</v>
      </c>
      <c r="B1368" s="17">
        <f t="shared" si="70"/>
        <v>14</v>
      </c>
      <c r="C1368" s="17">
        <f t="shared" si="26"/>
        <v>67</v>
      </c>
      <c r="D1368" s="17"/>
      <c r="E1368" s="17">
        <f t="shared" si="71"/>
        <v>65919</v>
      </c>
      <c r="F1368" s="17">
        <f t="shared" ca="1" si="1"/>
        <v>2011</v>
      </c>
      <c r="G1368" s="17">
        <f t="shared" ca="1" si="72"/>
        <v>10806</v>
      </c>
      <c r="H1368" s="30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 spans="1:26" ht="13.5" customHeight="1" x14ac:dyDescent="0.3">
      <c r="A1369" s="17" t="s">
        <v>644</v>
      </c>
      <c r="B1369" s="17">
        <f t="shared" ref="B1369:B1394" si="73">B1368</f>
        <v>14</v>
      </c>
      <c r="C1369" s="17">
        <f t="shared" si="26"/>
        <v>68</v>
      </c>
      <c r="D1369" s="17"/>
      <c r="E1369" s="17">
        <f t="shared" si="71"/>
        <v>65919</v>
      </c>
      <c r="F1369" s="17">
        <f t="shared" ca="1" si="1"/>
        <v>2011</v>
      </c>
      <c r="G1369" s="17">
        <f t="shared" ca="1" si="72"/>
        <v>10807</v>
      </c>
      <c r="H1369" s="30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 spans="1:26" ht="13.5" customHeight="1" x14ac:dyDescent="0.3">
      <c r="A1370" s="17" t="s">
        <v>644</v>
      </c>
      <c r="B1370" s="17">
        <f t="shared" si="73"/>
        <v>14</v>
      </c>
      <c r="C1370" s="17">
        <f t="shared" si="26"/>
        <v>69</v>
      </c>
      <c r="D1370" s="17"/>
      <c r="E1370" s="17">
        <f t="shared" si="71"/>
        <v>65919</v>
      </c>
      <c r="F1370" s="17">
        <f t="shared" ca="1" si="1"/>
        <v>2011</v>
      </c>
      <c r="G1370" s="17">
        <f t="shared" ca="1" si="72"/>
        <v>10808</v>
      </c>
      <c r="H1370" s="3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 spans="1:26" ht="13.5" customHeight="1" x14ac:dyDescent="0.3">
      <c r="A1371" s="17" t="s">
        <v>644</v>
      </c>
      <c r="B1371" s="17">
        <f t="shared" si="73"/>
        <v>14</v>
      </c>
      <c r="C1371" s="17">
        <f t="shared" si="26"/>
        <v>70</v>
      </c>
      <c r="D1371" s="17"/>
      <c r="E1371" s="17">
        <f t="shared" si="71"/>
        <v>65919</v>
      </c>
      <c r="F1371" s="17">
        <f t="shared" ca="1" si="1"/>
        <v>2011</v>
      </c>
      <c r="G1371" s="17">
        <f t="shared" ca="1" si="72"/>
        <v>10809</v>
      </c>
      <c r="H1371" s="30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 spans="1:26" ht="13.5" customHeight="1" x14ac:dyDescent="0.3">
      <c r="A1372" s="17" t="s">
        <v>644</v>
      </c>
      <c r="B1372" s="17">
        <f t="shared" si="73"/>
        <v>14</v>
      </c>
      <c r="C1372" s="17">
        <f t="shared" si="26"/>
        <v>71</v>
      </c>
      <c r="D1372" s="17"/>
      <c r="E1372" s="17">
        <f t="shared" si="71"/>
        <v>65919</v>
      </c>
      <c r="F1372" s="17">
        <f t="shared" ca="1" si="1"/>
        <v>2011</v>
      </c>
      <c r="G1372" s="17">
        <f t="shared" ca="1" si="72"/>
        <v>10810</v>
      </c>
      <c r="H1372" s="30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 spans="1:26" ht="13.5" customHeight="1" x14ac:dyDescent="0.3">
      <c r="A1373" s="17" t="s">
        <v>644</v>
      </c>
      <c r="B1373" s="17">
        <f t="shared" si="73"/>
        <v>14</v>
      </c>
      <c r="C1373" s="17">
        <f t="shared" si="26"/>
        <v>72</v>
      </c>
      <c r="D1373" s="17"/>
      <c r="E1373" s="17">
        <f t="shared" si="71"/>
        <v>65919</v>
      </c>
      <c r="F1373" s="17">
        <f t="shared" ca="1" si="1"/>
        <v>2011</v>
      </c>
      <c r="G1373" s="17">
        <f t="shared" ca="1" si="72"/>
        <v>10811</v>
      </c>
      <c r="H1373" s="30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 spans="1:26" ht="13.5" customHeight="1" x14ac:dyDescent="0.3">
      <c r="A1374" s="17" t="s">
        <v>644</v>
      </c>
      <c r="B1374" s="17">
        <f t="shared" si="73"/>
        <v>14</v>
      </c>
      <c r="C1374" s="17">
        <f t="shared" si="26"/>
        <v>73</v>
      </c>
      <c r="D1374" s="17"/>
      <c r="E1374" s="17">
        <f t="shared" si="71"/>
        <v>65919</v>
      </c>
      <c r="F1374" s="17">
        <f t="shared" ca="1" si="1"/>
        <v>2011</v>
      </c>
      <c r="G1374" s="17">
        <f t="shared" ca="1" si="72"/>
        <v>10812</v>
      </c>
      <c r="H1374" s="30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 spans="1:26" ht="13.5" customHeight="1" x14ac:dyDescent="0.3">
      <c r="A1375" s="17" t="s">
        <v>644</v>
      </c>
      <c r="B1375" s="17">
        <f t="shared" si="73"/>
        <v>14</v>
      </c>
      <c r="C1375" s="17">
        <f t="shared" si="26"/>
        <v>74</v>
      </c>
      <c r="D1375" s="17"/>
      <c r="E1375" s="17">
        <f t="shared" si="71"/>
        <v>65919</v>
      </c>
      <c r="F1375" s="17">
        <f t="shared" ca="1" si="1"/>
        <v>2011</v>
      </c>
      <c r="G1375" s="17">
        <f t="shared" ca="1" si="72"/>
        <v>10813</v>
      </c>
      <c r="H1375" s="3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 spans="1:26" ht="13.5" customHeight="1" x14ac:dyDescent="0.3">
      <c r="A1376" s="17" t="s">
        <v>644</v>
      </c>
      <c r="B1376" s="17">
        <f t="shared" si="73"/>
        <v>14</v>
      </c>
      <c r="C1376" s="17">
        <f t="shared" si="26"/>
        <v>75</v>
      </c>
      <c r="D1376" s="17"/>
      <c r="E1376" s="17">
        <f t="shared" si="71"/>
        <v>65919</v>
      </c>
      <c r="F1376" s="17">
        <f t="shared" ca="1" si="1"/>
        <v>2011</v>
      </c>
      <c r="G1376" s="17">
        <f t="shared" ca="1" si="72"/>
        <v>10814</v>
      </c>
      <c r="H1376" s="3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</v>
      </c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 spans="1:26" ht="13.5" customHeight="1" x14ac:dyDescent="0.3">
      <c r="A1377" s="17" t="s">
        <v>644</v>
      </c>
      <c r="B1377" s="17">
        <f t="shared" si="73"/>
        <v>14</v>
      </c>
      <c r="C1377" s="17">
        <f t="shared" si="26"/>
        <v>76</v>
      </c>
      <c r="D1377" s="17"/>
      <c r="E1377" s="17">
        <f t="shared" si="71"/>
        <v>65919</v>
      </c>
      <c r="F1377" s="17">
        <f t="shared" ca="1" si="1"/>
        <v>2011</v>
      </c>
      <c r="G1377" s="17">
        <f t="shared" ca="1" si="72"/>
        <v>10815</v>
      </c>
      <c r="H1377" s="3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-100000</v>
      </c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 spans="1:26" ht="13.5" customHeight="1" x14ac:dyDescent="0.3">
      <c r="A1378" s="17" t="s">
        <v>644</v>
      </c>
      <c r="B1378" s="17">
        <f t="shared" si="73"/>
        <v>14</v>
      </c>
      <c r="C1378" s="17">
        <f t="shared" si="26"/>
        <v>77</v>
      </c>
      <c r="D1378" s="17"/>
      <c r="E1378" s="17">
        <f t="shared" si="71"/>
        <v>65919</v>
      </c>
      <c r="F1378" s="17">
        <f t="shared" ca="1" si="1"/>
        <v>2011</v>
      </c>
      <c r="G1378" s="17">
        <f t="shared" ca="1" si="72"/>
        <v>10816</v>
      </c>
      <c r="H1378" s="30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-18800000</v>
      </c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 spans="1:26" ht="13.5" customHeight="1" x14ac:dyDescent="0.3">
      <c r="A1379" s="17" t="s">
        <v>644</v>
      </c>
      <c r="B1379" s="17">
        <f t="shared" si="73"/>
        <v>14</v>
      </c>
      <c r="C1379" s="17">
        <f t="shared" si="26"/>
        <v>78</v>
      </c>
      <c r="D1379" s="17"/>
      <c r="E1379" s="17">
        <f t="shared" si="71"/>
        <v>65919</v>
      </c>
      <c r="F1379" s="17">
        <f t="shared" ca="1" si="1"/>
        <v>2011</v>
      </c>
      <c r="G1379" s="17">
        <f t="shared" ca="1" si="72"/>
        <v>10817</v>
      </c>
      <c r="H1379" s="30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 spans="1:26" ht="13.5" customHeight="1" x14ac:dyDescent="0.3">
      <c r="A1380" s="17" t="s">
        <v>644</v>
      </c>
      <c r="B1380" s="17">
        <f t="shared" si="73"/>
        <v>14</v>
      </c>
      <c r="C1380" s="17">
        <f t="shared" si="26"/>
        <v>79</v>
      </c>
      <c r="D1380" s="17"/>
      <c r="E1380" s="17">
        <f t="shared" si="71"/>
        <v>65919</v>
      </c>
      <c r="F1380" s="17">
        <f t="shared" ca="1" si="1"/>
        <v>2011</v>
      </c>
      <c r="G1380" s="17">
        <f t="shared" ca="1" si="72"/>
        <v>10818</v>
      </c>
      <c r="H1380" s="30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 spans="1:26" ht="13.5" customHeight="1" x14ac:dyDescent="0.3">
      <c r="A1381" s="17" t="s">
        <v>644</v>
      </c>
      <c r="B1381" s="17">
        <f t="shared" si="73"/>
        <v>14</v>
      </c>
      <c r="C1381" s="17">
        <f t="shared" si="26"/>
        <v>80</v>
      </c>
      <c r="D1381" s="17"/>
      <c r="E1381" s="17">
        <f t="shared" si="71"/>
        <v>65919</v>
      </c>
      <c r="F1381" s="17">
        <f t="shared" ca="1" si="1"/>
        <v>2011</v>
      </c>
      <c r="G1381" s="17">
        <f t="shared" ca="1" si="72"/>
        <v>10819</v>
      </c>
      <c r="H1381" s="30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200000</v>
      </c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 spans="1:26" ht="13.5" customHeight="1" x14ac:dyDescent="0.3">
      <c r="A1382" s="17" t="s">
        <v>644</v>
      </c>
      <c r="B1382" s="17">
        <f t="shared" si="73"/>
        <v>14</v>
      </c>
      <c r="C1382" s="17">
        <f t="shared" si="26"/>
        <v>81</v>
      </c>
      <c r="D1382" s="17"/>
      <c r="E1382" s="17">
        <f t="shared" si="71"/>
        <v>65919</v>
      </c>
      <c r="F1382" s="17">
        <f t="shared" ca="1" si="1"/>
        <v>2011</v>
      </c>
      <c r="G1382" s="17">
        <f t="shared" ca="1" si="72"/>
        <v>10820</v>
      </c>
      <c r="H1382" s="3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 spans="1:26" ht="13.5" customHeight="1" x14ac:dyDescent="0.3">
      <c r="A1383" s="17" t="s">
        <v>644</v>
      </c>
      <c r="B1383" s="17">
        <f t="shared" si="73"/>
        <v>14</v>
      </c>
      <c r="C1383" s="17">
        <f t="shared" si="26"/>
        <v>82</v>
      </c>
      <c r="D1383" s="17"/>
      <c r="E1383" s="17">
        <f t="shared" si="71"/>
        <v>65919</v>
      </c>
      <c r="F1383" s="17">
        <f t="shared" ca="1" si="1"/>
        <v>2011</v>
      </c>
      <c r="G1383" s="17">
        <f t="shared" ca="1" si="72"/>
        <v>10821</v>
      </c>
      <c r="H1383" s="3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 spans="1:26" ht="13.5" customHeight="1" x14ac:dyDescent="0.3">
      <c r="A1384" s="17" t="s">
        <v>644</v>
      </c>
      <c r="B1384" s="17">
        <f t="shared" si="73"/>
        <v>14</v>
      </c>
      <c r="C1384" s="17">
        <f t="shared" si="26"/>
        <v>83</v>
      </c>
      <c r="D1384" s="17"/>
      <c r="E1384" s="17">
        <f t="shared" si="71"/>
        <v>65919</v>
      </c>
      <c r="F1384" s="17">
        <f t="shared" ca="1" si="1"/>
        <v>2011</v>
      </c>
      <c r="G1384" s="17">
        <f t="shared" ca="1" si="72"/>
        <v>10822</v>
      </c>
      <c r="H1384" s="30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 spans="1:26" ht="13.5" customHeight="1" x14ac:dyDescent="0.3">
      <c r="A1385" s="17" t="s">
        <v>644</v>
      </c>
      <c r="B1385" s="17">
        <f t="shared" si="73"/>
        <v>14</v>
      </c>
      <c r="C1385" s="17">
        <f t="shared" si="26"/>
        <v>84</v>
      </c>
      <c r="D1385" s="17"/>
      <c r="E1385" s="17">
        <f t="shared" si="71"/>
        <v>65919</v>
      </c>
      <c r="F1385" s="17">
        <f t="shared" ca="1" si="1"/>
        <v>2011</v>
      </c>
      <c r="G1385" s="17">
        <f t="shared" ca="1" si="72"/>
        <v>10829</v>
      </c>
      <c r="H1385" s="3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 spans="1:26" ht="13.5" customHeight="1" x14ac:dyDescent="0.3">
      <c r="A1386" s="17" t="s">
        <v>644</v>
      </c>
      <c r="B1386" s="17">
        <f t="shared" si="73"/>
        <v>14</v>
      </c>
      <c r="C1386" s="17">
        <f t="shared" si="26"/>
        <v>85</v>
      </c>
      <c r="D1386" s="17"/>
      <c r="E1386" s="17">
        <f t="shared" si="71"/>
        <v>65919</v>
      </c>
      <c r="F1386" s="17">
        <f t="shared" ca="1" si="1"/>
        <v>2011</v>
      </c>
      <c r="G1386" s="17">
        <f t="shared" ca="1" si="72"/>
        <v>10823</v>
      </c>
      <c r="H1386" s="30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-10200000</v>
      </c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 spans="1:26" ht="13.5" customHeight="1" x14ac:dyDescent="0.3">
      <c r="A1387" s="17" t="s">
        <v>644</v>
      </c>
      <c r="B1387" s="17">
        <f t="shared" si="73"/>
        <v>14</v>
      </c>
      <c r="C1387" s="17">
        <f t="shared" si="26"/>
        <v>86</v>
      </c>
      <c r="D1387" s="17"/>
      <c r="E1387" s="17">
        <f t="shared" si="71"/>
        <v>65919</v>
      </c>
      <c r="F1387" s="17">
        <f t="shared" ca="1" si="1"/>
        <v>2011</v>
      </c>
      <c r="G1387" s="17">
        <f t="shared" ca="1" si="72"/>
        <v>10798</v>
      </c>
      <c r="H1387" s="30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 spans="1:26" ht="13.5" customHeight="1" x14ac:dyDescent="0.3">
      <c r="A1388" s="17" t="s">
        <v>644</v>
      </c>
      <c r="B1388" s="17">
        <f t="shared" si="73"/>
        <v>14</v>
      </c>
      <c r="C1388" s="17">
        <f t="shared" si="26"/>
        <v>87</v>
      </c>
      <c r="D1388" s="17"/>
      <c r="E1388" s="17">
        <f t="shared" si="71"/>
        <v>65919</v>
      </c>
      <c r="F1388" s="17">
        <f t="shared" ca="1" si="1"/>
        <v>2011</v>
      </c>
      <c r="G1388" s="17">
        <f t="shared" ca="1" si="72"/>
        <v>10799</v>
      </c>
      <c r="H1388" s="30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0</v>
      </c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 spans="1:26" ht="13.5" customHeight="1" x14ac:dyDescent="0.3">
      <c r="A1389" s="17" t="s">
        <v>644</v>
      </c>
      <c r="B1389" s="17">
        <f t="shared" si="73"/>
        <v>14</v>
      </c>
      <c r="C1389" s="17">
        <f t="shared" si="26"/>
        <v>88</v>
      </c>
      <c r="D1389" s="17"/>
      <c r="E1389" s="17">
        <f t="shared" si="71"/>
        <v>65919</v>
      </c>
      <c r="F1389" s="17">
        <f t="shared" ca="1" si="1"/>
        <v>2011</v>
      </c>
      <c r="G1389" s="17">
        <f t="shared" ca="1" si="72"/>
        <v>10800</v>
      </c>
      <c r="H1389" s="3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</v>
      </c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 spans="1:26" ht="13.5" customHeight="1" x14ac:dyDescent="0.3">
      <c r="A1390" s="17" t="s">
        <v>644</v>
      </c>
      <c r="B1390" s="17">
        <f t="shared" si="73"/>
        <v>14</v>
      </c>
      <c r="C1390" s="17">
        <f t="shared" si="26"/>
        <v>89</v>
      </c>
      <c r="D1390" s="17"/>
      <c r="E1390" s="17">
        <f t="shared" si="71"/>
        <v>65919</v>
      </c>
      <c r="F1390" s="17">
        <f t="shared" ca="1" si="1"/>
        <v>2011</v>
      </c>
      <c r="G1390" s="17">
        <f t="shared" ca="1" si="72"/>
        <v>10824</v>
      </c>
      <c r="H1390" s="30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 spans="1:26" ht="13.5" customHeight="1" x14ac:dyDescent="0.3">
      <c r="A1391" s="17" t="s">
        <v>644</v>
      </c>
      <c r="B1391" s="17">
        <f t="shared" si="73"/>
        <v>14</v>
      </c>
      <c r="C1391" s="17">
        <f t="shared" si="26"/>
        <v>90</v>
      </c>
      <c r="D1391" s="17"/>
      <c r="E1391" s="17">
        <f t="shared" si="71"/>
        <v>65919</v>
      </c>
      <c r="F1391" s="17">
        <f t="shared" ca="1" si="1"/>
        <v>2011</v>
      </c>
      <c r="G1391" s="17">
        <f t="shared" ca="1" si="72"/>
        <v>10825</v>
      </c>
      <c r="H1391" s="3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</v>
      </c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  <row r="1392" spans="1:26" ht="13.5" customHeight="1" x14ac:dyDescent="0.3">
      <c r="A1392" s="17" t="s">
        <v>644</v>
      </c>
      <c r="B1392" s="17">
        <f t="shared" si="73"/>
        <v>14</v>
      </c>
      <c r="C1392" s="17">
        <f t="shared" si="26"/>
        <v>91</v>
      </c>
      <c r="D1392" s="17"/>
      <c r="E1392" s="17">
        <f t="shared" si="71"/>
        <v>65919</v>
      </c>
      <c r="F1392" s="17">
        <f t="shared" ca="1" si="1"/>
        <v>2011</v>
      </c>
      <c r="G1392" s="17">
        <f t="shared" ca="1" si="72"/>
        <v>10826</v>
      </c>
      <c r="H1392" s="30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</row>
    <row r="1393" spans="1:26" ht="13.5" customHeight="1" x14ac:dyDescent="0.3">
      <c r="A1393" s="17" t="s">
        <v>644</v>
      </c>
      <c r="B1393" s="17">
        <f t="shared" si="73"/>
        <v>14</v>
      </c>
      <c r="C1393" s="17">
        <f t="shared" si="26"/>
        <v>92</v>
      </c>
      <c r="D1393" s="17"/>
      <c r="E1393" s="17">
        <f t="shared" si="71"/>
        <v>65919</v>
      </c>
      <c r="F1393" s="17">
        <f t="shared" ca="1" si="1"/>
        <v>2011</v>
      </c>
      <c r="G1393" s="17">
        <f t="shared" ca="1" si="72"/>
        <v>10828</v>
      </c>
      <c r="H1393" s="3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</row>
    <row r="1394" spans="1:26" ht="13.5" customHeight="1" x14ac:dyDescent="0.3">
      <c r="A1394" s="17" t="s">
        <v>644</v>
      </c>
      <c r="B1394" s="17">
        <f t="shared" si="73"/>
        <v>14</v>
      </c>
      <c r="C1394" s="17">
        <f t="shared" si="26"/>
        <v>93</v>
      </c>
      <c r="D1394" s="17"/>
      <c r="E1394" s="17">
        <f t="shared" si="71"/>
        <v>65919</v>
      </c>
      <c r="F1394" s="17">
        <f t="shared" ca="1" si="1"/>
        <v>2011</v>
      </c>
      <c r="G1394" s="17">
        <f t="shared" ca="1" si="72"/>
        <v>10827</v>
      </c>
      <c r="H1394" s="2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</row>
    <row r="1395" spans="1:26" ht="13.5" customHeight="1" x14ac:dyDescent="0.3">
      <c r="A1395" s="17" t="s">
        <v>644</v>
      </c>
      <c r="B1395" s="17">
        <f t="shared" ref="B1395:B1459" si="74">B1330+1</f>
        <v>15</v>
      </c>
      <c r="C1395" s="17">
        <f t="shared" si="26"/>
        <v>3</v>
      </c>
      <c r="D1395" s="17"/>
      <c r="E1395" s="17">
        <f t="shared" si="71"/>
        <v>65919</v>
      </c>
      <c r="F1395" s="17">
        <f t="shared" ca="1" si="1"/>
        <v>2012</v>
      </c>
      <c r="G1395" s="17">
        <f t="shared" ca="1" si="72"/>
        <v>10703</v>
      </c>
      <c r="H1395" s="2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2012</v>
      </c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</row>
    <row r="1396" spans="1:26" ht="13.5" customHeight="1" x14ac:dyDescent="0.3">
      <c r="A1396" s="17" t="s">
        <v>644</v>
      </c>
      <c r="B1396" s="17">
        <f t="shared" si="74"/>
        <v>15</v>
      </c>
      <c r="C1396" s="17">
        <f t="shared" si="26"/>
        <v>4</v>
      </c>
      <c r="D1396" s="17"/>
      <c r="E1396" s="17">
        <f t="shared" si="71"/>
        <v>65919</v>
      </c>
      <c r="F1396" s="17">
        <f t="shared" ca="1" si="1"/>
        <v>2012</v>
      </c>
      <c r="G1396" s="17">
        <f t="shared" ca="1" si="72"/>
        <v>10845</v>
      </c>
      <c r="H1396" s="2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The Office Of The State Actuary</v>
      </c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</row>
    <row r="1397" spans="1:26" ht="13.5" customHeight="1" x14ac:dyDescent="0.3">
      <c r="A1397" s="17" t="s">
        <v>644</v>
      </c>
      <c r="B1397" s="17">
        <f t="shared" si="74"/>
        <v>15</v>
      </c>
      <c r="C1397" s="17">
        <f t="shared" si="26"/>
        <v>5</v>
      </c>
      <c r="D1397" s="17"/>
      <c r="E1397" s="17">
        <f t="shared" si="71"/>
        <v>65919</v>
      </c>
      <c r="F1397" s="17">
        <f t="shared" ca="1" si="1"/>
        <v>2012</v>
      </c>
      <c r="G1397" s="17">
        <f t="shared" ca="1" si="72"/>
        <v>10924</v>
      </c>
      <c r="H1397" s="3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0.14200000000000002</v>
      </c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</row>
    <row r="1398" spans="1:26" ht="13.5" customHeight="1" x14ac:dyDescent="0.3">
      <c r="A1398" s="17" t="s">
        <v>644</v>
      </c>
      <c r="B1398" s="17">
        <f t="shared" si="74"/>
        <v>15</v>
      </c>
      <c r="C1398" s="17">
        <f t="shared" si="26"/>
        <v>6</v>
      </c>
      <c r="D1398" s="17"/>
      <c r="E1398" s="17">
        <f t="shared" si="71"/>
        <v>65919</v>
      </c>
      <c r="F1398" s="17">
        <f t="shared" ca="1" si="1"/>
        <v>2012</v>
      </c>
      <c r="G1398" s="17">
        <f t="shared" ca="1" si="72"/>
        <v>10925</v>
      </c>
      <c r="H1398" s="3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7.7600000000000002E-2</v>
      </c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</row>
    <row r="1399" spans="1:26" ht="13.5" customHeight="1" x14ac:dyDescent="0.3">
      <c r="A1399" s="17" t="s">
        <v>644</v>
      </c>
      <c r="B1399" s="17">
        <f t="shared" si="74"/>
        <v>15</v>
      </c>
      <c r="C1399" s="17">
        <f t="shared" si="26"/>
        <v>7</v>
      </c>
      <c r="D1399" s="17"/>
      <c r="E1399" s="17">
        <f t="shared" si="71"/>
        <v>65919</v>
      </c>
      <c r="F1399" s="17">
        <f t="shared" ca="1" si="1"/>
        <v>2012</v>
      </c>
      <c r="G1399" s="17">
        <f t="shared" ca="1" si="72"/>
        <v>10926</v>
      </c>
      <c r="H1399" s="3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6.4399999999999999E-2</v>
      </c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</row>
    <row r="1400" spans="1:26" ht="13.5" customHeight="1" x14ac:dyDescent="0.3">
      <c r="A1400" s="17" t="s">
        <v>644</v>
      </c>
      <c r="B1400" s="17">
        <f t="shared" si="74"/>
        <v>15</v>
      </c>
      <c r="C1400" s="17">
        <f t="shared" si="26"/>
        <v>8</v>
      </c>
      <c r="D1400" s="17"/>
      <c r="E1400" s="17">
        <f t="shared" si="71"/>
        <v>65919</v>
      </c>
      <c r="F1400" s="17">
        <f t="shared" ca="1" si="1"/>
        <v>2012</v>
      </c>
      <c r="G1400" s="17">
        <f t="shared" ca="1" si="72"/>
        <v>10704</v>
      </c>
      <c r="H1400" s="3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</v>
      </c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</row>
    <row r="1401" spans="1:26" ht="13.5" customHeight="1" x14ac:dyDescent="0.3">
      <c r="A1401" s="17" t="s">
        <v>644</v>
      </c>
      <c r="B1401" s="17">
        <f t="shared" si="74"/>
        <v>15</v>
      </c>
      <c r="C1401" s="17">
        <f t="shared" si="26"/>
        <v>9</v>
      </c>
      <c r="D1401" s="17"/>
      <c r="E1401" s="17">
        <f t="shared" si="71"/>
        <v>65919</v>
      </c>
      <c r="F1401" s="17">
        <f t="shared" ca="1" si="1"/>
        <v>2012</v>
      </c>
      <c r="G1401" s="17">
        <f t="shared" ca="1" si="72"/>
        <v>10928</v>
      </c>
      <c r="H1401" s="31" t="str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N/A</v>
      </c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</row>
    <row r="1402" spans="1:26" ht="13.5" customHeight="1" x14ac:dyDescent="0.3">
      <c r="A1402" s="17" t="s">
        <v>644</v>
      </c>
      <c r="B1402" s="17">
        <f t="shared" si="74"/>
        <v>15</v>
      </c>
      <c r="C1402" s="17">
        <f t="shared" si="26"/>
        <v>10</v>
      </c>
      <c r="D1402" s="17"/>
      <c r="E1402" s="17">
        <f t="shared" si="71"/>
        <v>65919</v>
      </c>
      <c r="F1402" s="17">
        <f t="shared" ca="1" si="1"/>
        <v>2012</v>
      </c>
      <c r="G1402" s="17">
        <f t="shared" ca="1" si="72"/>
        <v>10929</v>
      </c>
      <c r="H1402" s="31" t="str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N/A</v>
      </c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</row>
    <row r="1403" spans="1:26" ht="13.5" customHeight="1" x14ac:dyDescent="0.3">
      <c r="A1403" s="17" t="s">
        <v>644</v>
      </c>
      <c r="B1403" s="17">
        <f t="shared" si="74"/>
        <v>15</v>
      </c>
      <c r="C1403" s="17">
        <f t="shared" si="26"/>
        <v>11</v>
      </c>
      <c r="D1403" s="17"/>
      <c r="E1403" s="17">
        <f t="shared" si="71"/>
        <v>65919</v>
      </c>
      <c r="F1403" s="17">
        <f t="shared" ca="1" si="1"/>
        <v>2012</v>
      </c>
      <c r="G1403" s="17">
        <f t="shared" ca="1" si="72"/>
        <v>10930</v>
      </c>
      <c r="H1403" s="3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</row>
    <row r="1404" spans="1:26" ht="13.5" customHeight="1" x14ac:dyDescent="0.3">
      <c r="A1404" s="17" t="s">
        <v>644</v>
      </c>
      <c r="B1404" s="17">
        <f t="shared" si="74"/>
        <v>15</v>
      </c>
      <c r="C1404" s="17">
        <f t="shared" si="26"/>
        <v>12</v>
      </c>
      <c r="D1404" s="17"/>
      <c r="E1404" s="17">
        <f t="shared" si="71"/>
        <v>65919</v>
      </c>
      <c r="F1404" s="17">
        <f t="shared" ca="1" si="1"/>
        <v>2012</v>
      </c>
      <c r="G1404" s="17">
        <f t="shared" ca="1" si="72"/>
        <v>10705</v>
      </c>
      <c r="H1404" s="3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5376000</v>
      </c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</row>
    <row r="1405" spans="1:26" ht="13.5" customHeight="1" x14ac:dyDescent="0.3">
      <c r="A1405" s="17" t="s">
        <v>644</v>
      </c>
      <c r="B1405" s="17">
        <f t="shared" si="74"/>
        <v>15</v>
      </c>
      <c r="C1405" s="17">
        <f t="shared" si="26"/>
        <v>13</v>
      </c>
      <c r="D1405" s="17"/>
      <c r="E1405" s="17">
        <f t="shared" si="71"/>
        <v>65919</v>
      </c>
      <c r="F1405" s="17">
        <f t="shared" ca="1" si="1"/>
        <v>2012</v>
      </c>
      <c r="G1405" s="17">
        <f t="shared" ca="1" si="72"/>
        <v>10842</v>
      </c>
      <c r="H1405" s="3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</row>
    <row r="1406" spans="1:26" ht="13.5" customHeight="1" x14ac:dyDescent="0.3">
      <c r="A1406" s="17" t="s">
        <v>644</v>
      </c>
      <c r="B1406" s="17">
        <f t="shared" si="74"/>
        <v>15</v>
      </c>
      <c r="C1406" s="17">
        <f t="shared" si="26"/>
        <v>14</v>
      </c>
      <c r="D1406" s="17"/>
      <c r="E1406" s="17">
        <f t="shared" si="71"/>
        <v>65919</v>
      </c>
      <c r="F1406" s="17">
        <f t="shared" ca="1" si="1"/>
        <v>2012</v>
      </c>
      <c r="G1406" s="17">
        <f t="shared" ca="1" si="72"/>
        <v>10843</v>
      </c>
      <c r="H1406" s="3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</row>
    <row r="1407" spans="1:26" ht="13.5" customHeight="1" x14ac:dyDescent="0.3">
      <c r="A1407" s="17" t="s">
        <v>644</v>
      </c>
      <c r="B1407" s="17">
        <f t="shared" si="74"/>
        <v>15</v>
      </c>
      <c r="C1407" s="17">
        <f t="shared" si="26"/>
        <v>15</v>
      </c>
      <c r="D1407" s="17"/>
      <c r="E1407" s="17">
        <f t="shared" si="71"/>
        <v>65919</v>
      </c>
      <c r="F1407" s="17">
        <f t="shared" ca="1" si="1"/>
        <v>2012</v>
      </c>
      <c r="G1407" s="17">
        <f t="shared" ca="1" si="72"/>
        <v>10931</v>
      </c>
      <c r="H1407" s="3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</row>
    <row r="1408" spans="1:26" ht="13.5" customHeight="1" x14ac:dyDescent="0.3">
      <c r="A1408" s="17" t="s">
        <v>644</v>
      </c>
      <c r="B1408" s="17">
        <f t="shared" si="74"/>
        <v>15</v>
      </c>
      <c r="C1408" s="17">
        <f t="shared" si="26"/>
        <v>16</v>
      </c>
      <c r="D1408" s="17"/>
      <c r="E1408" s="17">
        <f t="shared" si="71"/>
        <v>65919</v>
      </c>
      <c r="F1408" s="17">
        <f t="shared" ca="1" si="1"/>
        <v>2012</v>
      </c>
      <c r="G1408" s="17">
        <f t="shared" ca="1" si="72"/>
        <v>10932</v>
      </c>
      <c r="H1408" s="3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</row>
    <row r="1409" spans="1:26" ht="13.5" customHeight="1" x14ac:dyDescent="0.3">
      <c r="A1409" s="17" t="s">
        <v>644</v>
      </c>
      <c r="B1409" s="17">
        <f t="shared" si="74"/>
        <v>15</v>
      </c>
      <c r="C1409" s="17">
        <f t="shared" si="26"/>
        <v>17</v>
      </c>
      <c r="D1409" s="17"/>
      <c r="E1409" s="17">
        <f t="shared" si="71"/>
        <v>65919</v>
      </c>
      <c r="F1409" s="17">
        <f t="shared" ca="1" si="1"/>
        <v>2012</v>
      </c>
      <c r="G1409" s="17">
        <f t="shared" ca="1" si="72"/>
        <v>10933</v>
      </c>
      <c r="H1409" s="3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7.7600000000000002E-2</v>
      </c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</row>
    <row r="1410" spans="1:26" ht="13.5" customHeight="1" x14ac:dyDescent="0.3">
      <c r="A1410" s="17" t="s">
        <v>644</v>
      </c>
      <c r="B1410" s="17">
        <f t="shared" si="74"/>
        <v>15</v>
      </c>
      <c r="C1410" s="17">
        <f t="shared" si="26"/>
        <v>18</v>
      </c>
      <c r="D1410" s="17"/>
      <c r="E1410" s="17">
        <f t="shared" si="71"/>
        <v>65919</v>
      </c>
      <c r="F1410" s="17">
        <f t="shared" ca="1" si="1"/>
        <v>2012</v>
      </c>
      <c r="G1410" s="17">
        <f t="shared" ca="1" si="72"/>
        <v>10934</v>
      </c>
      <c r="H1410" s="3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6.4399999999999999E-2</v>
      </c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</row>
    <row r="1411" spans="1:26" ht="13.5" customHeight="1" x14ac:dyDescent="0.3">
      <c r="A1411" s="17" t="s">
        <v>644</v>
      </c>
      <c r="B1411" s="17">
        <f t="shared" si="74"/>
        <v>15</v>
      </c>
      <c r="C1411" s="17">
        <f t="shared" si="26"/>
        <v>19</v>
      </c>
      <c r="D1411" s="17"/>
      <c r="E1411" s="17">
        <f t="shared" si="71"/>
        <v>65919</v>
      </c>
      <c r="F1411" s="17">
        <f t="shared" ca="1" si="1"/>
        <v>2012</v>
      </c>
      <c r="G1411" s="17">
        <f t="shared" ca="1" si="72"/>
        <v>10935</v>
      </c>
      <c r="H1411" s="29" t="str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Single Rate</v>
      </c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</row>
    <row r="1412" spans="1:26" ht="13.5" customHeight="1" x14ac:dyDescent="0.3">
      <c r="A1412" s="17" t="s">
        <v>644</v>
      </c>
      <c r="B1412" s="17">
        <f t="shared" si="74"/>
        <v>15</v>
      </c>
      <c r="C1412" s="17">
        <f t="shared" si="26"/>
        <v>20</v>
      </c>
      <c r="D1412" s="17"/>
      <c r="E1412" s="17">
        <f t="shared" ref="E1412:E1475" si="75">plan_id</f>
        <v>65919</v>
      </c>
      <c r="F1412" s="17">
        <f t="shared" ca="1" si="1"/>
        <v>2012</v>
      </c>
      <c r="G1412" s="17">
        <f t="shared" ref="G1412:G1475" ca="1" si="76">VLOOKUP(INDIRECT(CHAR(39)&amp;$A1412&amp;CHAR(39)&amp;"!r2c"&amp;$C1412,0),variables,2,0)</f>
        <v>10937</v>
      </c>
      <c r="H1412" s="3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</row>
    <row r="1413" spans="1:26" ht="13.5" customHeight="1" x14ac:dyDescent="0.3">
      <c r="A1413" s="17" t="s">
        <v>644</v>
      </c>
      <c r="B1413" s="17">
        <f t="shared" si="74"/>
        <v>15</v>
      </c>
      <c r="C1413" s="17">
        <f t="shared" si="26"/>
        <v>21</v>
      </c>
      <c r="D1413" s="17"/>
      <c r="E1413" s="17">
        <f t="shared" si="75"/>
        <v>65919</v>
      </c>
      <c r="F1413" s="17">
        <f t="shared" ca="1" si="1"/>
        <v>2012</v>
      </c>
      <c r="G1413" s="17">
        <f t="shared" ca="1" si="76"/>
        <v>10938</v>
      </c>
      <c r="H1413" s="3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</row>
    <row r="1414" spans="1:26" ht="13.5" customHeight="1" x14ac:dyDescent="0.3">
      <c r="A1414" s="17" t="s">
        <v>644</v>
      </c>
      <c r="B1414" s="17">
        <f t="shared" si="74"/>
        <v>15</v>
      </c>
      <c r="C1414" s="17">
        <f t="shared" si="26"/>
        <v>22</v>
      </c>
      <c r="D1414" s="17"/>
      <c r="E1414" s="17">
        <f t="shared" si="75"/>
        <v>65919</v>
      </c>
      <c r="F1414" s="17">
        <f t="shared" ca="1" si="1"/>
        <v>2012</v>
      </c>
      <c r="G1414" s="17">
        <f t="shared" ca="1" si="76"/>
        <v>11007</v>
      </c>
      <c r="H1414" s="29" t="str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Accrued Benefit Formula= 2% x YOS x AFC (Max= 75% AFC)</v>
      </c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</row>
    <row r="1415" spans="1:26" ht="13.5" customHeight="1" x14ac:dyDescent="0.3">
      <c r="A1415" s="17" t="s">
        <v>644</v>
      </c>
      <c r="B1415" s="17">
        <f t="shared" si="74"/>
        <v>15</v>
      </c>
      <c r="C1415" s="17">
        <f t="shared" si="26"/>
        <v>23</v>
      </c>
      <c r="D1415" s="17"/>
      <c r="E1415" s="17">
        <f t="shared" si="75"/>
        <v>65919</v>
      </c>
      <c r="F1415" s="17">
        <f t="shared" ca="1" si="1"/>
        <v>2012</v>
      </c>
      <c r="G1415" s="17">
        <f t="shared" ca="1" si="76"/>
        <v>10941</v>
      </c>
      <c r="H1415" s="29" t="str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COLA</v>
      </c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</row>
    <row r="1416" spans="1:26" ht="13.5" customHeight="1" x14ac:dyDescent="0.3">
      <c r="A1416" s="17" t="s">
        <v>644</v>
      </c>
      <c r="B1416" s="17">
        <f t="shared" si="74"/>
        <v>15</v>
      </c>
      <c r="C1416" s="17">
        <f t="shared" si="26"/>
        <v>24</v>
      </c>
      <c r="D1416" s="17"/>
      <c r="E1416" s="17">
        <f t="shared" si="75"/>
        <v>65919</v>
      </c>
      <c r="F1416" s="17">
        <f t="shared" ca="1" si="1"/>
        <v>2012</v>
      </c>
      <c r="G1416" s="17">
        <f t="shared" ca="1" si="76"/>
        <v>10942</v>
      </c>
      <c r="H1416" s="29" t="str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Percentage</v>
      </c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</row>
    <row r="1417" spans="1:26" ht="13.5" customHeight="1" x14ac:dyDescent="0.3">
      <c r="A1417" s="17" t="s">
        <v>644</v>
      </c>
      <c r="B1417" s="17">
        <f t="shared" si="74"/>
        <v>15</v>
      </c>
      <c r="C1417" s="17">
        <f t="shared" si="26"/>
        <v>25</v>
      </c>
      <c r="D1417" s="17"/>
      <c r="E1417" s="17">
        <f t="shared" si="75"/>
        <v>65919</v>
      </c>
      <c r="F1417" s="17">
        <f t="shared" ca="1" si="1"/>
        <v>2012</v>
      </c>
      <c r="G1417" s="17">
        <f t="shared" ca="1" si="76"/>
        <v>10701</v>
      </c>
      <c r="H1417" s="3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0.03</v>
      </c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</row>
    <row r="1418" spans="1:26" ht="13.5" customHeight="1" x14ac:dyDescent="0.3">
      <c r="A1418" s="17" t="s">
        <v>644</v>
      </c>
      <c r="B1418" s="17">
        <f t="shared" si="74"/>
        <v>15</v>
      </c>
      <c r="C1418" s="17">
        <f t="shared" si="26"/>
        <v>26</v>
      </c>
      <c r="D1418" s="17"/>
      <c r="E1418" s="17">
        <f t="shared" si="75"/>
        <v>65919</v>
      </c>
      <c r="F1418" s="17">
        <f t="shared" ca="1" si="1"/>
        <v>2012</v>
      </c>
      <c r="G1418" s="17">
        <f t="shared" ca="1" si="76"/>
        <v>10702</v>
      </c>
      <c r="H1418" s="3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</row>
    <row r="1419" spans="1:26" ht="13.5" customHeight="1" x14ac:dyDescent="0.3">
      <c r="A1419" s="17" t="s">
        <v>644</v>
      </c>
      <c r="B1419" s="17">
        <f t="shared" si="74"/>
        <v>15</v>
      </c>
      <c r="C1419" s="17">
        <f t="shared" si="26"/>
        <v>27</v>
      </c>
      <c r="D1419" s="17"/>
      <c r="E1419" s="17">
        <f t="shared" si="75"/>
        <v>65919</v>
      </c>
      <c r="F1419" s="17">
        <f t="shared" ca="1" si="1"/>
        <v>2012</v>
      </c>
      <c r="G1419" s="17">
        <f t="shared" ca="1" si="76"/>
        <v>10943</v>
      </c>
      <c r="H1419" s="2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</row>
    <row r="1420" spans="1:26" ht="13.5" customHeight="1" x14ac:dyDescent="0.3">
      <c r="A1420" s="17" t="s">
        <v>644</v>
      </c>
      <c r="B1420" s="17">
        <f t="shared" si="74"/>
        <v>15</v>
      </c>
      <c r="C1420" s="17">
        <f t="shared" si="26"/>
        <v>28</v>
      </c>
      <c r="D1420" s="17"/>
      <c r="E1420" s="17">
        <f t="shared" si="75"/>
        <v>65919</v>
      </c>
      <c r="F1420" s="17">
        <f t="shared" ca="1" si="1"/>
        <v>2012</v>
      </c>
      <c r="G1420" s="17">
        <f t="shared" ca="1" si="76"/>
        <v>10944</v>
      </c>
      <c r="H1420" s="31" t="str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No</v>
      </c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</row>
    <row r="1421" spans="1:26" ht="13.5" customHeight="1" x14ac:dyDescent="0.3">
      <c r="A1421" s="17" t="s">
        <v>644</v>
      </c>
      <c r="B1421" s="17">
        <f t="shared" si="74"/>
        <v>15</v>
      </c>
      <c r="C1421" s="17">
        <f t="shared" si="26"/>
        <v>29</v>
      </c>
      <c r="D1421" s="17"/>
      <c r="E1421" s="17">
        <f t="shared" si="75"/>
        <v>65919</v>
      </c>
      <c r="F1421" s="17">
        <f t="shared" ca="1" si="1"/>
        <v>2012</v>
      </c>
      <c r="G1421" s="17">
        <f t="shared" ca="1" si="76"/>
        <v>10945</v>
      </c>
      <c r="H1421" s="31" t="str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No</v>
      </c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</row>
    <row r="1422" spans="1:26" ht="13.5" customHeight="1" x14ac:dyDescent="0.3">
      <c r="A1422" s="17" t="s">
        <v>644</v>
      </c>
      <c r="B1422" s="17">
        <f t="shared" si="74"/>
        <v>15</v>
      </c>
      <c r="C1422" s="17">
        <f t="shared" si="26"/>
        <v>30</v>
      </c>
      <c r="D1422" s="17"/>
      <c r="E1422" s="17">
        <f t="shared" si="75"/>
        <v>65919</v>
      </c>
      <c r="F1422" s="17">
        <f t="shared" ca="1" si="1"/>
        <v>2012</v>
      </c>
      <c r="G1422" s="17">
        <f t="shared" ca="1" si="76"/>
        <v>10947</v>
      </c>
      <c r="H1422" s="2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</row>
    <row r="1423" spans="1:26" ht="13.5" customHeight="1" x14ac:dyDescent="0.3">
      <c r="A1423" s="17" t="s">
        <v>644</v>
      </c>
      <c r="B1423" s="17">
        <f t="shared" si="74"/>
        <v>15</v>
      </c>
      <c r="C1423" s="17">
        <f t="shared" si="26"/>
        <v>31</v>
      </c>
      <c r="D1423" s="17"/>
      <c r="E1423" s="17">
        <f t="shared" si="75"/>
        <v>65919</v>
      </c>
      <c r="F1423" s="17">
        <f t="shared" ca="1" si="1"/>
        <v>2012</v>
      </c>
      <c r="G1423" s="17">
        <f t="shared" ca="1" si="76"/>
        <v>10948</v>
      </c>
      <c r="H1423" s="31" t="str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No</v>
      </c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</row>
    <row r="1424" spans="1:26" ht="13.5" customHeight="1" x14ac:dyDescent="0.3">
      <c r="A1424" s="17" t="s">
        <v>644</v>
      </c>
      <c r="B1424" s="17">
        <f t="shared" si="74"/>
        <v>15</v>
      </c>
      <c r="C1424" s="17">
        <f t="shared" si="26"/>
        <v>32</v>
      </c>
      <c r="D1424" s="17"/>
      <c r="E1424" s="17">
        <f t="shared" si="75"/>
        <v>65919</v>
      </c>
      <c r="F1424" s="17">
        <f t="shared" ca="1" si="1"/>
        <v>2012</v>
      </c>
      <c r="G1424" s="17">
        <f t="shared" ca="1" si="76"/>
        <v>10949</v>
      </c>
      <c r="H1424" s="31" t="str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No</v>
      </c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</row>
    <row r="1425" spans="1:26" ht="13.5" customHeight="1" x14ac:dyDescent="0.3">
      <c r="A1425" s="17" t="s">
        <v>644</v>
      </c>
      <c r="B1425" s="17">
        <f t="shared" si="74"/>
        <v>15</v>
      </c>
      <c r="C1425" s="17">
        <f t="shared" si="26"/>
        <v>33</v>
      </c>
      <c r="D1425" s="17"/>
      <c r="E1425" s="17">
        <f t="shared" si="75"/>
        <v>65919</v>
      </c>
      <c r="F1425" s="17">
        <f t="shared" ca="1" si="1"/>
        <v>2012</v>
      </c>
      <c r="G1425" s="17">
        <f t="shared" ca="1" si="76"/>
        <v>10951</v>
      </c>
      <c r="H1425" s="31" t="str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No</v>
      </c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</row>
    <row r="1426" spans="1:26" ht="13.5" customHeight="1" x14ac:dyDescent="0.3">
      <c r="A1426" s="17" t="s">
        <v>644</v>
      </c>
      <c r="B1426" s="17">
        <f t="shared" si="74"/>
        <v>15</v>
      </c>
      <c r="C1426" s="17">
        <f t="shared" si="26"/>
        <v>34</v>
      </c>
      <c r="D1426" s="17"/>
      <c r="E1426" s="17">
        <f t="shared" si="75"/>
        <v>65919</v>
      </c>
      <c r="F1426" s="17">
        <f t="shared" ca="1" si="1"/>
        <v>2012</v>
      </c>
      <c r="G1426" s="17">
        <f t="shared" ca="1" si="76"/>
        <v>10950</v>
      </c>
      <c r="H1426" s="31" t="str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No</v>
      </c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</row>
    <row r="1427" spans="1:26" ht="13.5" customHeight="1" x14ac:dyDescent="0.3">
      <c r="A1427" s="17" t="s">
        <v>644</v>
      </c>
      <c r="B1427" s="17">
        <f t="shared" si="74"/>
        <v>15</v>
      </c>
      <c r="C1427" s="17">
        <f t="shared" si="26"/>
        <v>35</v>
      </c>
      <c r="D1427" s="17"/>
      <c r="E1427" s="17">
        <f t="shared" si="75"/>
        <v>65919</v>
      </c>
      <c r="F1427" s="17">
        <f t="shared" ca="1" si="1"/>
        <v>2012</v>
      </c>
      <c r="G1427" s="17">
        <f t="shared" ca="1" si="76"/>
        <v>10954</v>
      </c>
      <c r="H1427" s="3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0.03</v>
      </c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</row>
    <row r="1428" spans="1:26" ht="13.5" customHeight="1" x14ac:dyDescent="0.3">
      <c r="A1428" s="17" t="s">
        <v>644</v>
      </c>
      <c r="B1428" s="17">
        <f t="shared" si="74"/>
        <v>15</v>
      </c>
      <c r="C1428" s="17">
        <f t="shared" si="26"/>
        <v>36</v>
      </c>
      <c r="D1428" s="17"/>
      <c r="E1428" s="17">
        <f t="shared" si="75"/>
        <v>65919</v>
      </c>
      <c r="F1428" s="17">
        <f t="shared" ca="1" si="1"/>
        <v>2012</v>
      </c>
      <c r="G1428" s="17">
        <f t="shared" ca="1" si="76"/>
        <v>10955</v>
      </c>
      <c r="H1428" s="3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7.9000000000000001E-2</v>
      </c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</row>
    <row r="1429" spans="1:26" ht="13.5" customHeight="1" x14ac:dyDescent="0.3">
      <c r="A1429" s="17" t="s">
        <v>644</v>
      </c>
      <c r="B1429" s="17">
        <f t="shared" si="74"/>
        <v>15</v>
      </c>
      <c r="C1429" s="17">
        <f t="shared" si="26"/>
        <v>37</v>
      </c>
      <c r="D1429" s="17"/>
      <c r="E1429" s="17">
        <f t="shared" si="75"/>
        <v>65919</v>
      </c>
      <c r="F1429" s="17">
        <f t="shared" ca="1" si="1"/>
        <v>2012</v>
      </c>
      <c r="G1429" s="17">
        <f t="shared" ca="1" si="76"/>
        <v>10956</v>
      </c>
      <c r="H1429" s="3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3.5624999999999996E-4</v>
      </c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</row>
    <row r="1430" spans="1:26" ht="13.5" customHeight="1" x14ac:dyDescent="0.3">
      <c r="A1430" s="17" t="s">
        <v>644</v>
      </c>
      <c r="B1430" s="17">
        <f t="shared" si="74"/>
        <v>15</v>
      </c>
      <c r="C1430" s="17">
        <f t="shared" si="26"/>
        <v>38</v>
      </c>
      <c r="D1430" s="17"/>
      <c r="E1430" s="17">
        <f t="shared" si="75"/>
        <v>65919</v>
      </c>
      <c r="F1430" s="17">
        <f t="shared" ca="1" si="1"/>
        <v>2012</v>
      </c>
      <c r="G1430" s="17">
        <f t="shared" ca="1" si="76"/>
        <v>10959</v>
      </c>
      <c r="H1430" s="3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3.7499999999999999E-2</v>
      </c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</row>
    <row r="1431" spans="1:26" ht="13.5" customHeight="1" x14ac:dyDescent="0.3">
      <c r="A1431" s="17" t="s">
        <v>644</v>
      </c>
      <c r="B1431" s="17">
        <f t="shared" si="74"/>
        <v>15</v>
      </c>
      <c r="C1431" s="17">
        <f t="shared" si="26"/>
        <v>39</v>
      </c>
      <c r="D1431" s="17"/>
      <c r="E1431" s="17">
        <f t="shared" si="75"/>
        <v>65919</v>
      </c>
      <c r="F1431" s="17">
        <f t="shared" ca="1" si="1"/>
        <v>2012</v>
      </c>
      <c r="G1431" s="17">
        <f t="shared" ca="1" si="76"/>
        <v>10962</v>
      </c>
      <c r="H1431" s="29" t="str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Pg.no.77</v>
      </c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</row>
    <row r="1432" spans="1:26" ht="13.5" customHeight="1" x14ac:dyDescent="0.3">
      <c r="A1432" s="17" t="s">
        <v>644</v>
      </c>
      <c r="B1432" s="17">
        <f t="shared" si="74"/>
        <v>15</v>
      </c>
      <c r="C1432" s="17">
        <f t="shared" si="26"/>
        <v>40</v>
      </c>
      <c r="D1432" s="17"/>
      <c r="E1432" s="17">
        <f t="shared" si="75"/>
        <v>65919</v>
      </c>
      <c r="F1432" s="17">
        <f t="shared" ca="1" si="1"/>
        <v>2012</v>
      </c>
      <c r="G1432" s="17">
        <f t="shared" ca="1" si="76"/>
        <v>10964</v>
      </c>
      <c r="H1432" s="29" t="str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Pg.no.58</v>
      </c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</row>
    <row r="1433" spans="1:26" ht="13.5" customHeight="1" x14ac:dyDescent="0.3">
      <c r="A1433" s="17" t="s">
        <v>644</v>
      </c>
      <c r="B1433" s="17">
        <f t="shared" si="74"/>
        <v>15</v>
      </c>
      <c r="C1433" s="17">
        <f t="shared" si="26"/>
        <v>41</v>
      </c>
      <c r="D1433" s="17"/>
      <c r="E1433" s="17">
        <f t="shared" si="75"/>
        <v>65919</v>
      </c>
      <c r="F1433" s="17">
        <f t="shared" ca="1" si="1"/>
        <v>2012</v>
      </c>
      <c r="G1433" s="17">
        <f t="shared" ca="1" si="76"/>
        <v>10967</v>
      </c>
      <c r="H1433" s="29" t="str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RP-2000 Combined healthy table</v>
      </c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</row>
    <row r="1434" spans="1:26" ht="13.5" customHeight="1" x14ac:dyDescent="0.3">
      <c r="A1434" s="17" t="s">
        <v>644</v>
      </c>
      <c r="B1434" s="17">
        <f t="shared" si="74"/>
        <v>15</v>
      </c>
      <c r="C1434" s="17">
        <f t="shared" si="26"/>
        <v>42</v>
      </c>
      <c r="D1434" s="17"/>
      <c r="E1434" s="17">
        <f t="shared" si="75"/>
        <v>65919</v>
      </c>
      <c r="F1434" s="17">
        <f t="shared" ca="1" si="1"/>
        <v>2012</v>
      </c>
      <c r="G1434" s="17">
        <f t="shared" ca="1" si="76"/>
        <v>10968</v>
      </c>
      <c r="H1434" s="2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2000</v>
      </c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</row>
    <row r="1435" spans="1:26" ht="13.5" customHeight="1" x14ac:dyDescent="0.3">
      <c r="A1435" s="17" t="s">
        <v>644</v>
      </c>
      <c r="B1435" s="17">
        <f t="shared" si="74"/>
        <v>15</v>
      </c>
      <c r="C1435" s="17">
        <f t="shared" si="26"/>
        <v>43</v>
      </c>
      <c r="D1435" s="17"/>
      <c r="E1435" s="17">
        <f t="shared" si="75"/>
        <v>65919</v>
      </c>
      <c r="F1435" s="17">
        <f t="shared" ca="1" si="1"/>
        <v>2012</v>
      </c>
      <c r="G1435" s="17">
        <f t="shared" ca="1" si="76"/>
        <v>10969</v>
      </c>
      <c r="H1435" s="2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Scale AA</v>
      </c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</row>
    <row r="1436" spans="1:26" ht="13.5" customHeight="1" x14ac:dyDescent="0.3">
      <c r="A1436" s="17" t="s">
        <v>644</v>
      </c>
      <c r="B1436" s="17">
        <f t="shared" si="74"/>
        <v>15</v>
      </c>
      <c r="C1436" s="17">
        <f t="shared" si="26"/>
        <v>44</v>
      </c>
      <c r="D1436" s="17"/>
      <c r="E1436" s="17">
        <f t="shared" si="75"/>
        <v>65919</v>
      </c>
      <c r="F1436" s="17">
        <f t="shared" ca="1" si="1"/>
        <v>2012</v>
      </c>
      <c r="G1436" s="17">
        <f t="shared" ca="1" si="76"/>
        <v>10970</v>
      </c>
      <c r="H1436" s="29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Male: 1 Year</v>
      </c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</row>
    <row r="1437" spans="1:26" ht="13.5" customHeight="1" x14ac:dyDescent="0.3">
      <c r="A1437" s="17" t="s">
        <v>644</v>
      </c>
      <c r="B1437" s="17">
        <f t="shared" si="74"/>
        <v>15</v>
      </c>
      <c r="C1437" s="17">
        <f t="shared" si="26"/>
        <v>45</v>
      </c>
      <c r="D1437" s="17"/>
      <c r="E1437" s="17">
        <f t="shared" si="75"/>
        <v>65919</v>
      </c>
      <c r="F1437" s="17">
        <f t="shared" ca="1" si="1"/>
        <v>2012</v>
      </c>
      <c r="G1437" s="17">
        <f t="shared" ca="1" si="76"/>
        <v>10971</v>
      </c>
      <c r="H1437" s="29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Female: 1 Year</v>
      </c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</row>
    <row r="1438" spans="1:26" ht="13.5" customHeight="1" x14ac:dyDescent="0.3">
      <c r="A1438" s="17" t="s">
        <v>644</v>
      </c>
      <c r="B1438" s="17">
        <f t="shared" si="74"/>
        <v>15</v>
      </c>
      <c r="C1438" s="17">
        <f t="shared" si="26"/>
        <v>46</v>
      </c>
      <c r="D1438" s="17"/>
      <c r="E1438" s="17">
        <f t="shared" si="75"/>
        <v>65919</v>
      </c>
      <c r="F1438" s="17">
        <f t="shared" ca="1" si="1"/>
        <v>2012</v>
      </c>
      <c r="G1438" s="17">
        <f t="shared" ca="1" si="76"/>
        <v>10972</v>
      </c>
      <c r="H1438" s="29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N/A</v>
      </c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</row>
    <row r="1439" spans="1:26" ht="13.5" customHeight="1" x14ac:dyDescent="0.3">
      <c r="A1439" s="17" t="s">
        <v>644</v>
      </c>
      <c r="B1439" s="17">
        <f t="shared" si="74"/>
        <v>15</v>
      </c>
      <c r="C1439" s="17">
        <f t="shared" si="26"/>
        <v>47</v>
      </c>
      <c r="D1439" s="17"/>
      <c r="E1439" s="17">
        <f t="shared" si="75"/>
        <v>65919</v>
      </c>
      <c r="F1439" s="17">
        <f t="shared" ca="1" si="1"/>
        <v>2012</v>
      </c>
      <c r="G1439" s="17">
        <f t="shared" ca="1" si="76"/>
        <v>10973</v>
      </c>
      <c r="H1439" s="29" t="str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N/A</v>
      </c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</row>
    <row r="1440" spans="1:26" ht="13.5" customHeight="1" x14ac:dyDescent="0.3">
      <c r="A1440" s="17" t="s">
        <v>644</v>
      </c>
      <c r="B1440" s="17">
        <f t="shared" si="74"/>
        <v>15</v>
      </c>
      <c r="C1440" s="17">
        <f t="shared" si="26"/>
        <v>48</v>
      </c>
      <c r="D1440" s="17"/>
      <c r="E1440" s="17">
        <f t="shared" si="75"/>
        <v>65919</v>
      </c>
      <c r="F1440" s="17">
        <f t="shared" ca="1" si="1"/>
        <v>2012</v>
      </c>
      <c r="G1440" s="17">
        <f t="shared" ca="1" si="76"/>
        <v>10975</v>
      </c>
      <c r="H1440" s="29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 xml:space="preserve">Aggregate   </v>
      </c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</row>
    <row r="1441" spans="1:26" ht="13.5" customHeight="1" x14ac:dyDescent="0.3">
      <c r="A1441" s="17" t="s">
        <v>644</v>
      </c>
      <c r="B1441" s="17">
        <f t="shared" si="74"/>
        <v>15</v>
      </c>
      <c r="C1441" s="17">
        <f t="shared" si="26"/>
        <v>49</v>
      </c>
      <c r="D1441" s="17"/>
      <c r="E1441" s="17">
        <f t="shared" si="75"/>
        <v>65919</v>
      </c>
      <c r="F1441" s="17">
        <f t="shared" ca="1" si="1"/>
        <v>2012</v>
      </c>
      <c r="G1441" s="17">
        <f t="shared" ca="1" si="76"/>
        <v>10976</v>
      </c>
      <c r="H1441" s="3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7.9000000000000001E-2</v>
      </c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</row>
    <row r="1442" spans="1:26" ht="13.5" customHeight="1" x14ac:dyDescent="0.3">
      <c r="A1442" s="17" t="s">
        <v>644</v>
      </c>
      <c r="B1442" s="17">
        <f t="shared" si="74"/>
        <v>15</v>
      </c>
      <c r="C1442" s="17">
        <f t="shared" si="26"/>
        <v>50</v>
      </c>
      <c r="D1442" s="17"/>
      <c r="E1442" s="17">
        <f t="shared" si="75"/>
        <v>65919</v>
      </c>
      <c r="F1442" s="17">
        <f t="shared" ca="1" si="1"/>
        <v>2012</v>
      </c>
      <c r="G1442" s="17">
        <f t="shared" ca="1" si="76"/>
        <v>10977</v>
      </c>
      <c r="H1442" s="31" t="str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No</v>
      </c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</row>
    <row r="1443" spans="1:26" ht="13.5" customHeight="1" x14ac:dyDescent="0.3">
      <c r="A1443" s="17" t="s">
        <v>644</v>
      </c>
      <c r="B1443" s="17">
        <f t="shared" si="74"/>
        <v>15</v>
      </c>
      <c r="C1443" s="17">
        <f t="shared" si="26"/>
        <v>51</v>
      </c>
      <c r="D1443" s="17"/>
      <c r="E1443" s="17">
        <f t="shared" si="75"/>
        <v>65919</v>
      </c>
      <c r="F1443" s="17">
        <f t="shared" ca="1" si="1"/>
        <v>2012</v>
      </c>
      <c r="G1443" s="17">
        <f t="shared" ca="1" si="76"/>
        <v>10978</v>
      </c>
      <c r="H1443" s="3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7.9000000000000001E-2</v>
      </c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</row>
    <row r="1444" spans="1:26" ht="13.5" customHeight="1" x14ac:dyDescent="0.3">
      <c r="A1444" s="17" t="s">
        <v>644</v>
      </c>
      <c r="B1444" s="17">
        <f t="shared" si="74"/>
        <v>15</v>
      </c>
      <c r="C1444" s="17">
        <f t="shared" si="26"/>
        <v>52</v>
      </c>
      <c r="D1444" s="17"/>
      <c r="E1444" s="17">
        <f t="shared" si="75"/>
        <v>65919</v>
      </c>
      <c r="F1444" s="17">
        <f t="shared" ca="1" si="1"/>
        <v>2012</v>
      </c>
      <c r="G1444" s="17">
        <f t="shared" ca="1" si="76"/>
        <v>10979</v>
      </c>
      <c r="H1444" s="29" t="str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8 Years</v>
      </c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</row>
    <row r="1445" spans="1:26" ht="13.5" customHeight="1" x14ac:dyDescent="0.3">
      <c r="A1445" s="17" t="s">
        <v>644</v>
      </c>
      <c r="B1445" s="17">
        <f t="shared" si="74"/>
        <v>15</v>
      </c>
      <c r="C1445" s="17">
        <f t="shared" si="26"/>
        <v>53</v>
      </c>
      <c r="D1445" s="17"/>
      <c r="E1445" s="17">
        <f t="shared" si="75"/>
        <v>65919</v>
      </c>
      <c r="F1445" s="17">
        <f t="shared" ca="1" si="1"/>
        <v>2012</v>
      </c>
      <c r="G1445" s="17">
        <f t="shared" ca="1" si="76"/>
        <v>10980</v>
      </c>
      <c r="H1445" s="3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6.3399999999999998E-2</v>
      </c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</row>
    <row r="1446" spans="1:26" ht="13.5" customHeight="1" x14ac:dyDescent="0.3">
      <c r="A1446" s="17" t="s">
        <v>644</v>
      </c>
      <c r="B1446" s="17">
        <f t="shared" si="74"/>
        <v>15</v>
      </c>
      <c r="C1446" s="17">
        <f t="shared" si="26"/>
        <v>54</v>
      </c>
      <c r="D1446" s="17"/>
      <c r="E1446" s="17">
        <f t="shared" si="75"/>
        <v>65919</v>
      </c>
      <c r="F1446" s="17">
        <f t="shared" ca="1" si="1"/>
        <v>2012</v>
      </c>
      <c r="G1446" s="17">
        <f t="shared" ca="1" si="76"/>
        <v>10981</v>
      </c>
      <c r="H1446" s="3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1.3100000000000001E-2</v>
      </c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</row>
    <row r="1447" spans="1:26" ht="13.5" customHeight="1" x14ac:dyDescent="0.3">
      <c r="A1447" s="17" t="s">
        <v>644</v>
      </c>
      <c r="B1447" s="17">
        <f t="shared" si="74"/>
        <v>15</v>
      </c>
      <c r="C1447" s="17">
        <f t="shared" si="26"/>
        <v>55</v>
      </c>
      <c r="D1447" s="17"/>
      <c r="E1447" s="17">
        <f t="shared" si="75"/>
        <v>65919</v>
      </c>
      <c r="F1447" s="17">
        <f t="shared" ca="1" si="1"/>
        <v>2012</v>
      </c>
      <c r="G1447" s="17">
        <f t="shared" ca="1" si="76"/>
        <v>10706</v>
      </c>
      <c r="H1447" s="3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4.4584973044289254E-4</v>
      </c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</row>
    <row r="1448" spans="1:26" ht="13.5" customHeight="1" x14ac:dyDescent="0.3">
      <c r="A1448" s="17" t="s">
        <v>644</v>
      </c>
      <c r="B1448" s="17">
        <f t="shared" si="74"/>
        <v>15</v>
      </c>
      <c r="C1448" s="17">
        <f t="shared" si="26"/>
        <v>56</v>
      </c>
      <c r="D1448" s="17"/>
      <c r="E1448" s="17">
        <f t="shared" si="75"/>
        <v>65919</v>
      </c>
      <c r="F1448" s="17">
        <f t="shared" ca="1" si="1"/>
        <v>2012</v>
      </c>
      <c r="G1448" s="17">
        <f t="shared" ca="1" si="76"/>
        <v>10983</v>
      </c>
      <c r="H1448" s="30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No</v>
      </c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</row>
    <row r="1449" spans="1:26" ht="13.5" customHeight="1" x14ac:dyDescent="0.3">
      <c r="A1449" s="17" t="s">
        <v>644</v>
      </c>
      <c r="B1449" s="17">
        <f t="shared" si="74"/>
        <v>15</v>
      </c>
      <c r="C1449" s="17">
        <f t="shared" si="26"/>
        <v>57</v>
      </c>
      <c r="D1449" s="17"/>
      <c r="E1449" s="17">
        <f t="shared" si="75"/>
        <v>65919</v>
      </c>
      <c r="F1449" s="17">
        <f t="shared" ca="1" si="1"/>
        <v>2012</v>
      </c>
      <c r="G1449" s="17">
        <f t="shared" ca="1" si="76"/>
        <v>10989</v>
      </c>
      <c r="H1449" s="3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982000000</v>
      </c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</row>
    <row r="1450" spans="1:26" ht="13.5" customHeight="1" x14ac:dyDescent="0.3">
      <c r="A1450" s="17" t="s">
        <v>644</v>
      </c>
      <c r="B1450" s="17">
        <f t="shared" si="74"/>
        <v>15</v>
      </c>
      <c r="C1450" s="17">
        <f t="shared" si="26"/>
        <v>58</v>
      </c>
      <c r="D1450" s="17"/>
      <c r="E1450" s="17">
        <f t="shared" si="75"/>
        <v>65919</v>
      </c>
      <c r="F1450" s="17">
        <f t="shared" ca="1" si="1"/>
        <v>2012</v>
      </c>
      <c r="G1450" s="17">
        <f t="shared" ca="1" si="76"/>
        <v>10990</v>
      </c>
      <c r="H1450" s="30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859000000</v>
      </c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</row>
    <row r="1451" spans="1:26" ht="13.5" customHeight="1" x14ac:dyDescent="0.3">
      <c r="A1451" s="17" t="s">
        <v>644</v>
      </c>
      <c r="B1451" s="17">
        <f t="shared" si="74"/>
        <v>15</v>
      </c>
      <c r="C1451" s="17">
        <f t="shared" si="26"/>
        <v>59</v>
      </c>
      <c r="D1451" s="17"/>
      <c r="E1451" s="17">
        <f t="shared" si="75"/>
        <v>65919</v>
      </c>
      <c r="F1451" s="17">
        <f t="shared" ca="1" si="1"/>
        <v>2012</v>
      </c>
      <c r="G1451" s="17">
        <f t="shared" ca="1" si="76"/>
        <v>10991</v>
      </c>
      <c r="H1451" s="3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-123000000</v>
      </c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</row>
    <row r="1452" spans="1:26" ht="13.5" customHeight="1" x14ac:dyDescent="0.3">
      <c r="A1452" s="17" t="s">
        <v>644</v>
      </c>
      <c r="B1452" s="17">
        <f t="shared" si="74"/>
        <v>15</v>
      </c>
      <c r="C1452" s="17">
        <f t="shared" si="26"/>
        <v>60</v>
      </c>
      <c r="D1452" s="17"/>
      <c r="E1452" s="17">
        <f t="shared" si="75"/>
        <v>65919</v>
      </c>
      <c r="F1452" s="17">
        <f t="shared" ca="1" si="1"/>
        <v>2012</v>
      </c>
      <c r="G1452" s="17">
        <f t="shared" ca="1" si="76"/>
        <v>10992</v>
      </c>
      <c r="H1452" s="3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1.143</v>
      </c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</row>
    <row r="1453" spans="1:26" ht="13.5" customHeight="1" x14ac:dyDescent="0.3">
      <c r="A1453" s="17" t="s">
        <v>644</v>
      </c>
      <c r="B1453" s="17">
        <f t="shared" si="74"/>
        <v>15</v>
      </c>
      <c r="C1453" s="17">
        <f t="shared" si="26"/>
        <v>61</v>
      </c>
      <c r="D1453" s="17"/>
      <c r="E1453" s="17">
        <f t="shared" si="75"/>
        <v>65919</v>
      </c>
      <c r="F1453" s="17">
        <f t="shared" ca="1" si="1"/>
        <v>2012</v>
      </c>
      <c r="G1453" s="17">
        <f t="shared" ca="1" si="76"/>
        <v>10993</v>
      </c>
      <c r="H1453" s="30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57000000</v>
      </c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</row>
    <row r="1454" spans="1:26" ht="13.5" customHeight="1" x14ac:dyDescent="0.3">
      <c r="A1454" s="17" t="s">
        <v>644</v>
      </c>
      <c r="B1454" s="17">
        <f t="shared" si="74"/>
        <v>15</v>
      </c>
      <c r="C1454" s="17">
        <f t="shared" si="26"/>
        <v>62</v>
      </c>
      <c r="D1454" s="17"/>
      <c r="E1454" s="17">
        <f t="shared" si="75"/>
        <v>65919</v>
      </c>
      <c r="F1454" s="17">
        <f t="shared" ca="1" si="1"/>
        <v>2012</v>
      </c>
      <c r="G1454" s="17">
        <f t="shared" ca="1" si="76"/>
        <v>10801</v>
      </c>
      <c r="H1454" s="30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6700000</v>
      </c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</row>
    <row r="1455" spans="1:26" ht="13.5" customHeight="1" x14ac:dyDescent="0.3">
      <c r="A1455" s="17" t="s">
        <v>644</v>
      </c>
      <c r="B1455" s="17">
        <f t="shared" si="74"/>
        <v>15</v>
      </c>
      <c r="C1455" s="17">
        <f t="shared" si="26"/>
        <v>63</v>
      </c>
      <c r="D1455" s="17"/>
      <c r="E1455" s="17">
        <f t="shared" si="75"/>
        <v>65919</v>
      </c>
      <c r="F1455" s="17">
        <f t="shared" ca="1" si="1"/>
        <v>2012</v>
      </c>
      <c r="G1455" s="17">
        <f t="shared" ca="1" si="76"/>
        <v>10802</v>
      </c>
      <c r="H1455" s="30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</row>
    <row r="1456" spans="1:26" ht="13.5" customHeight="1" x14ac:dyDescent="0.3">
      <c r="A1456" s="17" t="s">
        <v>644</v>
      </c>
      <c r="B1456" s="17">
        <f t="shared" si="74"/>
        <v>15</v>
      </c>
      <c r="C1456" s="17">
        <f t="shared" si="26"/>
        <v>64</v>
      </c>
      <c r="D1456" s="17"/>
      <c r="E1456" s="17">
        <f t="shared" si="75"/>
        <v>65919</v>
      </c>
      <c r="F1456" s="17">
        <f t="shared" ca="1" si="1"/>
        <v>2012</v>
      </c>
      <c r="G1456" s="17">
        <f t="shared" ca="1" si="76"/>
        <v>10803</v>
      </c>
      <c r="H1456" s="3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</row>
    <row r="1457" spans="1:26" ht="13.5" customHeight="1" x14ac:dyDescent="0.3">
      <c r="A1457" s="17" t="s">
        <v>644</v>
      </c>
      <c r="B1457" s="17">
        <f t="shared" si="74"/>
        <v>15</v>
      </c>
      <c r="C1457" s="17">
        <f t="shared" si="26"/>
        <v>65</v>
      </c>
      <c r="D1457" s="17"/>
      <c r="E1457" s="17">
        <f t="shared" si="75"/>
        <v>65919</v>
      </c>
      <c r="F1457" s="17">
        <f t="shared" ca="1" si="1"/>
        <v>2012</v>
      </c>
      <c r="G1457" s="17">
        <f t="shared" ca="1" si="76"/>
        <v>10804</v>
      </c>
      <c r="H1457" s="3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</row>
    <row r="1458" spans="1:26" ht="13.5" customHeight="1" x14ac:dyDescent="0.3">
      <c r="A1458" s="17" t="s">
        <v>644</v>
      </c>
      <c r="B1458" s="17">
        <f t="shared" si="74"/>
        <v>15</v>
      </c>
      <c r="C1458" s="17">
        <f t="shared" si="26"/>
        <v>66</v>
      </c>
      <c r="D1458" s="17"/>
      <c r="E1458" s="17">
        <f t="shared" si="75"/>
        <v>65919</v>
      </c>
      <c r="F1458" s="17">
        <f t="shared" ca="1" si="1"/>
        <v>2012</v>
      </c>
      <c r="G1458" s="17">
        <f t="shared" ca="1" si="76"/>
        <v>10805</v>
      </c>
      <c r="H1458" s="3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</row>
    <row r="1459" spans="1:26" ht="13.5" customHeight="1" x14ac:dyDescent="0.3">
      <c r="A1459" s="17" t="s">
        <v>644</v>
      </c>
      <c r="B1459" s="17">
        <f t="shared" si="74"/>
        <v>15</v>
      </c>
      <c r="C1459" s="17">
        <f t="shared" si="26"/>
        <v>67</v>
      </c>
      <c r="D1459" s="17"/>
      <c r="E1459" s="17">
        <f t="shared" si="75"/>
        <v>65919</v>
      </c>
      <c r="F1459" s="17">
        <f t="shared" ca="1" si="1"/>
        <v>2012</v>
      </c>
      <c r="G1459" s="17">
        <f t="shared" ca="1" si="76"/>
        <v>10806</v>
      </c>
      <c r="H1459" s="30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</row>
    <row r="1460" spans="1:26" ht="13.5" customHeight="1" x14ac:dyDescent="0.3">
      <c r="A1460" s="17" t="s">
        <v>644</v>
      </c>
      <c r="B1460" s="17">
        <f t="shared" ref="B1460:B1485" si="77">B1459</f>
        <v>15</v>
      </c>
      <c r="C1460" s="17">
        <f t="shared" si="26"/>
        <v>68</v>
      </c>
      <c r="D1460" s="17"/>
      <c r="E1460" s="17">
        <f t="shared" si="75"/>
        <v>65919</v>
      </c>
      <c r="F1460" s="17">
        <f t="shared" ca="1" si="1"/>
        <v>2012</v>
      </c>
      <c r="G1460" s="17">
        <f t="shared" ca="1" si="76"/>
        <v>10807</v>
      </c>
      <c r="H1460" s="30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</row>
    <row r="1461" spans="1:26" ht="13.5" customHeight="1" x14ac:dyDescent="0.3">
      <c r="A1461" s="17" t="s">
        <v>644</v>
      </c>
      <c r="B1461" s="17">
        <f t="shared" si="77"/>
        <v>15</v>
      </c>
      <c r="C1461" s="17">
        <f t="shared" si="26"/>
        <v>69</v>
      </c>
      <c r="D1461" s="17"/>
      <c r="E1461" s="17">
        <f t="shared" si="75"/>
        <v>65919</v>
      </c>
      <c r="F1461" s="17">
        <f t="shared" ca="1" si="1"/>
        <v>2012</v>
      </c>
      <c r="G1461" s="17">
        <f t="shared" ca="1" si="76"/>
        <v>10808</v>
      </c>
      <c r="H1461" s="3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</row>
    <row r="1462" spans="1:26" ht="13.5" customHeight="1" x14ac:dyDescent="0.3">
      <c r="A1462" s="17" t="s">
        <v>644</v>
      </c>
      <c r="B1462" s="17">
        <f t="shared" si="77"/>
        <v>15</v>
      </c>
      <c r="C1462" s="17">
        <f t="shared" si="26"/>
        <v>70</v>
      </c>
      <c r="D1462" s="17"/>
      <c r="E1462" s="17">
        <f t="shared" si="75"/>
        <v>65919</v>
      </c>
      <c r="F1462" s="17">
        <f t="shared" ca="1" si="1"/>
        <v>2012</v>
      </c>
      <c r="G1462" s="17">
        <f t="shared" ca="1" si="76"/>
        <v>10809</v>
      </c>
      <c r="H1462" s="30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</row>
    <row r="1463" spans="1:26" ht="13.5" customHeight="1" x14ac:dyDescent="0.3">
      <c r="A1463" s="17" t="s">
        <v>644</v>
      </c>
      <c r="B1463" s="17">
        <f t="shared" si="77"/>
        <v>15</v>
      </c>
      <c r="C1463" s="17">
        <f t="shared" si="26"/>
        <v>71</v>
      </c>
      <c r="D1463" s="17"/>
      <c r="E1463" s="17">
        <f t="shared" si="75"/>
        <v>65919</v>
      </c>
      <c r="F1463" s="17">
        <f t="shared" ca="1" si="1"/>
        <v>2012</v>
      </c>
      <c r="G1463" s="17">
        <f t="shared" ca="1" si="76"/>
        <v>10810</v>
      </c>
      <c r="H1463" s="30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</row>
    <row r="1464" spans="1:26" ht="13.5" customHeight="1" x14ac:dyDescent="0.3">
      <c r="A1464" s="17" t="s">
        <v>644</v>
      </c>
      <c r="B1464" s="17">
        <f t="shared" si="77"/>
        <v>15</v>
      </c>
      <c r="C1464" s="17">
        <f t="shared" si="26"/>
        <v>72</v>
      </c>
      <c r="D1464" s="17"/>
      <c r="E1464" s="17">
        <f t="shared" si="75"/>
        <v>65919</v>
      </c>
      <c r="F1464" s="17">
        <f t="shared" ca="1" si="1"/>
        <v>2012</v>
      </c>
      <c r="G1464" s="17">
        <f t="shared" ca="1" si="76"/>
        <v>10811</v>
      </c>
      <c r="H1464" s="30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</row>
    <row r="1465" spans="1:26" ht="13.5" customHeight="1" x14ac:dyDescent="0.3">
      <c r="A1465" s="17" t="s">
        <v>644</v>
      </c>
      <c r="B1465" s="17">
        <f t="shared" si="77"/>
        <v>15</v>
      </c>
      <c r="C1465" s="17">
        <f t="shared" si="26"/>
        <v>73</v>
      </c>
      <c r="D1465" s="17"/>
      <c r="E1465" s="17">
        <f t="shared" si="75"/>
        <v>65919</v>
      </c>
      <c r="F1465" s="17">
        <f t="shared" ca="1" si="1"/>
        <v>2012</v>
      </c>
      <c r="G1465" s="17">
        <f t="shared" ca="1" si="76"/>
        <v>10812</v>
      </c>
      <c r="H1465" s="30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</row>
    <row r="1466" spans="1:26" ht="13.5" customHeight="1" x14ac:dyDescent="0.3">
      <c r="A1466" s="17" t="s">
        <v>644</v>
      </c>
      <c r="B1466" s="17">
        <f t="shared" si="77"/>
        <v>15</v>
      </c>
      <c r="C1466" s="17">
        <f t="shared" si="26"/>
        <v>74</v>
      </c>
      <c r="D1466" s="17"/>
      <c r="E1466" s="17">
        <f t="shared" si="75"/>
        <v>65919</v>
      </c>
      <c r="F1466" s="17">
        <f t="shared" ca="1" si="1"/>
        <v>2012</v>
      </c>
      <c r="G1466" s="17">
        <f t="shared" ca="1" si="76"/>
        <v>10813</v>
      </c>
      <c r="H1466" s="3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</row>
    <row r="1467" spans="1:26" ht="13.5" customHeight="1" x14ac:dyDescent="0.3">
      <c r="A1467" s="17" t="s">
        <v>644</v>
      </c>
      <c r="B1467" s="17">
        <f t="shared" si="77"/>
        <v>15</v>
      </c>
      <c r="C1467" s="17">
        <f t="shared" si="26"/>
        <v>75</v>
      </c>
      <c r="D1467" s="17"/>
      <c r="E1467" s="17">
        <f t="shared" si="75"/>
        <v>65919</v>
      </c>
      <c r="F1467" s="17">
        <f t="shared" ca="1" si="1"/>
        <v>2012</v>
      </c>
      <c r="G1467" s="17">
        <f t="shared" ca="1" si="76"/>
        <v>10814</v>
      </c>
      <c r="H1467" s="3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</v>
      </c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</row>
    <row r="1468" spans="1:26" ht="13.5" customHeight="1" x14ac:dyDescent="0.3">
      <c r="A1468" s="17" t="s">
        <v>644</v>
      </c>
      <c r="B1468" s="17">
        <f t="shared" si="77"/>
        <v>15</v>
      </c>
      <c r="C1468" s="17">
        <f t="shared" si="26"/>
        <v>76</v>
      </c>
      <c r="D1468" s="17"/>
      <c r="E1468" s="17">
        <f t="shared" si="75"/>
        <v>65919</v>
      </c>
      <c r="F1468" s="17">
        <f t="shared" ca="1" si="1"/>
        <v>2012</v>
      </c>
      <c r="G1468" s="17">
        <f t="shared" ca="1" si="76"/>
        <v>10815</v>
      </c>
      <c r="H1468" s="3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-2500000</v>
      </c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</row>
    <row r="1469" spans="1:26" ht="13.5" customHeight="1" x14ac:dyDescent="0.3">
      <c r="A1469" s="17" t="s">
        <v>644</v>
      </c>
      <c r="B1469" s="17">
        <f t="shared" si="77"/>
        <v>15</v>
      </c>
      <c r="C1469" s="17">
        <f t="shared" si="26"/>
        <v>77</v>
      </c>
      <c r="D1469" s="17"/>
      <c r="E1469" s="17">
        <f t="shared" si="75"/>
        <v>65919</v>
      </c>
      <c r="F1469" s="17">
        <f t="shared" ca="1" si="1"/>
        <v>2012</v>
      </c>
      <c r="G1469" s="17">
        <f t="shared" ca="1" si="76"/>
        <v>10816</v>
      </c>
      <c r="H1469" s="30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-12500000</v>
      </c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</row>
    <row r="1470" spans="1:26" ht="13.5" customHeight="1" x14ac:dyDescent="0.3">
      <c r="A1470" s="17" t="s">
        <v>644</v>
      </c>
      <c r="B1470" s="17">
        <f t="shared" si="77"/>
        <v>15</v>
      </c>
      <c r="C1470" s="17">
        <f t="shared" si="26"/>
        <v>78</v>
      </c>
      <c r="D1470" s="17"/>
      <c r="E1470" s="17">
        <f t="shared" si="75"/>
        <v>65919</v>
      </c>
      <c r="F1470" s="17">
        <f t="shared" ca="1" si="1"/>
        <v>2012</v>
      </c>
      <c r="G1470" s="17">
        <f t="shared" ca="1" si="76"/>
        <v>10817</v>
      </c>
      <c r="H1470" s="30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</row>
    <row r="1471" spans="1:26" ht="13.5" customHeight="1" x14ac:dyDescent="0.3">
      <c r="A1471" s="17" t="s">
        <v>644</v>
      </c>
      <c r="B1471" s="17">
        <f t="shared" si="77"/>
        <v>15</v>
      </c>
      <c r="C1471" s="17">
        <f t="shared" si="26"/>
        <v>79</v>
      </c>
      <c r="D1471" s="17"/>
      <c r="E1471" s="17">
        <f t="shared" si="75"/>
        <v>65919</v>
      </c>
      <c r="F1471" s="17">
        <f t="shared" ca="1" si="1"/>
        <v>2012</v>
      </c>
      <c r="G1471" s="17">
        <f t="shared" ca="1" si="76"/>
        <v>10818</v>
      </c>
      <c r="H1471" s="30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</row>
    <row r="1472" spans="1:26" ht="13.5" customHeight="1" x14ac:dyDescent="0.3">
      <c r="A1472" s="17" t="s">
        <v>644</v>
      </c>
      <c r="B1472" s="17">
        <f t="shared" si="77"/>
        <v>15</v>
      </c>
      <c r="C1472" s="17">
        <f t="shared" si="26"/>
        <v>80</v>
      </c>
      <c r="D1472" s="17"/>
      <c r="E1472" s="17">
        <f t="shared" si="75"/>
        <v>65919</v>
      </c>
      <c r="F1472" s="17">
        <f t="shared" ca="1" si="1"/>
        <v>2012</v>
      </c>
      <c r="G1472" s="17">
        <f t="shared" ca="1" si="76"/>
        <v>10819</v>
      </c>
      <c r="H1472" s="30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300000</v>
      </c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</row>
    <row r="1473" spans="1:26" ht="13.5" customHeight="1" x14ac:dyDescent="0.3">
      <c r="A1473" s="17" t="s">
        <v>644</v>
      </c>
      <c r="B1473" s="17">
        <f t="shared" si="77"/>
        <v>15</v>
      </c>
      <c r="C1473" s="17">
        <f t="shared" si="26"/>
        <v>81</v>
      </c>
      <c r="D1473" s="17"/>
      <c r="E1473" s="17">
        <f t="shared" si="75"/>
        <v>65919</v>
      </c>
      <c r="F1473" s="17">
        <f t="shared" ca="1" si="1"/>
        <v>2012</v>
      </c>
      <c r="G1473" s="17">
        <f t="shared" ca="1" si="76"/>
        <v>10820</v>
      </c>
      <c r="H1473" s="3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</row>
    <row r="1474" spans="1:26" ht="13.5" customHeight="1" x14ac:dyDescent="0.3">
      <c r="A1474" s="17" t="s">
        <v>644</v>
      </c>
      <c r="B1474" s="17">
        <f t="shared" si="77"/>
        <v>15</v>
      </c>
      <c r="C1474" s="17">
        <f t="shared" si="26"/>
        <v>82</v>
      </c>
      <c r="D1474" s="17"/>
      <c r="E1474" s="17">
        <f t="shared" si="75"/>
        <v>65919</v>
      </c>
      <c r="F1474" s="17">
        <f t="shared" ca="1" si="1"/>
        <v>2012</v>
      </c>
      <c r="G1474" s="17">
        <f t="shared" ca="1" si="76"/>
        <v>10821</v>
      </c>
      <c r="H1474" s="30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</row>
    <row r="1475" spans="1:26" ht="13.5" customHeight="1" x14ac:dyDescent="0.3">
      <c r="A1475" s="17" t="s">
        <v>644</v>
      </c>
      <c r="B1475" s="17">
        <f t="shared" si="77"/>
        <v>15</v>
      </c>
      <c r="C1475" s="17">
        <f t="shared" si="26"/>
        <v>83</v>
      </c>
      <c r="D1475" s="17"/>
      <c r="E1475" s="17">
        <f t="shared" si="75"/>
        <v>65919</v>
      </c>
      <c r="F1475" s="17">
        <f t="shared" ca="1" si="1"/>
        <v>2012</v>
      </c>
      <c r="G1475" s="17">
        <f t="shared" ca="1" si="76"/>
        <v>10822</v>
      </c>
      <c r="H1475" s="3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</row>
    <row r="1476" spans="1:26" ht="13.5" customHeight="1" x14ac:dyDescent="0.3">
      <c r="A1476" s="17" t="s">
        <v>644</v>
      </c>
      <c r="B1476" s="17">
        <f t="shared" si="77"/>
        <v>15</v>
      </c>
      <c r="C1476" s="17">
        <f t="shared" si="26"/>
        <v>84</v>
      </c>
      <c r="D1476" s="17"/>
      <c r="E1476" s="17">
        <f t="shared" ref="E1476:E1539" si="78">plan_id</f>
        <v>65919</v>
      </c>
      <c r="F1476" s="17">
        <f t="shared" ca="1" si="1"/>
        <v>2012</v>
      </c>
      <c r="G1476" s="17">
        <f t="shared" ref="G1476:G1539" ca="1" si="79">VLOOKUP(INDIRECT(CHAR(39)&amp;$A1476&amp;CHAR(39)&amp;"!r2c"&amp;$C1476,0),variables,2,0)</f>
        <v>10829</v>
      </c>
      <c r="H1476" s="3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</row>
    <row r="1477" spans="1:26" ht="13.5" customHeight="1" x14ac:dyDescent="0.3">
      <c r="A1477" s="17" t="s">
        <v>644</v>
      </c>
      <c r="B1477" s="17">
        <f t="shared" si="77"/>
        <v>15</v>
      </c>
      <c r="C1477" s="17">
        <f t="shared" si="26"/>
        <v>85</v>
      </c>
      <c r="D1477" s="17"/>
      <c r="E1477" s="17">
        <f t="shared" si="78"/>
        <v>65919</v>
      </c>
      <c r="F1477" s="17">
        <f t="shared" ca="1" si="1"/>
        <v>2012</v>
      </c>
      <c r="G1477" s="17">
        <f t="shared" ca="1" si="79"/>
        <v>10823</v>
      </c>
      <c r="H1477" s="30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-8000000</v>
      </c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</row>
    <row r="1478" spans="1:26" ht="13.5" customHeight="1" x14ac:dyDescent="0.3">
      <c r="A1478" s="17" t="s">
        <v>644</v>
      </c>
      <c r="B1478" s="17">
        <f t="shared" si="77"/>
        <v>15</v>
      </c>
      <c r="C1478" s="17">
        <f t="shared" si="26"/>
        <v>86</v>
      </c>
      <c r="D1478" s="17"/>
      <c r="E1478" s="17">
        <f t="shared" si="78"/>
        <v>65919</v>
      </c>
      <c r="F1478" s="17">
        <f t="shared" ca="1" si="1"/>
        <v>2012</v>
      </c>
      <c r="G1478" s="17">
        <f t="shared" ca="1" si="79"/>
        <v>10798</v>
      </c>
      <c r="H1478" s="30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</row>
    <row r="1479" spans="1:26" ht="13.5" customHeight="1" x14ac:dyDescent="0.3">
      <c r="A1479" s="17" t="s">
        <v>644</v>
      </c>
      <c r="B1479" s="17">
        <f t="shared" si="77"/>
        <v>15</v>
      </c>
      <c r="C1479" s="17">
        <f t="shared" si="26"/>
        <v>87</v>
      </c>
      <c r="D1479" s="17"/>
      <c r="E1479" s="17">
        <f t="shared" si="78"/>
        <v>65919</v>
      </c>
      <c r="F1479" s="17">
        <f t="shared" ca="1" si="1"/>
        <v>2012</v>
      </c>
      <c r="G1479" s="17">
        <f t="shared" ca="1" si="79"/>
        <v>10799</v>
      </c>
      <c r="H1479" s="30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</row>
    <row r="1480" spans="1:26" ht="13.5" customHeight="1" x14ac:dyDescent="0.3">
      <c r="A1480" s="17" t="s">
        <v>644</v>
      </c>
      <c r="B1480" s="17">
        <f t="shared" si="77"/>
        <v>15</v>
      </c>
      <c r="C1480" s="17">
        <f t="shared" si="26"/>
        <v>88</v>
      </c>
      <c r="D1480" s="17"/>
      <c r="E1480" s="17">
        <f t="shared" si="78"/>
        <v>65919</v>
      </c>
      <c r="F1480" s="17">
        <f t="shared" ca="1" si="1"/>
        <v>2012</v>
      </c>
      <c r="G1480" s="17">
        <f t="shared" ca="1" si="79"/>
        <v>10800</v>
      </c>
      <c r="H1480" s="3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</row>
    <row r="1481" spans="1:26" ht="13.5" customHeight="1" x14ac:dyDescent="0.3">
      <c r="A1481" s="17" t="s">
        <v>644</v>
      </c>
      <c r="B1481" s="17">
        <f t="shared" si="77"/>
        <v>15</v>
      </c>
      <c r="C1481" s="17">
        <f t="shared" si="26"/>
        <v>89</v>
      </c>
      <c r="D1481" s="17"/>
      <c r="E1481" s="17">
        <f t="shared" si="78"/>
        <v>65919</v>
      </c>
      <c r="F1481" s="17">
        <f t="shared" ca="1" si="1"/>
        <v>2012</v>
      </c>
      <c r="G1481" s="17">
        <f t="shared" ca="1" si="79"/>
        <v>10824</v>
      </c>
      <c r="H1481" s="30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</row>
    <row r="1482" spans="1:26" ht="13.5" customHeight="1" x14ac:dyDescent="0.3">
      <c r="A1482" s="17" t="s">
        <v>644</v>
      </c>
      <c r="B1482" s="17">
        <f t="shared" si="77"/>
        <v>15</v>
      </c>
      <c r="C1482" s="17">
        <f t="shared" si="26"/>
        <v>90</v>
      </c>
      <c r="D1482" s="17"/>
      <c r="E1482" s="17">
        <f t="shared" si="78"/>
        <v>65919</v>
      </c>
      <c r="F1482" s="17">
        <f t="shared" ca="1" si="1"/>
        <v>2012</v>
      </c>
      <c r="G1482" s="17">
        <f t="shared" ca="1" si="79"/>
        <v>10825</v>
      </c>
      <c r="H1482" s="3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</v>
      </c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</row>
    <row r="1483" spans="1:26" ht="13.5" customHeight="1" x14ac:dyDescent="0.3">
      <c r="A1483" s="17" t="s">
        <v>644</v>
      </c>
      <c r="B1483" s="17">
        <f t="shared" si="77"/>
        <v>15</v>
      </c>
      <c r="C1483" s="17">
        <f t="shared" si="26"/>
        <v>91</v>
      </c>
      <c r="D1483" s="17"/>
      <c r="E1483" s="17">
        <f t="shared" si="78"/>
        <v>65919</v>
      </c>
      <c r="F1483" s="17">
        <f t="shared" ca="1" si="1"/>
        <v>2012</v>
      </c>
      <c r="G1483" s="17">
        <f t="shared" ca="1" si="79"/>
        <v>10826</v>
      </c>
      <c r="H1483" s="30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</row>
    <row r="1484" spans="1:26" ht="13.5" customHeight="1" x14ac:dyDescent="0.3">
      <c r="A1484" s="17" t="s">
        <v>644</v>
      </c>
      <c r="B1484" s="17">
        <f t="shared" si="77"/>
        <v>15</v>
      </c>
      <c r="C1484" s="17">
        <f t="shared" si="26"/>
        <v>92</v>
      </c>
      <c r="D1484" s="17"/>
      <c r="E1484" s="17">
        <f t="shared" si="78"/>
        <v>65919</v>
      </c>
      <c r="F1484" s="17">
        <f t="shared" ca="1" si="1"/>
        <v>2012</v>
      </c>
      <c r="G1484" s="17">
        <f t="shared" ca="1" si="79"/>
        <v>10828</v>
      </c>
      <c r="H1484" s="3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</row>
    <row r="1485" spans="1:26" ht="13.5" customHeight="1" x14ac:dyDescent="0.3">
      <c r="A1485" s="17" t="s">
        <v>644</v>
      </c>
      <c r="B1485" s="17">
        <f t="shared" si="77"/>
        <v>15</v>
      </c>
      <c r="C1485" s="17">
        <f t="shared" si="26"/>
        <v>93</v>
      </c>
      <c r="D1485" s="17"/>
      <c r="E1485" s="17">
        <f t="shared" si="78"/>
        <v>65919</v>
      </c>
      <c r="F1485" s="17">
        <f t="shared" ca="1" si="1"/>
        <v>2012</v>
      </c>
      <c r="G1485" s="17">
        <f t="shared" ca="1" si="79"/>
        <v>10827</v>
      </c>
      <c r="H1485" s="2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</row>
    <row r="1486" spans="1:26" ht="13.5" customHeight="1" x14ac:dyDescent="0.3">
      <c r="A1486" s="17" t="s">
        <v>644</v>
      </c>
      <c r="B1486" s="17">
        <f t="shared" ref="B1486:B1550" si="80">B1421+1</f>
        <v>16</v>
      </c>
      <c r="C1486" s="17">
        <f t="shared" si="26"/>
        <v>3</v>
      </c>
      <c r="D1486" s="17"/>
      <c r="E1486" s="17">
        <f t="shared" si="78"/>
        <v>65919</v>
      </c>
      <c r="F1486" s="17">
        <f t="shared" ca="1" si="1"/>
        <v>2013</v>
      </c>
      <c r="G1486" s="17">
        <f t="shared" ca="1" si="79"/>
        <v>10703</v>
      </c>
      <c r="H1486" s="2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2013</v>
      </c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</row>
    <row r="1487" spans="1:26" ht="13.5" customHeight="1" x14ac:dyDescent="0.3">
      <c r="A1487" s="17" t="s">
        <v>644</v>
      </c>
      <c r="B1487" s="17">
        <f t="shared" si="80"/>
        <v>16</v>
      </c>
      <c r="C1487" s="17">
        <f t="shared" si="26"/>
        <v>4</v>
      </c>
      <c r="D1487" s="17"/>
      <c r="E1487" s="17">
        <f t="shared" si="78"/>
        <v>65919</v>
      </c>
      <c r="F1487" s="17">
        <f t="shared" ca="1" si="1"/>
        <v>2013</v>
      </c>
      <c r="G1487" s="17">
        <f t="shared" ca="1" si="79"/>
        <v>10845</v>
      </c>
      <c r="H1487" s="2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The Office Of The State Actuary</v>
      </c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</row>
    <row r="1488" spans="1:26" ht="13.5" customHeight="1" x14ac:dyDescent="0.3">
      <c r="A1488" s="17" t="s">
        <v>644</v>
      </c>
      <c r="B1488" s="17">
        <f t="shared" si="80"/>
        <v>16</v>
      </c>
      <c r="C1488" s="17">
        <f t="shared" si="26"/>
        <v>5</v>
      </c>
      <c r="D1488" s="17"/>
      <c r="E1488" s="17">
        <f t="shared" si="78"/>
        <v>65919</v>
      </c>
      <c r="F1488" s="17">
        <f t="shared" ca="1" si="1"/>
        <v>2013</v>
      </c>
      <c r="G1488" s="17">
        <f t="shared" ca="1" si="79"/>
        <v>10924</v>
      </c>
      <c r="H1488" s="3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0.1598</v>
      </c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</row>
    <row r="1489" spans="1:26" ht="13.5" customHeight="1" x14ac:dyDescent="0.3">
      <c r="A1489" s="17" t="s">
        <v>644</v>
      </c>
      <c r="B1489" s="17">
        <f t="shared" si="80"/>
        <v>16</v>
      </c>
      <c r="C1489" s="17">
        <f t="shared" si="26"/>
        <v>6</v>
      </c>
      <c r="D1489" s="17"/>
      <c r="E1489" s="17">
        <f t="shared" si="78"/>
        <v>65919</v>
      </c>
      <c r="F1489" s="17">
        <f t="shared" ca="1" si="1"/>
        <v>2013</v>
      </c>
      <c r="G1489" s="17">
        <f t="shared" ca="1" si="79"/>
        <v>10925</v>
      </c>
      <c r="H1489" s="3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8.7900000000000006E-2</v>
      </c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</row>
    <row r="1490" spans="1:26" ht="13.5" customHeight="1" x14ac:dyDescent="0.3">
      <c r="A1490" s="17" t="s">
        <v>644</v>
      </c>
      <c r="B1490" s="17">
        <f t="shared" si="80"/>
        <v>16</v>
      </c>
      <c r="C1490" s="17">
        <f t="shared" si="26"/>
        <v>7</v>
      </c>
      <c r="D1490" s="17"/>
      <c r="E1490" s="17">
        <f t="shared" si="78"/>
        <v>65919</v>
      </c>
      <c r="F1490" s="17">
        <f t="shared" ca="1" si="1"/>
        <v>2013</v>
      </c>
      <c r="G1490" s="17">
        <f t="shared" ca="1" si="79"/>
        <v>10926</v>
      </c>
      <c r="H1490" s="3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7.1900000000000006E-2</v>
      </c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</row>
    <row r="1491" spans="1:26" ht="13.5" customHeight="1" x14ac:dyDescent="0.3">
      <c r="A1491" s="17" t="s">
        <v>644</v>
      </c>
      <c r="B1491" s="17">
        <f t="shared" si="80"/>
        <v>16</v>
      </c>
      <c r="C1491" s="17">
        <f t="shared" si="26"/>
        <v>8</v>
      </c>
      <c r="D1491" s="17"/>
      <c r="E1491" s="17">
        <f t="shared" si="78"/>
        <v>65919</v>
      </c>
      <c r="F1491" s="17">
        <f t="shared" ca="1" si="1"/>
        <v>2013</v>
      </c>
      <c r="G1491" s="17">
        <f t="shared" ca="1" si="79"/>
        <v>10704</v>
      </c>
      <c r="H1491" s="3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</v>
      </c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</row>
    <row r="1492" spans="1:26" ht="13.5" customHeight="1" x14ac:dyDescent="0.3">
      <c r="A1492" s="17" t="s">
        <v>644</v>
      </c>
      <c r="B1492" s="17">
        <f t="shared" si="80"/>
        <v>16</v>
      </c>
      <c r="C1492" s="17">
        <f t="shared" si="26"/>
        <v>9</v>
      </c>
      <c r="D1492" s="17"/>
      <c r="E1492" s="17">
        <f t="shared" si="78"/>
        <v>65919</v>
      </c>
      <c r="F1492" s="17">
        <f t="shared" ca="1" si="1"/>
        <v>2013</v>
      </c>
      <c r="G1492" s="17">
        <f t="shared" ca="1" si="79"/>
        <v>10928</v>
      </c>
      <c r="H1492" s="31" t="str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N/A</v>
      </c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</row>
    <row r="1493" spans="1:26" ht="13.5" customHeight="1" x14ac:dyDescent="0.3">
      <c r="A1493" s="17" t="s">
        <v>644</v>
      </c>
      <c r="B1493" s="17">
        <f t="shared" si="80"/>
        <v>16</v>
      </c>
      <c r="C1493" s="17">
        <f t="shared" si="26"/>
        <v>10</v>
      </c>
      <c r="D1493" s="17"/>
      <c r="E1493" s="17">
        <f t="shared" si="78"/>
        <v>65919</v>
      </c>
      <c r="F1493" s="17">
        <f t="shared" ca="1" si="1"/>
        <v>2013</v>
      </c>
      <c r="G1493" s="17">
        <f t="shared" ca="1" si="79"/>
        <v>10929</v>
      </c>
      <c r="H1493" s="31" t="str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N/A</v>
      </c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</row>
    <row r="1494" spans="1:26" ht="13.5" customHeight="1" x14ac:dyDescent="0.3">
      <c r="A1494" s="17" t="s">
        <v>644</v>
      </c>
      <c r="B1494" s="17">
        <f t="shared" si="80"/>
        <v>16</v>
      </c>
      <c r="C1494" s="17">
        <f t="shared" si="26"/>
        <v>11</v>
      </c>
      <c r="D1494" s="17"/>
      <c r="E1494" s="17">
        <f t="shared" si="78"/>
        <v>65919</v>
      </c>
      <c r="F1494" s="17">
        <f t="shared" ca="1" si="1"/>
        <v>2013</v>
      </c>
      <c r="G1494" s="17">
        <f t="shared" ca="1" si="79"/>
        <v>10930</v>
      </c>
      <c r="H1494" s="3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</row>
    <row r="1495" spans="1:26" ht="13.5" customHeight="1" x14ac:dyDescent="0.3">
      <c r="A1495" s="17" t="s">
        <v>644</v>
      </c>
      <c r="B1495" s="17">
        <f t="shared" si="80"/>
        <v>16</v>
      </c>
      <c r="C1495" s="17">
        <f t="shared" si="26"/>
        <v>12</v>
      </c>
      <c r="D1495" s="17"/>
      <c r="E1495" s="17">
        <f t="shared" si="78"/>
        <v>65919</v>
      </c>
      <c r="F1495" s="17">
        <f t="shared" ca="1" si="1"/>
        <v>2013</v>
      </c>
      <c r="G1495" s="17">
        <f t="shared" ca="1" si="79"/>
        <v>10705</v>
      </c>
      <c r="H1495" s="3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5396000</v>
      </c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</row>
    <row r="1496" spans="1:26" ht="13.5" customHeight="1" x14ac:dyDescent="0.3">
      <c r="A1496" s="17" t="s">
        <v>644</v>
      </c>
      <c r="B1496" s="17">
        <f t="shared" si="80"/>
        <v>16</v>
      </c>
      <c r="C1496" s="17">
        <f t="shared" si="26"/>
        <v>13</v>
      </c>
      <c r="D1496" s="17"/>
      <c r="E1496" s="17">
        <f t="shared" si="78"/>
        <v>65919</v>
      </c>
      <c r="F1496" s="17">
        <f t="shared" ca="1" si="1"/>
        <v>2013</v>
      </c>
      <c r="G1496" s="17">
        <f t="shared" ca="1" si="79"/>
        <v>10842</v>
      </c>
      <c r="H1496" s="3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</row>
    <row r="1497" spans="1:26" ht="13.5" customHeight="1" x14ac:dyDescent="0.3">
      <c r="A1497" s="17" t="s">
        <v>644</v>
      </c>
      <c r="B1497" s="17">
        <f t="shared" si="80"/>
        <v>16</v>
      </c>
      <c r="C1497" s="17">
        <f t="shared" si="26"/>
        <v>14</v>
      </c>
      <c r="D1497" s="17"/>
      <c r="E1497" s="17">
        <f t="shared" si="78"/>
        <v>65919</v>
      </c>
      <c r="F1497" s="17">
        <f t="shared" ca="1" si="1"/>
        <v>2013</v>
      </c>
      <c r="G1497" s="17">
        <f t="shared" ca="1" si="79"/>
        <v>10843</v>
      </c>
      <c r="H1497" s="3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</row>
    <row r="1498" spans="1:26" ht="13.5" customHeight="1" x14ac:dyDescent="0.3">
      <c r="A1498" s="17" t="s">
        <v>644</v>
      </c>
      <c r="B1498" s="17">
        <f t="shared" si="80"/>
        <v>16</v>
      </c>
      <c r="C1498" s="17">
        <f t="shared" si="26"/>
        <v>15</v>
      </c>
      <c r="D1498" s="17"/>
      <c r="E1498" s="17">
        <f t="shared" si="78"/>
        <v>65919</v>
      </c>
      <c r="F1498" s="17">
        <f t="shared" ca="1" si="1"/>
        <v>2013</v>
      </c>
      <c r="G1498" s="17">
        <f t="shared" ca="1" si="79"/>
        <v>10931</v>
      </c>
      <c r="H1498" s="3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</row>
    <row r="1499" spans="1:26" ht="13.5" customHeight="1" x14ac:dyDescent="0.3">
      <c r="A1499" s="17" t="s">
        <v>644</v>
      </c>
      <c r="B1499" s="17">
        <f t="shared" si="80"/>
        <v>16</v>
      </c>
      <c r="C1499" s="17">
        <f t="shared" si="26"/>
        <v>16</v>
      </c>
      <c r="D1499" s="17"/>
      <c r="E1499" s="17">
        <f t="shared" si="78"/>
        <v>65919</v>
      </c>
      <c r="F1499" s="17">
        <f t="shared" ca="1" si="1"/>
        <v>2013</v>
      </c>
      <c r="G1499" s="17">
        <f t="shared" ca="1" si="79"/>
        <v>10932</v>
      </c>
      <c r="H1499" s="3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</row>
    <row r="1500" spans="1:26" ht="13.5" customHeight="1" x14ac:dyDescent="0.3">
      <c r="A1500" s="17" t="s">
        <v>644</v>
      </c>
      <c r="B1500" s="17">
        <f t="shared" si="80"/>
        <v>16</v>
      </c>
      <c r="C1500" s="17">
        <f t="shared" si="26"/>
        <v>17</v>
      </c>
      <c r="D1500" s="17"/>
      <c r="E1500" s="17">
        <f t="shared" si="78"/>
        <v>65919</v>
      </c>
      <c r="F1500" s="17">
        <f t="shared" ca="1" si="1"/>
        <v>2013</v>
      </c>
      <c r="G1500" s="17">
        <f t="shared" ca="1" si="79"/>
        <v>10933</v>
      </c>
      <c r="H1500" s="3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8.7900000000000006E-2</v>
      </c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</row>
    <row r="1501" spans="1:26" ht="13.5" customHeight="1" x14ac:dyDescent="0.3">
      <c r="A1501" s="17" t="s">
        <v>644</v>
      </c>
      <c r="B1501" s="17">
        <f t="shared" si="80"/>
        <v>16</v>
      </c>
      <c r="C1501" s="17">
        <f t="shared" si="26"/>
        <v>18</v>
      </c>
      <c r="D1501" s="17"/>
      <c r="E1501" s="17">
        <f t="shared" si="78"/>
        <v>65919</v>
      </c>
      <c r="F1501" s="17">
        <f t="shared" ca="1" si="1"/>
        <v>2013</v>
      </c>
      <c r="G1501" s="17">
        <f t="shared" ca="1" si="79"/>
        <v>10934</v>
      </c>
      <c r="H1501" s="3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7.1900000000000006E-2</v>
      </c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</row>
    <row r="1502" spans="1:26" ht="13.5" customHeight="1" x14ac:dyDescent="0.3">
      <c r="A1502" s="17" t="s">
        <v>644</v>
      </c>
      <c r="B1502" s="17">
        <f t="shared" si="80"/>
        <v>16</v>
      </c>
      <c r="C1502" s="17">
        <f t="shared" si="26"/>
        <v>19</v>
      </c>
      <c r="D1502" s="17"/>
      <c r="E1502" s="17">
        <f t="shared" si="78"/>
        <v>65919</v>
      </c>
      <c r="F1502" s="17">
        <f t="shared" ca="1" si="1"/>
        <v>2013</v>
      </c>
      <c r="G1502" s="17">
        <f t="shared" ca="1" si="79"/>
        <v>10935</v>
      </c>
      <c r="H1502" s="29" t="str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Single Rate</v>
      </c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</row>
    <row r="1503" spans="1:26" ht="13.5" customHeight="1" x14ac:dyDescent="0.3">
      <c r="A1503" s="17" t="s">
        <v>644</v>
      </c>
      <c r="B1503" s="17">
        <f t="shared" si="80"/>
        <v>16</v>
      </c>
      <c r="C1503" s="17">
        <f t="shared" si="26"/>
        <v>20</v>
      </c>
      <c r="D1503" s="17"/>
      <c r="E1503" s="17">
        <f t="shared" si="78"/>
        <v>65919</v>
      </c>
      <c r="F1503" s="17">
        <f t="shared" ca="1" si="1"/>
        <v>2013</v>
      </c>
      <c r="G1503" s="17">
        <f t="shared" ca="1" si="79"/>
        <v>10937</v>
      </c>
      <c r="H1503" s="3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</row>
    <row r="1504" spans="1:26" ht="13.5" customHeight="1" x14ac:dyDescent="0.3">
      <c r="A1504" s="17" t="s">
        <v>644</v>
      </c>
      <c r="B1504" s="17">
        <f t="shared" si="80"/>
        <v>16</v>
      </c>
      <c r="C1504" s="17">
        <f t="shared" si="26"/>
        <v>21</v>
      </c>
      <c r="D1504" s="17"/>
      <c r="E1504" s="17">
        <f t="shared" si="78"/>
        <v>65919</v>
      </c>
      <c r="F1504" s="17">
        <f t="shared" ca="1" si="1"/>
        <v>2013</v>
      </c>
      <c r="G1504" s="17">
        <f t="shared" ca="1" si="79"/>
        <v>10938</v>
      </c>
      <c r="H1504" s="3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</row>
    <row r="1505" spans="1:26" ht="13.5" customHeight="1" x14ac:dyDescent="0.3">
      <c r="A1505" s="17" t="s">
        <v>644</v>
      </c>
      <c r="B1505" s="17">
        <f t="shared" si="80"/>
        <v>16</v>
      </c>
      <c r="C1505" s="17">
        <f t="shared" si="26"/>
        <v>22</v>
      </c>
      <c r="D1505" s="17"/>
      <c r="E1505" s="17">
        <f t="shared" si="78"/>
        <v>65919</v>
      </c>
      <c r="F1505" s="17">
        <f t="shared" ca="1" si="1"/>
        <v>2013</v>
      </c>
      <c r="G1505" s="17">
        <f t="shared" ca="1" si="79"/>
        <v>11007</v>
      </c>
      <c r="H1505" s="29" t="str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Accrued Benefit Formula= 2% x YOS x AFC (Max= 75% AFC)</v>
      </c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</row>
    <row r="1506" spans="1:26" ht="13.5" customHeight="1" x14ac:dyDescent="0.3">
      <c r="A1506" s="17" t="s">
        <v>644</v>
      </c>
      <c r="B1506" s="17">
        <f t="shared" si="80"/>
        <v>16</v>
      </c>
      <c r="C1506" s="17">
        <f t="shared" si="26"/>
        <v>23</v>
      </c>
      <c r="D1506" s="17"/>
      <c r="E1506" s="17">
        <f t="shared" si="78"/>
        <v>65919</v>
      </c>
      <c r="F1506" s="17">
        <f t="shared" ca="1" si="1"/>
        <v>2013</v>
      </c>
      <c r="G1506" s="17">
        <f t="shared" ca="1" si="79"/>
        <v>10941</v>
      </c>
      <c r="H1506" s="29" t="str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COLA</v>
      </c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</row>
    <row r="1507" spans="1:26" ht="13.5" customHeight="1" x14ac:dyDescent="0.3">
      <c r="A1507" s="17" t="s">
        <v>644</v>
      </c>
      <c r="B1507" s="17">
        <f t="shared" si="80"/>
        <v>16</v>
      </c>
      <c r="C1507" s="17">
        <f t="shared" si="26"/>
        <v>24</v>
      </c>
      <c r="D1507" s="17"/>
      <c r="E1507" s="17">
        <f t="shared" si="78"/>
        <v>65919</v>
      </c>
      <c r="F1507" s="17">
        <f t="shared" ca="1" si="1"/>
        <v>2013</v>
      </c>
      <c r="G1507" s="17">
        <f t="shared" ca="1" si="79"/>
        <v>10942</v>
      </c>
      <c r="H1507" s="29" t="str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Percentage</v>
      </c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</row>
    <row r="1508" spans="1:26" ht="13.5" customHeight="1" x14ac:dyDescent="0.3">
      <c r="A1508" s="17" t="s">
        <v>644</v>
      </c>
      <c r="B1508" s="17">
        <f t="shared" si="80"/>
        <v>16</v>
      </c>
      <c r="C1508" s="17">
        <f t="shared" si="26"/>
        <v>25</v>
      </c>
      <c r="D1508" s="17"/>
      <c r="E1508" s="17">
        <f t="shared" si="78"/>
        <v>65919</v>
      </c>
      <c r="F1508" s="17">
        <f t="shared" ca="1" si="1"/>
        <v>2013</v>
      </c>
      <c r="G1508" s="17">
        <f t="shared" ca="1" si="79"/>
        <v>10701</v>
      </c>
      <c r="H1508" s="3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0.03</v>
      </c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</row>
    <row r="1509" spans="1:26" ht="13.5" customHeight="1" x14ac:dyDescent="0.3">
      <c r="A1509" s="17" t="s">
        <v>644</v>
      </c>
      <c r="B1509" s="17">
        <f t="shared" si="80"/>
        <v>16</v>
      </c>
      <c r="C1509" s="17">
        <f t="shared" si="26"/>
        <v>26</v>
      </c>
      <c r="D1509" s="17"/>
      <c r="E1509" s="17">
        <f t="shared" si="78"/>
        <v>65919</v>
      </c>
      <c r="F1509" s="17">
        <f t="shared" ca="1" si="1"/>
        <v>2013</v>
      </c>
      <c r="G1509" s="17">
        <f t="shared" ca="1" si="79"/>
        <v>10702</v>
      </c>
      <c r="H1509" s="3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</row>
    <row r="1510" spans="1:26" ht="13.5" customHeight="1" x14ac:dyDescent="0.3">
      <c r="A1510" s="17" t="s">
        <v>644</v>
      </c>
      <c r="B1510" s="17">
        <f t="shared" si="80"/>
        <v>16</v>
      </c>
      <c r="C1510" s="17">
        <f t="shared" si="26"/>
        <v>27</v>
      </c>
      <c r="D1510" s="17"/>
      <c r="E1510" s="17">
        <f t="shared" si="78"/>
        <v>65919</v>
      </c>
      <c r="F1510" s="17">
        <f t="shared" ca="1" si="1"/>
        <v>2013</v>
      </c>
      <c r="G1510" s="17">
        <f t="shared" ca="1" si="79"/>
        <v>10943</v>
      </c>
      <c r="H1510" s="2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</row>
    <row r="1511" spans="1:26" ht="13.5" customHeight="1" x14ac:dyDescent="0.3">
      <c r="A1511" s="17" t="s">
        <v>644</v>
      </c>
      <c r="B1511" s="17">
        <f t="shared" si="80"/>
        <v>16</v>
      </c>
      <c r="C1511" s="17">
        <f t="shared" si="26"/>
        <v>28</v>
      </c>
      <c r="D1511" s="17"/>
      <c r="E1511" s="17">
        <f t="shared" si="78"/>
        <v>65919</v>
      </c>
      <c r="F1511" s="17">
        <f t="shared" ca="1" si="1"/>
        <v>2013</v>
      </c>
      <c r="G1511" s="17">
        <f t="shared" ca="1" si="79"/>
        <v>10944</v>
      </c>
      <c r="H1511" s="31" t="str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No</v>
      </c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</row>
    <row r="1512" spans="1:26" ht="13.5" customHeight="1" x14ac:dyDescent="0.3">
      <c r="A1512" s="17" t="s">
        <v>644</v>
      </c>
      <c r="B1512" s="17">
        <f t="shared" si="80"/>
        <v>16</v>
      </c>
      <c r="C1512" s="17">
        <f t="shared" si="26"/>
        <v>29</v>
      </c>
      <c r="D1512" s="17"/>
      <c r="E1512" s="17">
        <f t="shared" si="78"/>
        <v>65919</v>
      </c>
      <c r="F1512" s="17">
        <f t="shared" ca="1" si="1"/>
        <v>2013</v>
      </c>
      <c r="G1512" s="17">
        <f t="shared" ca="1" si="79"/>
        <v>10945</v>
      </c>
      <c r="H1512" s="31" t="str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No</v>
      </c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</row>
    <row r="1513" spans="1:26" ht="13.5" customHeight="1" x14ac:dyDescent="0.3">
      <c r="A1513" s="17" t="s">
        <v>644</v>
      </c>
      <c r="B1513" s="17">
        <f t="shared" si="80"/>
        <v>16</v>
      </c>
      <c r="C1513" s="17">
        <f t="shared" si="26"/>
        <v>30</v>
      </c>
      <c r="D1513" s="17"/>
      <c r="E1513" s="17">
        <f t="shared" si="78"/>
        <v>65919</v>
      </c>
      <c r="F1513" s="17">
        <f t="shared" ca="1" si="1"/>
        <v>2013</v>
      </c>
      <c r="G1513" s="17">
        <f t="shared" ca="1" si="79"/>
        <v>10947</v>
      </c>
      <c r="H1513" s="2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</row>
    <row r="1514" spans="1:26" ht="13.5" customHeight="1" x14ac:dyDescent="0.3">
      <c r="A1514" s="17" t="s">
        <v>644</v>
      </c>
      <c r="B1514" s="17">
        <f t="shared" si="80"/>
        <v>16</v>
      </c>
      <c r="C1514" s="17">
        <f t="shared" si="26"/>
        <v>31</v>
      </c>
      <c r="D1514" s="17"/>
      <c r="E1514" s="17">
        <f t="shared" si="78"/>
        <v>65919</v>
      </c>
      <c r="F1514" s="17">
        <f t="shared" ca="1" si="1"/>
        <v>2013</v>
      </c>
      <c r="G1514" s="17">
        <f t="shared" ca="1" si="79"/>
        <v>10948</v>
      </c>
      <c r="H1514" s="31" t="str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No</v>
      </c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</row>
    <row r="1515" spans="1:26" ht="13.5" customHeight="1" x14ac:dyDescent="0.3">
      <c r="A1515" s="17" t="s">
        <v>644</v>
      </c>
      <c r="B1515" s="17">
        <f t="shared" si="80"/>
        <v>16</v>
      </c>
      <c r="C1515" s="17">
        <f t="shared" si="26"/>
        <v>32</v>
      </c>
      <c r="D1515" s="17"/>
      <c r="E1515" s="17">
        <f t="shared" si="78"/>
        <v>65919</v>
      </c>
      <c r="F1515" s="17">
        <f t="shared" ca="1" si="1"/>
        <v>2013</v>
      </c>
      <c r="G1515" s="17">
        <f t="shared" ca="1" si="79"/>
        <v>10949</v>
      </c>
      <c r="H1515" s="31" t="str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No</v>
      </c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</row>
    <row r="1516" spans="1:26" ht="13.5" customHeight="1" x14ac:dyDescent="0.3">
      <c r="A1516" s="17" t="s">
        <v>644</v>
      </c>
      <c r="B1516" s="17">
        <f t="shared" si="80"/>
        <v>16</v>
      </c>
      <c r="C1516" s="17">
        <f t="shared" si="26"/>
        <v>33</v>
      </c>
      <c r="D1516" s="17"/>
      <c r="E1516" s="17">
        <f t="shared" si="78"/>
        <v>65919</v>
      </c>
      <c r="F1516" s="17">
        <f t="shared" ca="1" si="1"/>
        <v>2013</v>
      </c>
      <c r="G1516" s="17">
        <f t="shared" ca="1" si="79"/>
        <v>10951</v>
      </c>
      <c r="H1516" s="31" t="str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No</v>
      </c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</row>
    <row r="1517" spans="1:26" ht="13.5" customHeight="1" x14ac:dyDescent="0.3">
      <c r="A1517" s="17" t="s">
        <v>644</v>
      </c>
      <c r="B1517" s="17">
        <f t="shared" si="80"/>
        <v>16</v>
      </c>
      <c r="C1517" s="17">
        <f t="shared" si="26"/>
        <v>34</v>
      </c>
      <c r="D1517" s="17"/>
      <c r="E1517" s="17">
        <f t="shared" si="78"/>
        <v>65919</v>
      </c>
      <c r="F1517" s="17">
        <f t="shared" ca="1" si="1"/>
        <v>2013</v>
      </c>
      <c r="G1517" s="17">
        <f t="shared" ca="1" si="79"/>
        <v>10950</v>
      </c>
      <c r="H1517" s="31" t="str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No</v>
      </c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</row>
    <row r="1518" spans="1:26" ht="13.5" customHeight="1" x14ac:dyDescent="0.3">
      <c r="A1518" s="17" t="s">
        <v>644</v>
      </c>
      <c r="B1518" s="17">
        <f t="shared" si="80"/>
        <v>16</v>
      </c>
      <c r="C1518" s="17">
        <f t="shared" si="26"/>
        <v>35</v>
      </c>
      <c r="D1518" s="17"/>
      <c r="E1518" s="17">
        <f t="shared" si="78"/>
        <v>65919</v>
      </c>
      <c r="F1518" s="17">
        <f t="shared" ca="1" si="1"/>
        <v>2013</v>
      </c>
      <c r="G1518" s="17">
        <f t="shared" ca="1" si="79"/>
        <v>10954</v>
      </c>
      <c r="H1518" s="3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0.03</v>
      </c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</row>
    <row r="1519" spans="1:26" ht="13.5" customHeight="1" x14ac:dyDescent="0.3">
      <c r="A1519" s="17" t="s">
        <v>644</v>
      </c>
      <c r="B1519" s="17">
        <f t="shared" si="80"/>
        <v>16</v>
      </c>
      <c r="C1519" s="17">
        <f t="shared" si="26"/>
        <v>36</v>
      </c>
      <c r="D1519" s="17"/>
      <c r="E1519" s="17">
        <f t="shared" si="78"/>
        <v>65919</v>
      </c>
      <c r="F1519" s="17">
        <f t="shared" ca="1" si="1"/>
        <v>2013</v>
      </c>
      <c r="G1519" s="17">
        <f t="shared" ca="1" si="79"/>
        <v>10955</v>
      </c>
      <c r="H1519" s="3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7.8E-2</v>
      </c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</row>
    <row r="1520" spans="1:26" ht="13.5" customHeight="1" x14ac:dyDescent="0.3">
      <c r="A1520" s="17" t="s">
        <v>644</v>
      </c>
      <c r="B1520" s="17">
        <f t="shared" si="80"/>
        <v>16</v>
      </c>
      <c r="C1520" s="17">
        <f t="shared" si="26"/>
        <v>37</v>
      </c>
      <c r="D1520" s="17"/>
      <c r="E1520" s="17">
        <f t="shared" si="78"/>
        <v>65919</v>
      </c>
      <c r="F1520" s="17">
        <f t="shared" ca="1" si="1"/>
        <v>2013</v>
      </c>
      <c r="G1520" s="17">
        <f t="shared" ca="1" si="79"/>
        <v>10956</v>
      </c>
      <c r="H1520" s="3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3.5624999999999996E-4</v>
      </c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</row>
    <row r="1521" spans="1:26" ht="13.5" customHeight="1" x14ac:dyDescent="0.3">
      <c r="A1521" s="17" t="s">
        <v>644</v>
      </c>
      <c r="B1521" s="17">
        <f t="shared" si="80"/>
        <v>16</v>
      </c>
      <c r="C1521" s="17">
        <f t="shared" si="26"/>
        <v>38</v>
      </c>
      <c r="D1521" s="17"/>
      <c r="E1521" s="17">
        <f t="shared" si="78"/>
        <v>65919</v>
      </c>
      <c r="F1521" s="17">
        <f t="shared" ca="1" si="1"/>
        <v>2013</v>
      </c>
      <c r="G1521" s="17">
        <f t="shared" ca="1" si="79"/>
        <v>10959</v>
      </c>
      <c r="H1521" s="3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3.7499999999999999E-2</v>
      </c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</row>
    <row r="1522" spans="1:26" ht="13.5" customHeight="1" x14ac:dyDescent="0.3">
      <c r="A1522" s="17" t="s">
        <v>644</v>
      </c>
      <c r="B1522" s="17">
        <f t="shared" si="80"/>
        <v>16</v>
      </c>
      <c r="C1522" s="17">
        <f t="shared" si="26"/>
        <v>39</v>
      </c>
      <c r="D1522" s="17"/>
      <c r="E1522" s="17">
        <f t="shared" si="78"/>
        <v>65919</v>
      </c>
      <c r="F1522" s="17">
        <f t="shared" ca="1" si="1"/>
        <v>2013</v>
      </c>
      <c r="G1522" s="17">
        <f t="shared" ca="1" si="79"/>
        <v>10962</v>
      </c>
      <c r="H1522" s="29" t="str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Pg.no.66</v>
      </c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</row>
    <row r="1523" spans="1:26" ht="13.5" customHeight="1" x14ac:dyDescent="0.3">
      <c r="A1523" s="17" t="s">
        <v>644</v>
      </c>
      <c r="B1523" s="17">
        <f t="shared" si="80"/>
        <v>16</v>
      </c>
      <c r="C1523" s="17">
        <f t="shared" si="26"/>
        <v>40</v>
      </c>
      <c r="D1523" s="17"/>
      <c r="E1523" s="17">
        <f t="shared" si="78"/>
        <v>65919</v>
      </c>
      <c r="F1523" s="17">
        <f t="shared" ca="1" si="1"/>
        <v>2013</v>
      </c>
      <c r="G1523" s="17">
        <f t="shared" ca="1" si="79"/>
        <v>10964</v>
      </c>
      <c r="H1523" s="29" t="str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Pg.no.58</v>
      </c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</row>
    <row r="1524" spans="1:26" ht="13.5" customHeight="1" x14ac:dyDescent="0.3">
      <c r="A1524" s="17" t="s">
        <v>644</v>
      </c>
      <c r="B1524" s="17">
        <f t="shared" si="80"/>
        <v>16</v>
      </c>
      <c r="C1524" s="17">
        <f t="shared" si="26"/>
        <v>41</v>
      </c>
      <c r="D1524" s="17"/>
      <c r="E1524" s="17">
        <f t="shared" si="78"/>
        <v>65919</v>
      </c>
      <c r="F1524" s="17">
        <f t="shared" ca="1" si="1"/>
        <v>2013</v>
      </c>
      <c r="G1524" s="17">
        <f t="shared" ca="1" si="79"/>
        <v>10967</v>
      </c>
      <c r="H1524" s="29" t="str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RP-2000 Mortality Table</v>
      </c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</row>
    <row r="1525" spans="1:26" ht="13.5" customHeight="1" x14ac:dyDescent="0.3">
      <c r="A1525" s="17" t="s">
        <v>644</v>
      </c>
      <c r="B1525" s="17">
        <f t="shared" si="80"/>
        <v>16</v>
      </c>
      <c r="C1525" s="17">
        <f t="shared" si="26"/>
        <v>42</v>
      </c>
      <c r="D1525" s="17"/>
      <c r="E1525" s="17">
        <f t="shared" si="78"/>
        <v>65919</v>
      </c>
      <c r="F1525" s="17">
        <f t="shared" ca="1" si="1"/>
        <v>2013</v>
      </c>
      <c r="G1525" s="17">
        <f t="shared" ca="1" si="79"/>
        <v>10968</v>
      </c>
      <c r="H1525" s="2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2000</v>
      </c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</row>
    <row r="1526" spans="1:26" ht="13.5" customHeight="1" x14ac:dyDescent="0.3">
      <c r="A1526" s="17" t="s">
        <v>644</v>
      </c>
      <c r="B1526" s="17">
        <f t="shared" si="80"/>
        <v>16</v>
      </c>
      <c r="C1526" s="17">
        <f t="shared" si="26"/>
        <v>43</v>
      </c>
      <c r="D1526" s="17"/>
      <c r="E1526" s="17">
        <f t="shared" si="78"/>
        <v>65919</v>
      </c>
      <c r="F1526" s="17">
        <f t="shared" ca="1" si="1"/>
        <v>2013</v>
      </c>
      <c r="G1526" s="17">
        <f t="shared" ca="1" si="79"/>
        <v>10969</v>
      </c>
      <c r="H1526" s="2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Scale BB</v>
      </c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</row>
    <row r="1527" spans="1:26" ht="13.5" customHeight="1" x14ac:dyDescent="0.3">
      <c r="A1527" s="17" t="s">
        <v>644</v>
      </c>
      <c r="B1527" s="17">
        <f t="shared" si="80"/>
        <v>16</v>
      </c>
      <c r="C1527" s="17">
        <f t="shared" si="26"/>
        <v>44</v>
      </c>
      <c r="D1527" s="17"/>
      <c r="E1527" s="17">
        <f t="shared" si="78"/>
        <v>65919</v>
      </c>
      <c r="F1527" s="17">
        <f t="shared" ca="1" si="1"/>
        <v>2013</v>
      </c>
      <c r="G1527" s="17">
        <f t="shared" ca="1" si="79"/>
        <v>10970</v>
      </c>
      <c r="H1527" s="29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Male: 1 Year</v>
      </c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</row>
    <row r="1528" spans="1:26" ht="13.5" customHeight="1" x14ac:dyDescent="0.3">
      <c r="A1528" s="17" t="s">
        <v>644</v>
      </c>
      <c r="B1528" s="17">
        <f t="shared" si="80"/>
        <v>16</v>
      </c>
      <c r="C1528" s="17">
        <f t="shared" si="26"/>
        <v>45</v>
      </c>
      <c r="D1528" s="17"/>
      <c r="E1528" s="17">
        <f t="shared" si="78"/>
        <v>65919</v>
      </c>
      <c r="F1528" s="17">
        <f t="shared" ca="1" si="1"/>
        <v>2013</v>
      </c>
      <c r="G1528" s="17">
        <f t="shared" ca="1" si="79"/>
        <v>10971</v>
      </c>
      <c r="H1528" s="29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Female: 1 Year</v>
      </c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</row>
    <row r="1529" spans="1:26" ht="13.5" customHeight="1" x14ac:dyDescent="0.3">
      <c r="A1529" s="17" t="s">
        <v>644</v>
      </c>
      <c r="B1529" s="17">
        <f t="shared" si="80"/>
        <v>16</v>
      </c>
      <c r="C1529" s="17">
        <f t="shared" si="26"/>
        <v>46</v>
      </c>
      <c r="D1529" s="17"/>
      <c r="E1529" s="17">
        <f t="shared" si="78"/>
        <v>65919</v>
      </c>
      <c r="F1529" s="17">
        <f t="shared" ca="1" si="1"/>
        <v>2013</v>
      </c>
      <c r="G1529" s="17">
        <f t="shared" ca="1" si="79"/>
        <v>10972</v>
      </c>
      <c r="H1529" s="29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N/A</v>
      </c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</row>
    <row r="1530" spans="1:26" ht="13.5" customHeight="1" x14ac:dyDescent="0.3">
      <c r="A1530" s="17" t="s">
        <v>644</v>
      </c>
      <c r="B1530" s="17">
        <f t="shared" si="80"/>
        <v>16</v>
      </c>
      <c r="C1530" s="17">
        <f t="shared" si="26"/>
        <v>47</v>
      </c>
      <c r="D1530" s="17"/>
      <c r="E1530" s="17">
        <f t="shared" si="78"/>
        <v>65919</v>
      </c>
      <c r="F1530" s="17">
        <f t="shared" ca="1" si="1"/>
        <v>2013</v>
      </c>
      <c r="G1530" s="17">
        <f t="shared" ca="1" si="79"/>
        <v>10973</v>
      </c>
      <c r="H1530" s="29" t="str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N/A</v>
      </c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</row>
    <row r="1531" spans="1:26" ht="13.5" customHeight="1" x14ac:dyDescent="0.3">
      <c r="A1531" s="17" t="s">
        <v>644</v>
      </c>
      <c r="B1531" s="17">
        <f t="shared" si="80"/>
        <v>16</v>
      </c>
      <c r="C1531" s="17">
        <f t="shared" si="26"/>
        <v>48</v>
      </c>
      <c r="D1531" s="17"/>
      <c r="E1531" s="17">
        <f t="shared" si="78"/>
        <v>65919</v>
      </c>
      <c r="F1531" s="17">
        <f t="shared" ca="1" si="1"/>
        <v>2013</v>
      </c>
      <c r="G1531" s="17">
        <f t="shared" ca="1" si="79"/>
        <v>10975</v>
      </c>
      <c r="H1531" s="29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 xml:space="preserve">Aggregate   </v>
      </c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</row>
    <row r="1532" spans="1:26" ht="13.5" customHeight="1" x14ac:dyDescent="0.3">
      <c r="A1532" s="17" t="s">
        <v>644</v>
      </c>
      <c r="B1532" s="17">
        <f t="shared" si="80"/>
        <v>16</v>
      </c>
      <c r="C1532" s="17">
        <f t="shared" si="26"/>
        <v>49</v>
      </c>
      <c r="D1532" s="17"/>
      <c r="E1532" s="17">
        <f t="shared" si="78"/>
        <v>65919</v>
      </c>
      <c r="F1532" s="17">
        <f t="shared" ca="1" si="1"/>
        <v>2013</v>
      </c>
      <c r="G1532" s="17">
        <f t="shared" ca="1" si="79"/>
        <v>10976</v>
      </c>
      <c r="H1532" s="3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7.8E-2</v>
      </c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</row>
    <row r="1533" spans="1:26" ht="13.5" customHeight="1" x14ac:dyDescent="0.3">
      <c r="A1533" s="17" t="s">
        <v>644</v>
      </c>
      <c r="B1533" s="17">
        <f t="shared" si="80"/>
        <v>16</v>
      </c>
      <c r="C1533" s="17">
        <f t="shared" si="26"/>
        <v>50</v>
      </c>
      <c r="D1533" s="17"/>
      <c r="E1533" s="17">
        <f t="shared" si="78"/>
        <v>65919</v>
      </c>
      <c r="F1533" s="17">
        <f t="shared" ca="1" si="1"/>
        <v>2013</v>
      </c>
      <c r="G1533" s="17">
        <f t="shared" ca="1" si="79"/>
        <v>10977</v>
      </c>
      <c r="H1533" s="31" t="str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No</v>
      </c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</row>
    <row r="1534" spans="1:26" ht="13.5" customHeight="1" x14ac:dyDescent="0.3">
      <c r="A1534" s="17" t="s">
        <v>644</v>
      </c>
      <c r="B1534" s="17">
        <f t="shared" si="80"/>
        <v>16</v>
      </c>
      <c r="C1534" s="17">
        <f t="shared" si="26"/>
        <v>51</v>
      </c>
      <c r="D1534" s="17"/>
      <c r="E1534" s="17">
        <f t="shared" si="78"/>
        <v>65919</v>
      </c>
      <c r="F1534" s="17">
        <f t="shared" ca="1" si="1"/>
        <v>2013</v>
      </c>
      <c r="G1534" s="17">
        <f t="shared" ca="1" si="79"/>
        <v>10978</v>
      </c>
      <c r="H1534" s="3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7.8E-2</v>
      </c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</row>
    <row r="1535" spans="1:26" ht="13.5" customHeight="1" x14ac:dyDescent="0.3">
      <c r="A1535" s="17" t="s">
        <v>644</v>
      </c>
      <c r="B1535" s="17">
        <f t="shared" si="80"/>
        <v>16</v>
      </c>
      <c r="C1535" s="17">
        <f t="shared" si="26"/>
        <v>52</v>
      </c>
      <c r="D1535" s="17"/>
      <c r="E1535" s="17">
        <f t="shared" si="78"/>
        <v>65919</v>
      </c>
      <c r="F1535" s="17">
        <f t="shared" ca="1" si="1"/>
        <v>2013</v>
      </c>
      <c r="G1535" s="17">
        <f t="shared" ca="1" si="79"/>
        <v>10979</v>
      </c>
      <c r="H1535" s="29" t="str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8 Years</v>
      </c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</row>
    <row r="1536" spans="1:26" ht="13.5" customHeight="1" x14ac:dyDescent="0.3">
      <c r="A1536" s="17" t="s">
        <v>644</v>
      </c>
      <c r="B1536" s="17">
        <f t="shared" si="80"/>
        <v>16</v>
      </c>
      <c r="C1536" s="17">
        <f t="shared" si="26"/>
        <v>53</v>
      </c>
      <c r="D1536" s="17"/>
      <c r="E1536" s="17">
        <f t="shared" si="78"/>
        <v>65919</v>
      </c>
      <c r="F1536" s="17">
        <f t="shared" ca="1" si="1"/>
        <v>2013</v>
      </c>
      <c r="G1536" s="17">
        <f t="shared" ca="1" si="79"/>
        <v>10980</v>
      </c>
      <c r="H1536" s="3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5.9900000000000002E-2</v>
      </c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</row>
    <row r="1537" spans="1:26" ht="13.5" customHeight="1" x14ac:dyDescent="0.3">
      <c r="A1537" s="17" t="s">
        <v>644</v>
      </c>
      <c r="B1537" s="17">
        <f t="shared" si="80"/>
        <v>16</v>
      </c>
      <c r="C1537" s="17">
        <f t="shared" si="26"/>
        <v>54</v>
      </c>
      <c r="D1537" s="17"/>
      <c r="E1537" s="17">
        <f t="shared" si="78"/>
        <v>65919</v>
      </c>
      <c r="F1537" s="17">
        <f t="shared" ca="1" si="1"/>
        <v>2013</v>
      </c>
      <c r="G1537" s="17">
        <f t="shared" ca="1" si="79"/>
        <v>10981</v>
      </c>
      <c r="H1537" s="3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0.1237</v>
      </c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</row>
    <row r="1538" spans="1:26" ht="13.5" customHeight="1" x14ac:dyDescent="0.3">
      <c r="A1538" s="17" t="s">
        <v>644</v>
      </c>
      <c r="B1538" s="17">
        <f t="shared" si="80"/>
        <v>16</v>
      </c>
      <c r="C1538" s="17">
        <f t="shared" si="26"/>
        <v>55</v>
      </c>
      <c r="D1538" s="17"/>
      <c r="E1538" s="17">
        <f t="shared" si="78"/>
        <v>65919</v>
      </c>
      <c r="F1538" s="17">
        <f t="shared" ca="1" si="1"/>
        <v>2013</v>
      </c>
      <c r="G1538" s="17">
        <f t="shared" ca="1" si="79"/>
        <v>10706</v>
      </c>
      <c r="H1538" s="3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5.6301297755378184E-4</v>
      </c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</row>
    <row r="1539" spans="1:26" ht="13.5" customHeight="1" x14ac:dyDescent="0.3">
      <c r="A1539" s="17" t="s">
        <v>644</v>
      </c>
      <c r="B1539" s="17">
        <f t="shared" si="80"/>
        <v>16</v>
      </c>
      <c r="C1539" s="17">
        <f t="shared" si="26"/>
        <v>56</v>
      </c>
      <c r="D1539" s="17"/>
      <c r="E1539" s="17">
        <f t="shared" si="78"/>
        <v>65919</v>
      </c>
      <c r="F1539" s="17">
        <f t="shared" ca="1" si="1"/>
        <v>2013</v>
      </c>
      <c r="G1539" s="17">
        <f t="shared" ca="1" si="79"/>
        <v>10983</v>
      </c>
      <c r="H1539" s="30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No</v>
      </c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</row>
    <row r="1540" spans="1:26" ht="13.5" customHeight="1" x14ac:dyDescent="0.3">
      <c r="A1540" s="17" t="s">
        <v>644</v>
      </c>
      <c r="B1540" s="17">
        <f t="shared" si="80"/>
        <v>16</v>
      </c>
      <c r="C1540" s="17">
        <f t="shared" si="26"/>
        <v>57</v>
      </c>
      <c r="D1540" s="17"/>
      <c r="E1540" s="17">
        <f t="shared" ref="E1540:E1603" si="81">plan_id</f>
        <v>65919</v>
      </c>
      <c r="F1540" s="17">
        <f t="shared" ca="1" si="1"/>
        <v>2013</v>
      </c>
      <c r="G1540" s="17">
        <f t="shared" ref="G1540:G1603" ca="1" si="82">VLOOKUP(INDIRECT(CHAR(39)&amp;$A1540&amp;CHAR(39)&amp;"!r2c"&amp;$C1540,0),variables,2,0)</f>
        <v>10989</v>
      </c>
      <c r="H1540" s="3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1009000000</v>
      </c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</row>
    <row r="1541" spans="1:26" ht="13.5" customHeight="1" x14ac:dyDescent="0.3">
      <c r="A1541" s="17" t="s">
        <v>644</v>
      </c>
      <c r="B1541" s="17">
        <f t="shared" si="80"/>
        <v>16</v>
      </c>
      <c r="C1541" s="17">
        <f t="shared" si="26"/>
        <v>58</v>
      </c>
      <c r="D1541" s="17"/>
      <c r="E1541" s="17">
        <f t="shared" si="81"/>
        <v>65919</v>
      </c>
      <c r="F1541" s="17">
        <f t="shared" ca="1" si="1"/>
        <v>2013</v>
      </c>
      <c r="G1541" s="17">
        <f t="shared" ca="1" si="82"/>
        <v>10990</v>
      </c>
      <c r="H1541" s="30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959000000</v>
      </c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</row>
    <row r="1542" spans="1:26" ht="13.5" customHeight="1" x14ac:dyDescent="0.3">
      <c r="A1542" s="17" t="s">
        <v>644</v>
      </c>
      <c r="B1542" s="17">
        <f t="shared" si="80"/>
        <v>16</v>
      </c>
      <c r="C1542" s="17">
        <f t="shared" si="26"/>
        <v>59</v>
      </c>
      <c r="D1542" s="17"/>
      <c r="E1542" s="17">
        <f t="shared" si="81"/>
        <v>65919</v>
      </c>
      <c r="F1542" s="17">
        <f t="shared" ca="1" si="1"/>
        <v>2013</v>
      </c>
      <c r="G1542" s="17">
        <f t="shared" ca="1" si="82"/>
        <v>10991</v>
      </c>
      <c r="H1542" s="3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-50000000</v>
      </c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</row>
    <row r="1543" spans="1:26" ht="13.5" customHeight="1" x14ac:dyDescent="0.3">
      <c r="A1543" s="17" t="s">
        <v>644</v>
      </c>
      <c r="B1543" s="17">
        <f t="shared" si="80"/>
        <v>16</v>
      </c>
      <c r="C1543" s="17">
        <f t="shared" si="26"/>
        <v>60</v>
      </c>
      <c r="D1543" s="17"/>
      <c r="E1543" s="17">
        <f t="shared" si="81"/>
        <v>65919</v>
      </c>
      <c r="F1543" s="17">
        <f t="shared" ca="1" si="1"/>
        <v>2013</v>
      </c>
      <c r="G1543" s="17">
        <f t="shared" ca="1" si="82"/>
        <v>10992</v>
      </c>
      <c r="H1543" s="3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1.0529999999999999</v>
      </c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</row>
    <row r="1544" spans="1:26" ht="13.5" customHeight="1" x14ac:dyDescent="0.3">
      <c r="A1544" s="17" t="s">
        <v>644</v>
      </c>
      <c r="B1544" s="17">
        <f t="shared" si="80"/>
        <v>16</v>
      </c>
      <c r="C1544" s="17">
        <f t="shared" si="26"/>
        <v>61</v>
      </c>
      <c r="D1544" s="17"/>
      <c r="E1544" s="17">
        <f t="shared" si="81"/>
        <v>65919</v>
      </c>
      <c r="F1544" s="17">
        <f t="shared" ca="1" si="1"/>
        <v>2013</v>
      </c>
      <c r="G1544" s="17">
        <f t="shared" ca="1" si="82"/>
        <v>10993</v>
      </c>
      <c r="H1544" s="30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54000000</v>
      </c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</row>
    <row r="1545" spans="1:26" ht="13.5" customHeight="1" x14ac:dyDescent="0.3">
      <c r="A1545" s="17" t="s">
        <v>644</v>
      </c>
      <c r="B1545" s="17">
        <f t="shared" si="80"/>
        <v>16</v>
      </c>
      <c r="C1545" s="17">
        <f t="shared" si="26"/>
        <v>62</v>
      </c>
      <c r="D1545" s="17"/>
      <c r="E1545" s="17">
        <f t="shared" si="81"/>
        <v>65919</v>
      </c>
      <c r="F1545" s="17">
        <f t="shared" ca="1" si="1"/>
        <v>2013</v>
      </c>
      <c r="G1545" s="17">
        <f t="shared" ca="1" si="82"/>
        <v>10801</v>
      </c>
      <c r="H1545" s="30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10200000</v>
      </c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</row>
    <row r="1546" spans="1:26" ht="13.5" customHeight="1" x14ac:dyDescent="0.3">
      <c r="A1546" s="17" t="s">
        <v>644</v>
      </c>
      <c r="B1546" s="17">
        <f t="shared" si="80"/>
        <v>16</v>
      </c>
      <c r="C1546" s="17">
        <f t="shared" si="26"/>
        <v>63</v>
      </c>
      <c r="D1546" s="17"/>
      <c r="E1546" s="17">
        <f t="shared" si="81"/>
        <v>65919</v>
      </c>
      <c r="F1546" s="17">
        <f t="shared" ca="1" si="1"/>
        <v>2013</v>
      </c>
      <c r="G1546" s="17">
        <f t="shared" ca="1" si="82"/>
        <v>10802</v>
      </c>
      <c r="H1546" s="30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</row>
    <row r="1547" spans="1:26" ht="13.5" customHeight="1" x14ac:dyDescent="0.3">
      <c r="A1547" s="17" t="s">
        <v>644</v>
      </c>
      <c r="B1547" s="17">
        <f t="shared" si="80"/>
        <v>16</v>
      </c>
      <c r="C1547" s="17">
        <f t="shared" si="26"/>
        <v>64</v>
      </c>
      <c r="D1547" s="17"/>
      <c r="E1547" s="17">
        <f t="shared" si="81"/>
        <v>65919</v>
      </c>
      <c r="F1547" s="17">
        <f t="shared" ca="1" si="1"/>
        <v>2013</v>
      </c>
      <c r="G1547" s="17">
        <f t="shared" ca="1" si="82"/>
        <v>10803</v>
      </c>
      <c r="H1547" s="3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</row>
    <row r="1548" spans="1:26" ht="13.5" customHeight="1" x14ac:dyDescent="0.3">
      <c r="A1548" s="17" t="s">
        <v>644</v>
      </c>
      <c r="B1548" s="17">
        <f t="shared" si="80"/>
        <v>16</v>
      </c>
      <c r="C1548" s="17">
        <f t="shared" si="26"/>
        <v>65</v>
      </c>
      <c r="D1548" s="17"/>
      <c r="E1548" s="17">
        <f t="shared" si="81"/>
        <v>65919</v>
      </c>
      <c r="F1548" s="17">
        <f t="shared" ca="1" si="1"/>
        <v>2013</v>
      </c>
      <c r="G1548" s="17">
        <f t="shared" ca="1" si="82"/>
        <v>10804</v>
      </c>
      <c r="H1548" s="3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</row>
    <row r="1549" spans="1:26" ht="13.5" customHeight="1" x14ac:dyDescent="0.3">
      <c r="A1549" s="17" t="s">
        <v>644</v>
      </c>
      <c r="B1549" s="17">
        <f t="shared" si="80"/>
        <v>16</v>
      </c>
      <c r="C1549" s="17">
        <f t="shared" si="26"/>
        <v>66</v>
      </c>
      <c r="D1549" s="17"/>
      <c r="E1549" s="17">
        <f t="shared" si="81"/>
        <v>65919</v>
      </c>
      <c r="F1549" s="17">
        <f t="shared" ca="1" si="1"/>
        <v>2013</v>
      </c>
      <c r="G1549" s="17">
        <f t="shared" ca="1" si="82"/>
        <v>10805</v>
      </c>
      <c r="H1549" s="3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</row>
    <row r="1550" spans="1:26" ht="13.5" customHeight="1" x14ac:dyDescent="0.3">
      <c r="A1550" s="17" t="s">
        <v>644</v>
      </c>
      <c r="B1550" s="17">
        <f t="shared" si="80"/>
        <v>16</v>
      </c>
      <c r="C1550" s="17">
        <f t="shared" si="26"/>
        <v>67</v>
      </c>
      <c r="D1550" s="17"/>
      <c r="E1550" s="17">
        <f t="shared" si="81"/>
        <v>65919</v>
      </c>
      <c r="F1550" s="17">
        <f t="shared" ca="1" si="1"/>
        <v>2013</v>
      </c>
      <c r="G1550" s="17">
        <f t="shared" ca="1" si="82"/>
        <v>10806</v>
      </c>
      <c r="H1550" s="30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</row>
    <row r="1551" spans="1:26" ht="13.5" customHeight="1" x14ac:dyDescent="0.3">
      <c r="A1551" s="17" t="s">
        <v>644</v>
      </c>
      <c r="B1551" s="17">
        <f t="shared" ref="B1551:B1576" si="83">B1550</f>
        <v>16</v>
      </c>
      <c r="C1551" s="17">
        <f t="shared" si="26"/>
        <v>68</v>
      </c>
      <c r="D1551" s="17"/>
      <c r="E1551" s="17">
        <f t="shared" si="81"/>
        <v>65919</v>
      </c>
      <c r="F1551" s="17">
        <f t="shared" ca="1" si="1"/>
        <v>2013</v>
      </c>
      <c r="G1551" s="17">
        <f t="shared" ca="1" si="82"/>
        <v>10807</v>
      </c>
      <c r="H1551" s="30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</row>
    <row r="1552" spans="1:26" ht="13.5" customHeight="1" x14ac:dyDescent="0.3">
      <c r="A1552" s="17" t="s">
        <v>644</v>
      </c>
      <c r="B1552" s="17">
        <f t="shared" si="83"/>
        <v>16</v>
      </c>
      <c r="C1552" s="17">
        <f t="shared" si="26"/>
        <v>69</v>
      </c>
      <c r="D1552" s="17"/>
      <c r="E1552" s="17">
        <f t="shared" si="81"/>
        <v>65919</v>
      </c>
      <c r="F1552" s="17">
        <f t="shared" ca="1" si="1"/>
        <v>2013</v>
      </c>
      <c r="G1552" s="17">
        <f t="shared" ca="1" si="82"/>
        <v>10808</v>
      </c>
      <c r="H1552" s="3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</row>
    <row r="1553" spans="1:26" ht="13.5" customHeight="1" x14ac:dyDescent="0.3">
      <c r="A1553" s="17" t="s">
        <v>644</v>
      </c>
      <c r="B1553" s="17">
        <f t="shared" si="83"/>
        <v>16</v>
      </c>
      <c r="C1553" s="17">
        <f t="shared" si="26"/>
        <v>70</v>
      </c>
      <c r="D1553" s="17"/>
      <c r="E1553" s="17">
        <f t="shared" si="81"/>
        <v>65919</v>
      </c>
      <c r="F1553" s="17">
        <f t="shared" ca="1" si="1"/>
        <v>2013</v>
      </c>
      <c r="G1553" s="17">
        <f t="shared" ca="1" si="82"/>
        <v>10809</v>
      </c>
      <c r="H1553" s="30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</row>
    <row r="1554" spans="1:26" ht="13.5" customHeight="1" x14ac:dyDescent="0.3">
      <c r="A1554" s="17" t="s">
        <v>644</v>
      </c>
      <c r="B1554" s="17">
        <f t="shared" si="83"/>
        <v>16</v>
      </c>
      <c r="C1554" s="17">
        <f t="shared" si="26"/>
        <v>71</v>
      </c>
      <c r="D1554" s="17"/>
      <c r="E1554" s="17">
        <f t="shared" si="81"/>
        <v>65919</v>
      </c>
      <c r="F1554" s="17">
        <f t="shared" ca="1" si="1"/>
        <v>2013</v>
      </c>
      <c r="G1554" s="17">
        <f t="shared" ca="1" si="82"/>
        <v>10810</v>
      </c>
      <c r="H1554" s="30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</row>
    <row r="1555" spans="1:26" ht="13.5" customHeight="1" x14ac:dyDescent="0.3">
      <c r="A1555" s="17" t="s">
        <v>644</v>
      </c>
      <c r="B1555" s="17">
        <f t="shared" si="83"/>
        <v>16</v>
      </c>
      <c r="C1555" s="17">
        <f t="shared" si="26"/>
        <v>72</v>
      </c>
      <c r="D1555" s="17"/>
      <c r="E1555" s="17">
        <f t="shared" si="81"/>
        <v>65919</v>
      </c>
      <c r="F1555" s="17">
        <f t="shared" ca="1" si="1"/>
        <v>2013</v>
      </c>
      <c r="G1555" s="17">
        <f t="shared" ca="1" si="82"/>
        <v>10811</v>
      </c>
      <c r="H1555" s="30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</row>
    <row r="1556" spans="1:26" ht="13.5" customHeight="1" x14ac:dyDescent="0.3">
      <c r="A1556" s="17" t="s">
        <v>644</v>
      </c>
      <c r="B1556" s="17">
        <f t="shared" si="83"/>
        <v>16</v>
      </c>
      <c r="C1556" s="17">
        <f t="shared" si="26"/>
        <v>73</v>
      </c>
      <c r="D1556" s="17"/>
      <c r="E1556" s="17">
        <f t="shared" si="81"/>
        <v>65919</v>
      </c>
      <c r="F1556" s="17">
        <f t="shared" ca="1" si="1"/>
        <v>2013</v>
      </c>
      <c r="G1556" s="17">
        <f t="shared" ca="1" si="82"/>
        <v>10812</v>
      </c>
      <c r="H1556" s="30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</row>
    <row r="1557" spans="1:26" ht="13.5" customHeight="1" x14ac:dyDescent="0.3">
      <c r="A1557" s="17" t="s">
        <v>644</v>
      </c>
      <c r="B1557" s="17">
        <f t="shared" si="83"/>
        <v>16</v>
      </c>
      <c r="C1557" s="17">
        <f t="shared" si="26"/>
        <v>74</v>
      </c>
      <c r="D1557" s="17"/>
      <c r="E1557" s="17">
        <f t="shared" si="81"/>
        <v>65919</v>
      </c>
      <c r="F1557" s="17">
        <f t="shared" ca="1" si="1"/>
        <v>2013</v>
      </c>
      <c r="G1557" s="17">
        <f t="shared" ca="1" si="82"/>
        <v>10813</v>
      </c>
      <c r="H1557" s="3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</row>
    <row r="1558" spans="1:26" ht="13.5" customHeight="1" x14ac:dyDescent="0.3">
      <c r="A1558" s="17" t="s">
        <v>644</v>
      </c>
      <c r="B1558" s="17">
        <f t="shared" si="83"/>
        <v>16</v>
      </c>
      <c r="C1558" s="17">
        <f t="shared" si="26"/>
        <v>75</v>
      </c>
      <c r="D1558" s="17"/>
      <c r="E1558" s="17">
        <f t="shared" si="81"/>
        <v>65919</v>
      </c>
      <c r="F1558" s="17">
        <f t="shared" ca="1" si="1"/>
        <v>2013</v>
      </c>
      <c r="G1558" s="17">
        <f t="shared" ca="1" si="82"/>
        <v>10814</v>
      </c>
      <c r="H1558" s="3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</v>
      </c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</row>
    <row r="1559" spans="1:26" ht="13.5" customHeight="1" x14ac:dyDescent="0.3">
      <c r="A1559" s="17" t="s">
        <v>644</v>
      </c>
      <c r="B1559" s="17">
        <f t="shared" si="83"/>
        <v>16</v>
      </c>
      <c r="C1559" s="17">
        <f t="shared" si="26"/>
        <v>76</v>
      </c>
      <c r="D1559" s="17"/>
      <c r="E1559" s="17">
        <f t="shared" si="81"/>
        <v>65919</v>
      </c>
      <c r="F1559" s="17">
        <f t="shared" ca="1" si="1"/>
        <v>2013</v>
      </c>
      <c r="G1559" s="17">
        <f t="shared" ca="1" si="82"/>
        <v>10815</v>
      </c>
      <c r="H1559" s="3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300000</v>
      </c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</row>
    <row r="1560" spans="1:26" ht="13.5" customHeight="1" x14ac:dyDescent="0.3">
      <c r="A1560" s="17" t="s">
        <v>644</v>
      </c>
      <c r="B1560" s="17">
        <f t="shared" si="83"/>
        <v>16</v>
      </c>
      <c r="C1560" s="17">
        <f t="shared" si="26"/>
        <v>77</v>
      </c>
      <c r="D1560" s="17"/>
      <c r="E1560" s="17">
        <f t="shared" si="81"/>
        <v>65919</v>
      </c>
      <c r="F1560" s="17">
        <f t="shared" ca="1" si="1"/>
        <v>2013</v>
      </c>
      <c r="G1560" s="17">
        <f t="shared" ca="1" si="82"/>
        <v>10816</v>
      </c>
      <c r="H1560" s="30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-8600000</v>
      </c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</row>
    <row r="1561" spans="1:26" ht="13.5" customHeight="1" x14ac:dyDescent="0.3">
      <c r="A1561" s="17" t="s">
        <v>644</v>
      </c>
      <c r="B1561" s="17">
        <f t="shared" si="83"/>
        <v>16</v>
      </c>
      <c r="C1561" s="17">
        <f t="shared" si="26"/>
        <v>78</v>
      </c>
      <c r="D1561" s="17"/>
      <c r="E1561" s="17">
        <f t="shared" si="81"/>
        <v>65919</v>
      </c>
      <c r="F1561" s="17">
        <f t="shared" ca="1" si="1"/>
        <v>2013</v>
      </c>
      <c r="G1561" s="17">
        <f t="shared" ca="1" si="82"/>
        <v>10817</v>
      </c>
      <c r="H1561" s="30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</row>
    <row r="1562" spans="1:26" ht="13.5" customHeight="1" x14ac:dyDescent="0.3">
      <c r="A1562" s="17" t="s">
        <v>644</v>
      </c>
      <c r="B1562" s="17">
        <f t="shared" si="83"/>
        <v>16</v>
      </c>
      <c r="C1562" s="17">
        <f t="shared" si="26"/>
        <v>79</v>
      </c>
      <c r="D1562" s="17"/>
      <c r="E1562" s="17">
        <f t="shared" si="81"/>
        <v>65919</v>
      </c>
      <c r="F1562" s="17">
        <f t="shared" ca="1" si="1"/>
        <v>2013</v>
      </c>
      <c r="G1562" s="17">
        <f t="shared" ca="1" si="82"/>
        <v>10818</v>
      </c>
      <c r="H1562" s="30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</row>
    <row r="1563" spans="1:26" ht="13.5" customHeight="1" x14ac:dyDescent="0.3">
      <c r="A1563" s="17" t="s">
        <v>644</v>
      </c>
      <c r="B1563" s="17">
        <f t="shared" si="83"/>
        <v>16</v>
      </c>
      <c r="C1563" s="17">
        <f t="shared" si="26"/>
        <v>80</v>
      </c>
      <c r="D1563" s="17"/>
      <c r="E1563" s="17">
        <f t="shared" si="81"/>
        <v>65919</v>
      </c>
      <c r="F1563" s="17">
        <f t="shared" ca="1" si="1"/>
        <v>2013</v>
      </c>
      <c r="G1563" s="17">
        <f t="shared" ca="1" si="82"/>
        <v>10819</v>
      </c>
      <c r="H1563" s="30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400000</v>
      </c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</row>
    <row r="1564" spans="1:26" ht="13.5" customHeight="1" x14ac:dyDescent="0.3">
      <c r="A1564" s="17" t="s">
        <v>644</v>
      </c>
      <c r="B1564" s="17">
        <f t="shared" si="83"/>
        <v>16</v>
      </c>
      <c r="C1564" s="17">
        <f t="shared" si="26"/>
        <v>81</v>
      </c>
      <c r="D1564" s="17"/>
      <c r="E1564" s="17">
        <f t="shared" si="81"/>
        <v>65919</v>
      </c>
      <c r="F1564" s="17">
        <f t="shared" ca="1" si="1"/>
        <v>2013</v>
      </c>
      <c r="G1564" s="17">
        <f t="shared" ca="1" si="82"/>
        <v>10820</v>
      </c>
      <c r="H1564" s="3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</row>
    <row r="1565" spans="1:26" ht="13.5" customHeight="1" x14ac:dyDescent="0.3">
      <c r="A1565" s="17" t="s">
        <v>644</v>
      </c>
      <c r="B1565" s="17">
        <f t="shared" si="83"/>
        <v>16</v>
      </c>
      <c r="C1565" s="17">
        <f t="shared" si="26"/>
        <v>82</v>
      </c>
      <c r="D1565" s="17"/>
      <c r="E1565" s="17">
        <f t="shared" si="81"/>
        <v>65919</v>
      </c>
      <c r="F1565" s="17">
        <f t="shared" ca="1" si="1"/>
        <v>2013</v>
      </c>
      <c r="G1565" s="17">
        <f t="shared" ca="1" si="82"/>
        <v>10821</v>
      </c>
      <c r="H1565" s="30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</row>
    <row r="1566" spans="1:26" ht="13.5" customHeight="1" x14ac:dyDescent="0.3">
      <c r="A1566" s="17" t="s">
        <v>644</v>
      </c>
      <c r="B1566" s="17">
        <f t="shared" si="83"/>
        <v>16</v>
      </c>
      <c r="C1566" s="17">
        <f t="shared" si="26"/>
        <v>83</v>
      </c>
      <c r="D1566" s="17"/>
      <c r="E1566" s="17">
        <f t="shared" si="81"/>
        <v>65919</v>
      </c>
      <c r="F1566" s="17">
        <f t="shared" ca="1" si="1"/>
        <v>2013</v>
      </c>
      <c r="G1566" s="17">
        <f t="shared" ca="1" si="82"/>
        <v>10822</v>
      </c>
      <c r="H1566" s="30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</row>
    <row r="1567" spans="1:26" ht="13.5" customHeight="1" x14ac:dyDescent="0.3">
      <c r="A1567" s="17" t="s">
        <v>644</v>
      </c>
      <c r="B1567" s="17">
        <f t="shared" si="83"/>
        <v>16</v>
      </c>
      <c r="C1567" s="17">
        <f t="shared" si="26"/>
        <v>84</v>
      </c>
      <c r="D1567" s="17"/>
      <c r="E1567" s="17">
        <f t="shared" si="81"/>
        <v>65919</v>
      </c>
      <c r="F1567" s="17">
        <f t="shared" ca="1" si="1"/>
        <v>2013</v>
      </c>
      <c r="G1567" s="17">
        <f t="shared" ca="1" si="82"/>
        <v>10829</v>
      </c>
      <c r="H1567" s="3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</row>
    <row r="1568" spans="1:26" ht="13.5" customHeight="1" x14ac:dyDescent="0.3">
      <c r="A1568" s="17" t="s">
        <v>644</v>
      </c>
      <c r="B1568" s="17">
        <f t="shared" si="83"/>
        <v>16</v>
      </c>
      <c r="C1568" s="17">
        <f t="shared" si="26"/>
        <v>85</v>
      </c>
      <c r="D1568" s="17"/>
      <c r="E1568" s="17">
        <f t="shared" si="81"/>
        <v>65919</v>
      </c>
      <c r="F1568" s="17">
        <f t="shared" ca="1" si="1"/>
        <v>2013</v>
      </c>
      <c r="G1568" s="17">
        <f t="shared" ca="1" si="82"/>
        <v>10823</v>
      </c>
      <c r="H1568" s="30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2300000</v>
      </c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</row>
    <row r="1569" spans="1:26" ht="13.5" customHeight="1" x14ac:dyDescent="0.3">
      <c r="A1569" s="17" t="s">
        <v>644</v>
      </c>
      <c r="B1569" s="17">
        <f t="shared" si="83"/>
        <v>16</v>
      </c>
      <c r="C1569" s="17">
        <f t="shared" si="26"/>
        <v>86</v>
      </c>
      <c r="D1569" s="17"/>
      <c r="E1569" s="17">
        <f t="shared" si="81"/>
        <v>65919</v>
      </c>
      <c r="F1569" s="17">
        <f t="shared" ca="1" si="1"/>
        <v>2013</v>
      </c>
      <c r="G1569" s="17">
        <f t="shared" ca="1" si="82"/>
        <v>10798</v>
      </c>
      <c r="H1569" s="30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</row>
    <row r="1570" spans="1:26" ht="13.5" customHeight="1" x14ac:dyDescent="0.3">
      <c r="A1570" s="17" t="s">
        <v>644</v>
      </c>
      <c r="B1570" s="17">
        <f t="shared" si="83"/>
        <v>16</v>
      </c>
      <c r="C1570" s="17">
        <f t="shared" si="26"/>
        <v>87</v>
      </c>
      <c r="D1570" s="17"/>
      <c r="E1570" s="17">
        <f t="shared" si="81"/>
        <v>65919</v>
      </c>
      <c r="F1570" s="17">
        <f t="shared" ca="1" si="1"/>
        <v>2013</v>
      </c>
      <c r="G1570" s="17">
        <f t="shared" ca="1" si="82"/>
        <v>10799</v>
      </c>
      <c r="H1570" s="30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0</v>
      </c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</row>
    <row r="1571" spans="1:26" ht="13.5" customHeight="1" x14ac:dyDescent="0.3">
      <c r="A1571" s="17" t="s">
        <v>644</v>
      </c>
      <c r="B1571" s="17">
        <f t="shared" si="83"/>
        <v>16</v>
      </c>
      <c r="C1571" s="17">
        <f t="shared" si="26"/>
        <v>88</v>
      </c>
      <c r="D1571" s="17"/>
      <c r="E1571" s="17">
        <f t="shared" si="81"/>
        <v>65919</v>
      </c>
      <c r="F1571" s="17">
        <f t="shared" ca="1" si="1"/>
        <v>2013</v>
      </c>
      <c r="G1571" s="17">
        <f t="shared" ca="1" si="82"/>
        <v>10800</v>
      </c>
      <c r="H1571" s="3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</v>
      </c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</row>
    <row r="1572" spans="1:26" ht="13.5" customHeight="1" x14ac:dyDescent="0.3">
      <c r="A1572" s="17" t="s">
        <v>644</v>
      </c>
      <c r="B1572" s="17">
        <f t="shared" si="83"/>
        <v>16</v>
      </c>
      <c r="C1572" s="17">
        <f t="shared" si="26"/>
        <v>89</v>
      </c>
      <c r="D1572" s="17"/>
      <c r="E1572" s="17">
        <f t="shared" si="81"/>
        <v>65919</v>
      </c>
      <c r="F1572" s="17">
        <f t="shared" ca="1" si="1"/>
        <v>2013</v>
      </c>
      <c r="G1572" s="17">
        <f t="shared" ca="1" si="82"/>
        <v>10824</v>
      </c>
      <c r="H1572" s="30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</row>
    <row r="1573" spans="1:26" ht="13.5" customHeight="1" x14ac:dyDescent="0.3">
      <c r="A1573" s="17" t="s">
        <v>644</v>
      </c>
      <c r="B1573" s="17">
        <f t="shared" si="83"/>
        <v>16</v>
      </c>
      <c r="C1573" s="17">
        <f t="shared" si="26"/>
        <v>90</v>
      </c>
      <c r="D1573" s="17"/>
      <c r="E1573" s="17">
        <f t="shared" si="81"/>
        <v>65919</v>
      </c>
      <c r="F1573" s="17">
        <f t="shared" ca="1" si="1"/>
        <v>2013</v>
      </c>
      <c r="G1573" s="17">
        <f t="shared" ca="1" si="82"/>
        <v>10825</v>
      </c>
      <c r="H1573" s="3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</v>
      </c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</row>
    <row r="1574" spans="1:26" ht="13.5" customHeight="1" x14ac:dyDescent="0.3">
      <c r="A1574" s="17" t="s">
        <v>644</v>
      </c>
      <c r="B1574" s="17">
        <f t="shared" si="83"/>
        <v>16</v>
      </c>
      <c r="C1574" s="17">
        <f t="shared" si="26"/>
        <v>91</v>
      </c>
      <c r="D1574" s="17"/>
      <c r="E1574" s="17">
        <f t="shared" si="81"/>
        <v>65919</v>
      </c>
      <c r="F1574" s="17">
        <f t="shared" ca="1" si="1"/>
        <v>2013</v>
      </c>
      <c r="G1574" s="17">
        <f t="shared" ca="1" si="82"/>
        <v>10826</v>
      </c>
      <c r="H1574" s="30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</row>
    <row r="1575" spans="1:26" ht="13.5" customHeight="1" x14ac:dyDescent="0.3">
      <c r="A1575" s="17" t="s">
        <v>644</v>
      </c>
      <c r="B1575" s="17">
        <f t="shared" si="83"/>
        <v>16</v>
      </c>
      <c r="C1575" s="17">
        <f t="shared" si="26"/>
        <v>92</v>
      </c>
      <c r="D1575" s="17"/>
      <c r="E1575" s="17">
        <f t="shared" si="81"/>
        <v>65919</v>
      </c>
      <c r="F1575" s="17">
        <f t="shared" ca="1" si="1"/>
        <v>2013</v>
      </c>
      <c r="G1575" s="17">
        <f t="shared" ca="1" si="82"/>
        <v>10828</v>
      </c>
      <c r="H1575" s="3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</row>
    <row r="1576" spans="1:26" ht="13.5" customHeight="1" x14ac:dyDescent="0.3">
      <c r="A1576" s="17" t="s">
        <v>644</v>
      </c>
      <c r="B1576" s="17">
        <f t="shared" si="83"/>
        <v>16</v>
      </c>
      <c r="C1576" s="17">
        <f t="shared" si="26"/>
        <v>93</v>
      </c>
      <c r="D1576" s="17"/>
      <c r="E1576" s="17">
        <f t="shared" si="81"/>
        <v>65919</v>
      </c>
      <c r="F1576" s="17">
        <f t="shared" ca="1" si="1"/>
        <v>2013</v>
      </c>
      <c r="G1576" s="17">
        <f t="shared" ca="1" si="82"/>
        <v>10827</v>
      </c>
      <c r="H1576" s="2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</row>
    <row r="1577" spans="1:26" ht="13.5" customHeight="1" x14ac:dyDescent="0.3">
      <c r="A1577" s="17" t="s">
        <v>644</v>
      </c>
      <c r="B1577" s="17">
        <f t="shared" ref="B1577:B1641" si="84">B1512+1</f>
        <v>17</v>
      </c>
      <c r="C1577" s="17">
        <f t="shared" si="26"/>
        <v>3</v>
      </c>
      <c r="D1577" s="17"/>
      <c r="E1577" s="17">
        <f t="shared" si="81"/>
        <v>65919</v>
      </c>
      <c r="F1577" s="17">
        <f t="shared" ca="1" si="1"/>
        <v>2014</v>
      </c>
      <c r="G1577" s="17">
        <f t="shared" ca="1" si="82"/>
        <v>10703</v>
      </c>
      <c r="H1577" s="2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2014</v>
      </c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</row>
    <row r="1578" spans="1:26" ht="13.5" customHeight="1" x14ac:dyDescent="0.3">
      <c r="A1578" s="17" t="s">
        <v>644</v>
      </c>
      <c r="B1578" s="17">
        <f t="shared" si="84"/>
        <v>17</v>
      </c>
      <c r="C1578" s="17">
        <f t="shared" si="26"/>
        <v>4</v>
      </c>
      <c r="D1578" s="17"/>
      <c r="E1578" s="17">
        <f t="shared" si="81"/>
        <v>65919</v>
      </c>
      <c r="F1578" s="17">
        <f t="shared" ca="1" si="1"/>
        <v>2014</v>
      </c>
      <c r="G1578" s="17">
        <f t="shared" ca="1" si="82"/>
        <v>10845</v>
      </c>
      <c r="H1578" s="2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The Office Of The State Actuary</v>
      </c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</row>
    <row r="1579" spans="1:26" ht="13.5" customHeight="1" x14ac:dyDescent="0.3">
      <c r="A1579" s="17" t="s">
        <v>644</v>
      </c>
      <c r="B1579" s="17">
        <f t="shared" si="84"/>
        <v>17</v>
      </c>
      <c r="C1579" s="17">
        <f t="shared" si="26"/>
        <v>5</v>
      </c>
      <c r="D1579" s="17"/>
      <c r="E1579" s="17">
        <f t="shared" si="81"/>
        <v>65919</v>
      </c>
      <c r="F1579" s="17">
        <f t="shared" ca="1" si="1"/>
        <v>2014</v>
      </c>
      <c r="G1579" s="17">
        <f t="shared" ca="1" si="82"/>
        <v>10924</v>
      </c>
      <c r="H1579" s="3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0.18160000000000001</v>
      </c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</row>
    <row r="1580" spans="1:26" ht="13.5" customHeight="1" x14ac:dyDescent="0.3">
      <c r="A1580" s="17" t="s">
        <v>644</v>
      </c>
      <c r="B1580" s="17">
        <f t="shared" si="84"/>
        <v>17</v>
      </c>
      <c r="C1580" s="17">
        <f t="shared" si="26"/>
        <v>6</v>
      </c>
      <c r="D1580" s="17"/>
      <c r="E1580" s="17">
        <f t="shared" si="81"/>
        <v>65919</v>
      </c>
      <c r="F1580" s="17">
        <f t="shared" ca="1" si="1"/>
        <v>2014</v>
      </c>
      <c r="G1580" s="17">
        <f t="shared" ca="1" si="82"/>
        <v>10925</v>
      </c>
      <c r="H1580" s="3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0.1082</v>
      </c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</row>
    <row r="1581" spans="1:26" ht="13.5" customHeight="1" x14ac:dyDescent="0.3">
      <c r="A1581" s="17" t="s">
        <v>644</v>
      </c>
      <c r="B1581" s="17">
        <f t="shared" si="84"/>
        <v>17</v>
      </c>
      <c r="C1581" s="17">
        <f t="shared" si="26"/>
        <v>7</v>
      </c>
      <c r="D1581" s="17"/>
      <c r="E1581" s="17">
        <f t="shared" si="81"/>
        <v>65919</v>
      </c>
      <c r="F1581" s="17">
        <f t="shared" ca="1" si="1"/>
        <v>2014</v>
      </c>
      <c r="G1581" s="17">
        <f t="shared" ca="1" si="82"/>
        <v>10926</v>
      </c>
      <c r="H1581" s="3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7.3400000000000007E-2</v>
      </c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</row>
    <row r="1582" spans="1:26" ht="13.5" customHeight="1" x14ac:dyDescent="0.3">
      <c r="A1582" s="17" t="s">
        <v>644</v>
      </c>
      <c r="B1582" s="17">
        <f t="shared" si="84"/>
        <v>17</v>
      </c>
      <c r="C1582" s="17">
        <f t="shared" si="26"/>
        <v>8</v>
      </c>
      <c r="D1582" s="17"/>
      <c r="E1582" s="17">
        <f t="shared" si="81"/>
        <v>65919</v>
      </c>
      <c r="F1582" s="17">
        <f t="shared" ca="1" si="1"/>
        <v>2014</v>
      </c>
      <c r="G1582" s="17">
        <f t="shared" ca="1" si="82"/>
        <v>10704</v>
      </c>
      <c r="H1582" s="3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</v>
      </c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</row>
    <row r="1583" spans="1:26" ht="13.5" customHeight="1" x14ac:dyDescent="0.3">
      <c r="A1583" s="17" t="s">
        <v>644</v>
      </c>
      <c r="B1583" s="17">
        <f t="shared" si="84"/>
        <v>17</v>
      </c>
      <c r="C1583" s="17">
        <f t="shared" si="26"/>
        <v>9</v>
      </c>
      <c r="D1583" s="17"/>
      <c r="E1583" s="17">
        <f t="shared" si="81"/>
        <v>65919</v>
      </c>
      <c r="F1583" s="17">
        <f t="shared" ca="1" si="1"/>
        <v>2014</v>
      </c>
      <c r="G1583" s="17">
        <f t="shared" ca="1" si="82"/>
        <v>10928</v>
      </c>
      <c r="H1583" s="31" t="str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N/A</v>
      </c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</row>
    <row r="1584" spans="1:26" ht="13.5" customHeight="1" x14ac:dyDescent="0.3">
      <c r="A1584" s="17" t="s">
        <v>644</v>
      </c>
      <c r="B1584" s="17">
        <f t="shared" si="84"/>
        <v>17</v>
      </c>
      <c r="C1584" s="17">
        <f t="shared" si="26"/>
        <v>10</v>
      </c>
      <c r="D1584" s="17"/>
      <c r="E1584" s="17">
        <f t="shared" si="81"/>
        <v>65919</v>
      </c>
      <c r="F1584" s="17">
        <f t="shared" ca="1" si="1"/>
        <v>2014</v>
      </c>
      <c r="G1584" s="17">
        <f t="shared" ca="1" si="82"/>
        <v>10929</v>
      </c>
      <c r="H1584" s="31" t="str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N/A</v>
      </c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</row>
    <row r="1585" spans="1:26" ht="13.5" customHeight="1" x14ac:dyDescent="0.3">
      <c r="A1585" s="17" t="s">
        <v>644</v>
      </c>
      <c r="B1585" s="17">
        <f t="shared" si="84"/>
        <v>17</v>
      </c>
      <c r="C1585" s="17">
        <f t="shared" si="26"/>
        <v>11</v>
      </c>
      <c r="D1585" s="17"/>
      <c r="E1585" s="17">
        <f t="shared" si="81"/>
        <v>65919</v>
      </c>
      <c r="F1585" s="17">
        <f t="shared" ca="1" si="1"/>
        <v>2014</v>
      </c>
      <c r="G1585" s="17">
        <f t="shared" ca="1" si="82"/>
        <v>10930</v>
      </c>
      <c r="H1585" s="3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</row>
    <row r="1586" spans="1:26" ht="13.5" customHeight="1" x14ac:dyDescent="0.3">
      <c r="A1586" s="17" t="s">
        <v>644</v>
      </c>
      <c r="B1586" s="17">
        <f t="shared" si="84"/>
        <v>17</v>
      </c>
      <c r="C1586" s="17">
        <f t="shared" si="26"/>
        <v>12</v>
      </c>
      <c r="D1586" s="17"/>
      <c r="E1586" s="17">
        <f t="shared" si="81"/>
        <v>65919</v>
      </c>
      <c r="F1586" s="17">
        <f t="shared" ca="1" si="1"/>
        <v>2014</v>
      </c>
      <c r="G1586" s="17">
        <f t="shared" ca="1" si="82"/>
        <v>10705</v>
      </c>
      <c r="H1586" s="3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5489000</v>
      </c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</row>
    <row r="1587" spans="1:26" ht="13.5" customHeight="1" x14ac:dyDescent="0.3">
      <c r="A1587" s="17" t="s">
        <v>644</v>
      </c>
      <c r="B1587" s="17">
        <f t="shared" si="84"/>
        <v>17</v>
      </c>
      <c r="C1587" s="17">
        <f t="shared" si="26"/>
        <v>13</v>
      </c>
      <c r="D1587" s="17"/>
      <c r="E1587" s="17">
        <f t="shared" si="81"/>
        <v>65919</v>
      </c>
      <c r="F1587" s="17">
        <f t="shared" ca="1" si="1"/>
        <v>2014</v>
      </c>
      <c r="G1587" s="17">
        <f t="shared" ca="1" si="82"/>
        <v>10842</v>
      </c>
      <c r="H1587" s="3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</row>
    <row r="1588" spans="1:26" ht="13.5" customHeight="1" x14ac:dyDescent="0.3">
      <c r="A1588" s="17" t="s">
        <v>644</v>
      </c>
      <c r="B1588" s="17">
        <f t="shared" si="84"/>
        <v>17</v>
      </c>
      <c r="C1588" s="17">
        <f t="shared" si="26"/>
        <v>14</v>
      </c>
      <c r="D1588" s="17"/>
      <c r="E1588" s="17">
        <f t="shared" si="81"/>
        <v>65919</v>
      </c>
      <c r="F1588" s="17">
        <f t="shared" ca="1" si="1"/>
        <v>2014</v>
      </c>
      <c r="G1588" s="17">
        <f t="shared" ca="1" si="82"/>
        <v>10843</v>
      </c>
      <c r="H1588" s="3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</row>
    <row r="1589" spans="1:26" ht="13.5" customHeight="1" x14ac:dyDescent="0.3">
      <c r="A1589" s="17" t="s">
        <v>644</v>
      </c>
      <c r="B1589" s="17">
        <f t="shared" si="84"/>
        <v>17</v>
      </c>
      <c r="C1589" s="17">
        <f t="shared" si="26"/>
        <v>15</v>
      </c>
      <c r="D1589" s="17"/>
      <c r="E1589" s="17">
        <f t="shared" si="81"/>
        <v>65919</v>
      </c>
      <c r="F1589" s="17">
        <f t="shared" ca="1" si="1"/>
        <v>2014</v>
      </c>
      <c r="G1589" s="17">
        <f t="shared" ca="1" si="82"/>
        <v>10931</v>
      </c>
      <c r="H1589" s="3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</row>
    <row r="1590" spans="1:26" ht="13.5" customHeight="1" x14ac:dyDescent="0.3">
      <c r="A1590" s="17" t="s">
        <v>644</v>
      </c>
      <c r="B1590" s="17">
        <f t="shared" si="84"/>
        <v>17</v>
      </c>
      <c r="C1590" s="17">
        <f t="shared" si="26"/>
        <v>16</v>
      </c>
      <c r="D1590" s="17"/>
      <c r="E1590" s="17">
        <f t="shared" si="81"/>
        <v>65919</v>
      </c>
      <c r="F1590" s="17">
        <f t="shared" ca="1" si="1"/>
        <v>2014</v>
      </c>
      <c r="G1590" s="17">
        <f t="shared" ca="1" si="82"/>
        <v>10932</v>
      </c>
      <c r="H1590" s="3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</row>
    <row r="1591" spans="1:26" ht="13.5" customHeight="1" x14ac:dyDescent="0.3">
      <c r="A1591" s="17" t="s">
        <v>644</v>
      </c>
      <c r="B1591" s="17">
        <f t="shared" si="84"/>
        <v>17</v>
      </c>
      <c r="C1591" s="17">
        <f t="shared" si="26"/>
        <v>17</v>
      </c>
      <c r="D1591" s="17"/>
      <c r="E1591" s="17">
        <f t="shared" si="81"/>
        <v>65919</v>
      </c>
      <c r="F1591" s="17">
        <f t="shared" ca="1" si="1"/>
        <v>2014</v>
      </c>
      <c r="G1591" s="17">
        <f t="shared" ca="1" si="82"/>
        <v>10933</v>
      </c>
      <c r="H1591" s="3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0.1082</v>
      </c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</row>
    <row r="1592" spans="1:26" ht="13.5" customHeight="1" x14ac:dyDescent="0.3">
      <c r="A1592" s="17" t="s">
        <v>644</v>
      </c>
      <c r="B1592" s="17">
        <f t="shared" si="84"/>
        <v>17</v>
      </c>
      <c r="C1592" s="17">
        <f t="shared" si="26"/>
        <v>18</v>
      </c>
      <c r="D1592" s="17"/>
      <c r="E1592" s="17">
        <f t="shared" si="81"/>
        <v>65919</v>
      </c>
      <c r="F1592" s="17">
        <f t="shared" ca="1" si="1"/>
        <v>2014</v>
      </c>
      <c r="G1592" s="17">
        <f t="shared" ca="1" si="82"/>
        <v>10934</v>
      </c>
      <c r="H1592" s="3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7.3400000000000007E-2</v>
      </c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</row>
    <row r="1593" spans="1:26" ht="13.5" customHeight="1" x14ac:dyDescent="0.3">
      <c r="A1593" s="17" t="s">
        <v>644</v>
      </c>
      <c r="B1593" s="17">
        <f t="shared" si="84"/>
        <v>17</v>
      </c>
      <c r="C1593" s="17">
        <f t="shared" si="26"/>
        <v>19</v>
      </c>
      <c r="D1593" s="17"/>
      <c r="E1593" s="17">
        <f t="shared" si="81"/>
        <v>65919</v>
      </c>
      <c r="F1593" s="17">
        <f t="shared" ca="1" si="1"/>
        <v>2014</v>
      </c>
      <c r="G1593" s="17">
        <f t="shared" ca="1" si="82"/>
        <v>10935</v>
      </c>
      <c r="H1593" s="29" t="str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Single Rate</v>
      </c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</row>
    <row r="1594" spans="1:26" ht="13.5" customHeight="1" x14ac:dyDescent="0.3">
      <c r="A1594" s="17" t="s">
        <v>644</v>
      </c>
      <c r="B1594" s="17">
        <f t="shared" si="84"/>
        <v>17</v>
      </c>
      <c r="C1594" s="17">
        <f t="shared" si="26"/>
        <v>20</v>
      </c>
      <c r="D1594" s="17"/>
      <c r="E1594" s="17">
        <f t="shared" si="81"/>
        <v>65919</v>
      </c>
      <c r="F1594" s="17">
        <f t="shared" ca="1" si="1"/>
        <v>2014</v>
      </c>
      <c r="G1594" s="17">
        <f t="shared" ca="1" si="82"/>
        <v>10937</v>
      </c>
      <c r="H1594" s="3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</row>
    <row r="1595" spans="1:26" ht="13.5" customHeight="1" x14ac:dyDescent="0.3">
      <c r="A1595" s="17" t="s">
        <v>644</v>
      </c>
      <c r="B1595" s="17">
        <f t="shared" si="84"/>
        <v>17</v>
      </c>
      <c r="C1595" s="17">
        <f t="shared" si="26"/>
        <v>21</v>
      </c>
      <c r="D1595" s="17"/>
      <c r="E1595" s="17">
        <f t="shared" si="81"/>
        <v>65919</v>
      </c>
      <c r="F1595" s="17">
        <f t="shared" ca="1" si="1"/>
        <v>2014</v>
      </c>
      <c r="G1595" s="17">
        <f t="shared" ca="1" si="82"/>
        <v>10938</v>
      </c>
      <c r="H1595" s="3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</row>
    <row r="1596" spans="1:26" ht="13.5" customHeight="1" x14ac:dyDescent="0.3">
      <c r="A1596" s="17" t="s">
        <v>644</v>
      </c>
      <c r="B1596" s="17">
        <f t="shared" si="84"/>
        <v>17</v>
      </c>
      <c r="C1596" s="17">
        <f t="shared" si="26"/>
        <v>22</v>
      </c>
      <c r="D1596" s="17"/>
      <c r="E1596" s="17">
        <f t="shared" si="81"/>
        <v>65919</v>
      </c>
      <c r="F1596" s="17">
        <f t="shared" ca="1" si="1"/>
        <v>2014</v>
      </c>
      <c r="G1596" s="17">
        <f t="shared" ca="1" si="82"/>
        <v>11007</v>
      </c>
      <c r="H1596" s="29" t="str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Accrued Benefit Formula= 2% x YOS x AFC (Max= 75% AFC)</v>
      </c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</row>
    <row r="1597" spans="1:26" ht="13.5" customHeight="1" x14ac:dyDescent="0.3">
      <c r="A1597" s="17" t="s">
        <v>644</v>
      </c>
      <c r="B1597" s="17">
        <f t="shared" si="84"/>
        <v>17</v>
      </c>
      <c r="C1597" s="17">
        <f t="shared" si="26"/>
        <v>23</v>
      </c>
      <c r="D1597" s="17"/>
      <c r="E1597" s="17">
        <f t="shared" si="81"/>
        <v>65919</v>
      </c>
      <c r="F1597" s="17">
        <f t="shared" ca="1" si="1"/>
        <v>2014</v>
      </c>
      <c r="G1597" s="17">
        <f t="shared" ca="1" si="82"/>
        <v>10941</v>
      </c>
      <c r="H1597" s="29" t="str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COLA</v>
      </c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</row>
    <row r="1598" spans="1:26" ht="13.5" customHeight="1" x14ac:dyDescent="0.3">
      <c r="A1598" s="17" t="s">
        <v>644</v>
      </c>
      <c r="B1598" s="17">
        <f t="shared" si="84"/>
        <v>17</v>
      </c>
      <c r="C1598" s="17">
        <f t="shared" si="26"/>
        <v>24</v>
      </c>
      <c r="D1598" s="17"/>
      <c r="E1598" s="17">
        <f t="shared" si="81"/>
        <v>65919</v>
      </c>
      <c r="F1598" s="17">
        <f t="shared" ca="1" si="1"/>
        <v>2014</v>
      </c>
      <c r="G1598" s="17">
        <f t="shared" ca="1" si="82"/>
        <v>10942</v>
      </c>
      <c r="H1598" s="29" t="str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Percentage</v>
      </c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</row>
    <row r="1599" spans="1:26" ht="13.5" customHeight="1" x14ac:dyDescent="0.3">
      <c r="A1599" s="17" t="s">
        <v>644</v>
      </c>
      <c r="B1599" s="17">
        <f t="shared" si="84"/>
        <v>17</v>
      </c>
      <c r="C1599" s="17">
        <f t="shared" si="26"/>
        <v>25</v>
      </c>
      <c r="D1599" s="17"/>
      <c r="E1599" s="17">
        <f t="shared" si="81"/>
        <v>65919</v>
      </c>
      <c r="F1599" s="17">
        <f t="shared" ca="1" si="1"/>
        <v>2014</v>
      </c>
      <c r="G1599" s="17">
        <f t="shared" ca="1" si="82"/>
        <v>10701</v>
      </c>
      <c r="H1599" s="3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</row>
    <row r="1600" spans="1:26" ht="13.5" customHeight="1" x14ac:dyDescent="0.3">
      <c r="A1600" s="17" t="s">
        <v>644</v>
      </c>
      <c r="B1600" s="17">
        <f t="shared" si="84"/>
        <v>17</v>
      </c>
      <c r="C1600" s="17">
        <f t="shared" si="26"/>
        <v>26</v>
      </c>
      <c r="D1600" s="17"/>
      <c r="E1600" s="17">
        <f t="shared" si="81"/>
        <v>65919</v>
      </c>
      <c r="F1600" s="17">
        <f t="shared" ca="1" si="1"/>
        <v>2014</v>
      </c>
      <c r="G1600" s="17">
        <f t="shared" ca="1" si="82"/>
        <v>10702</v>
      </c>
      <c r="H1600" s="3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</row>
    <row r="1601" spans="1:26" ht="13.5" customHeight="1" x14ac:dyDescent="0.3">
      <c r="A1601" s="17" t="s">
        <v>644</v>
      </c>
      <c r="B1601" s="17">
        <f t="shared" si="84"/>
        <v>17</v>
      </c>
      <c r="C1601" s="17">
        <f t="shared" si="26"/>
        <v>27</v>
      </c>
      <c r="D1601" s="17"/>
      <c r="E1601" s="17">
        <f t="shared" si="81"/>
        <v>65919</v>
      </c>
      <c r="F1601" s="17">
        <f t="shared" ca="1" si="1"/>
        <v>2014</v>
      </c>
      <c r="G1601" s="17">
        <f t="shared" ca="1" si="82"/>
        <v>10943</v>
      </c>
      <c r="H1601" s="31" t="str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Lesser of CPI or 3%</v>
      </c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</row>
    <row r="1602" spans="1:26" ht="13.5" customHeight="1" x14ac:dyDescent="0.3">
      <c r="A1602" s="17" t="s">
        <v>644</v>
      </c>
      <c r="B1602" s="17">
        <f t="shared" si="84"/>
        <v>17</v>
      </c>
      <c r="C1602" s="17">
        <f t="shared" si="26"/>
        <v>28</v>
      </c>
      <c r="D1602" s="17"/>
      <c r="E1602" s="17">
        <f t="shared" si="81"/>
        <v>65919</v>
      </c>
      <c r="F1602" s="17">
        <f t="shared" ca="1" si="1"/>
        <v>2014</v>
      </c>
      <c r="G1602" s="17">
        <f t="shared" ca="1" si="82"/>
        <v>10944</v>
      </c>
      <c r="H1602" s="31" t="str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No</v>
      </c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</row>
    <row r="1603" spans="1:26" ht="13.5" customHeight="1" x14ac:dyDescent="0.3">
      <c r="A1603" s="17" t="s">
        <v>644</v>
      </c>
      <c r="B1603" s="17">
        <f t="shared" si="84"/>
        <v>17</v>
      </c>
      <c r="C1603" s="17">
        <f t="shared" si="26"/>
        <v>29</v>
      </c>
      <c r="D1603" s="17"/>
      <c r="E1603" s="17">
        <f t="shared" si="81"/>
        <v>65919</v>
      </c>
      <c r="F1603" s="17">
        <f t="shared" ca="1" si="1"/>
        <v>2014</v>
      </c>
      <c r="G1603" s="17">
        <f t="shared" ca="1" si="82"/>
        <v>10945</v>
      </c>
      <c r="H1603" s="31" t="str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No</v>
      </c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</row>
    <row r="1604" spans="1:26" ht="13.5" customHeight="1" x14ac:dyDescent="0.3">
      <c r="A1604" s="17" t="s">
        <v>644</v>
      </c>
      <c r="B1604" s="17">
        <f t="shared" si="84"/>
        <v>17</v>
      </c>
      <c r="C1604" s="17">
        <f t="shared" si="26"/>
        <v>30</v>
      </c>
      <c r="D1604" s="17"/>
      <c r="E1604" s="17">
        <f t="shared" ref="E1604:E1667" si="85">plan_id</f>
        <v>65919</v>
      </c>
      <c r="F1604" s="17">
        <f t="shared" ca="1" si="1"/>
        <v>2014</v>
      </c>
      <c r="G1604" s="17">
        <f t="shared" ref="G1604:G1667" ca="1" si="86">VLOOKUP(INDIRECT(CHAR(39)&amp;$A1604&amp;CHAR(39)&amp;"!r2c"&amp;$C1604,0),variables,2,0)</f>
        <v>10947</v>
      </c>
      <c r="H1604" s="2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</row>
    <row r="1605" spans="1:26" ht="13.5" customHeight="1" x14ac:dyDescent="0.3">
      <c r="A1605" s="17" t="s">
        <v>644</v>
      </c>
      <c r="B1605" s="17">
        <f t="shared" si="84"/>
        <v>17</v>
      </c>
      <c r="C1605" s="17">
        <f t="shared" si="26"/>
        <v>31</v>
      </c>
      <c r="D1605" s="17"/>
      <c r="E1605" s="17">
        <f t="shared" si="85"/>
        <v>65919</v>
      </c>
      <c r="F1605" s="17">
        <f t="shared" ca="1" si="1"/>
        <v>2014</v>
      </c>
      <c r="G1605" s="17">
        <f t="shared" ca="1" si="86"/>
        <v>10948</v>
      </c>
      <c r="H1605" s="31" t="str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No</v>
      </c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</row>
    <row r="1606" spans="1:26" ht="13.5" customHeight="1" x14ac:dyDescent="0.3">
      <c r="A1606" s="17" t="s">
        <v>644</v>
      </c>
      <c r="B1606" s="17">
        <f t="shared" si="84"/>
        <v>17</v>
      </c>
      <c r="C1606" s="17">
        <f t="shared" si="26"/>
        <v>32</v>
      </c>
      <c r="D1606" s="17"/>
      <c r="E1606" s="17">
        <f t="shared" si="85"/>
        <v>65919</v>
      </c>
      <c r="F1606" s="17">
        <f t="shared" ca="1" si="1"/>
        <v>2014</v>
      </c>
      <c r="G1606" s="17">
        <f t="shared" ca="1" si="86"/>
        <v>10949</v>
      </c>
      <c r="H1606" s="31" t="str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No</v>
      </c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</row>
    <row r="1607" spans="1:26" ht="13.5" customHeight="1" x14ac:dyDescent="0.3">
      <c r="A1607" s="17" t="s">
        <v>644</v>
      </c>
      <c r="B1607" s="17">
        <f t="shared" si="84"/>
        <v>17</v>
      </c>
      <c r="C1607" s="17">
        <f t="shared" si="26"/>
        <v>33</v>
      </c>
      <c r="D1607" s="17"/>
      <c r="E1607" s="17">
        <f t="shared" si="85"/>
        <v>65919</v>
      </c>
      <c r="F1607" s="17">
        <f t="shared" ca="1" si="1"/>
        <v>2014</v>
      </c>
      <c r="G1607" s="17">
        <f t="shared" ca="1" si="86"/>
        <v>10951</v>
      </c>
      <c r="H1607" s="31" t="str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No</v>
      </c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</row>
    <row r="1608" spans="1:26" ht="13.5" customHeight="1" x14ac:dyDescent="0.3">
      <c r="A1608" s="17" t="s">
        <v>644</v>
      </c>
      <c r="B1608" s="17">
        <f t="shared" si="84"/>
        <v>17</v>
      </c>
      <c r="C1608" s="17">
        <f t="shared" si="26"/>
        <v>34</v>
      </c>
      <c r="D1608" s="17"/>
      <c r="E1608" s="17">
        <f t="shared" si="85"/>
        <v>65919</v>
      </c>
      <c r="F1608" s="17">
        <f t="shared" ca="1" si="1"/>
        <v>2014</v>
      </c>
      <c r="G1608" s="17">
        <f t="shared" ca="1" si="86"/>
        <v>10950</v>
      </c>
      <c r="H1608" s="31" t="str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No</v>
      </c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</row>
    <row r="1609" spans="1:26" ht="13.5" customHeight="1" x14ac:dyDescent="0.3">
      <c r="A1609" s="17" t="s">
        <v>644</v>
      </c>
      <c r="B1609" s="17">
        <f t="shared" si="84"/>
        <v>17</v>
      </c>
      <c r="C1609" s="17">
        <f t="shared" si="26"/>
        <v>35</v>
      </c>
      <c r="D1609" s="17"/>
      <c r="E1609" s="17">
        <f t="shared" si="85"/>
        <v>65919</v>
      </c>
      <c r="F1609" s="17">
        <f t="shared" ca="1" si="1"/>
        <v>2014</v>
      </c>
      <c r="G1609" s="17">
        <f t="shared" ca="1" si="86"/>
        <v>10954</v>
      </c>
      <c r="H1609" s="3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0.03</v>
      </c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</row>
    <row r="1610" spans="1:26" ht="13.5" customHeight="1" x14ac:dyDescent="0.3">
      <c r="A1610" s="17" t="s">
        <v>644</v>
      </c>
      <c r="B1610" s="17">
        <f t="shared" si="84"/>
        <v>17</v>
      </c>
      <c r="C1610" s="17">
        <f t="shared" si="26"/>
        <v>36</v>
      </c>
      <c r="D1610" s="17"/>
      <c r="E1610" s="17">
        <f t="shared" si="85"/>
        <v>65919</v>
      </c>
      <c r="F1610" s="17">
        <f t="shared" ca="1" si="1"/>
        <v>2014</v>
      </c>
      <c r="G1610" s="17">
        <f t="shared" ca="1" si="86"/>
        <v>10955</v>
      </c>
      <c r="H1610" s="3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7.8E-2</v>
      </c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</row>
    <row r="1611" spans="1:26" ht="13.5" customHeight="1" x14ac:dyDescent="0.3">
      <c r="A1611" s="17" t="s">
        <v>644</v>
      </c>
      <c r="B1611" s="17">
        <f t="shared" si="84"/>
        <v>17</v>
      </c>
      <c r="C1611" s="17">
        <f t="shared" si="26"/>
        <v>37</v>
      </c>
      <c r="D1611" s="17"/>
      <c r="E1611" s="17">
        <f t="shared" si="85"/>
        <v>65919</v>
      </c>
      <c r="F1611" s="17">
        <f t="shared" ca="1" si="1"/>
        <v>2014</v>
      </c>
      <c r="G1611" s="17">
        <f t="shared" ca="1" si="86"/>
        <v>10956</v>
      </c>
      <c r="H1611" s="3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4.8355000000000002E-4</v>
      </c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</row>
    <row r="1612" spans="1:26" ht="13.5" customHeight="1" x14ac:dyDescent="0.3">
      <c r="A1612" s="17" t="s">
        <v>644</v>
      </c>
      <c r="B1612" s="17">
        <f t="shared" si="84"/>
        <v>17</v>
      </c>
      <c r="C1612" s="17">
        <f t="shared" si="26"/>
        <v>38</v>
      </c>
      <c r="D1612" s="17"/>
      <c r="E1612" s="17">
        <f t="shared" si="85"/>
        <v>65919</v>
      </c>
      <c r="F1612" s="17">
        <f t="shared" ca="1" si="1"/>
        <v>2014</v>
      </c>
      <c r="G1612" s="17">
        <f t="shared" ca="1" si="86"/>
        <v>10959</v>
      </c>
      <c r="H1612" s="3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5.0900000000000001E-2</v>
      </c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</row>
    <row r="1613" spans="1:26" ht="13.5" customHeight="1" x14ac:dyDescent="0.3">
      <c r="A1613" s="17" t="s">
        <v>644</v>
      </c>
      <c r="B1613" s="17">
        <f t="shared" si="84"/>
        <v>17</v>
      </c>
      <c r="C1613" s="17">
        <f t="shared" si="26"/>
        <v>39</v>
      </c>
      <c r="D1613" s="17"/>
      <c r="E1613" s="17">
        <f t="shared" si="85"/>
        <v>65919</v>
      </c>
      <c r="F1613" s="17">
        <f t="shared" ca="1" si="1"/>
        <v>2014</v>
      </c>
      <c r="G1613" s="17">
        <f t="shared" ca="1" si="86"/>
        <v>10962</v>
      </c>
      <c r="H1613" s="29" t="str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CAFR Pg 141</v>
      </c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</row>
    <row r="1614" spans="1:26" ht="13.5" customHeight="1" x14ac:dyDescent="0.3">
      <c r="A1614" s="17" t="s">
        <v>644</v>
      </c>
      <c r="B1614" s="17">
        <f t="shared" si="84"/>
        <v>17</v>
      </c>
      <c r="C1614" s="17">
        <f t="shared" si="26"/>
        <v>40</v>
      </c>
      <c r="D1614" s="17"/>
      <c r="E1614" s="17">
        <f t="shared" si="85"/>
        <v>65919</v>
      </c>
      <c r="F1614" s="17">
        <f t="shared" ca="1" si="1"/>
        <v>2014</v>
      </c>
      <c r="G1614" s="17">
        <f t="shared" ca="1" si="86"/>
        <v>10964</v>
      </c>
      <c r="H1614" s="29" t="str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CAFR Pg 138</v>
      </c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</row>
    <row r="1615" spans="1:26" ht="13.5" customHeight="1" x14ac:dyDescent="0.3">
      <c r="A1615" s="17" t="s">
        <v>644</v>
      </c>
      <c r="B1615" s="17">
        <f t="shared" si="84"/>
        <v>17</v>
      </c>
      <c r="C1615" s="17">
        <f t="shared" si="26"/>
        <v>41</v>
      </c>
      <c r="D1615" s="17"/>
      <c r="E1615" s="17">
        <f t="shared" si="85"/>
        <v>65919</v>
      </c>
      <c r="F1615" s="17">
        <f t="shared" ca="1" si="1"/>
        <v>2014</v>
      </c>
      <c r="G1615" s="17">
        <f t="shared" ca="1" si="86"/>
        <v>10967</v>
      </c>
      <c r="H1615" s="29" t="str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RP-2000 Combined Healthy Table</v>
      </c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</row>
    <row r="1616" spans="1:26" ht="13.5" customHeight="1" x14ac:dyDescent="0.3">
      <c r="A1616" s="17" t="s">
        <v>644</v>
      </c>
      <c r="B1616" s="17">
        <f t="shared" si="84"/>
        <v>17</v>
      </c>
      <c r="C1616" s="17">
        <f t="shared" si="26"/>
        <v>42</v>
      </c>
      <c r="D1616" s="17"/>
      <c r="E1616" s="17">
        <f t="shared" si="85"/>
        <v>65919</v>
      </c>
      <c r="F1616" s="17">
        <f t="shared" ca="1" si="1"/>
        <v>2014</v>
      </c>
      <c r="G1616" s="17">
        <f t="shared" ca="1" si="86"/>
        <v>10968</v>
      </c>
      <c r="H1616" s="2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2000</v>
      </c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</row>
    <row r="1617" spans="1:26" ht="13.5" customHeight="1" x14ac:dyDescent="0.3">
      <c r="A1617" s="17" t="s">
        <v>644</v>
      </c>
      <c r="B1617" s="17">
        <f t="shared" si="84"/>
        <v>17</v>
      </c>
      <c r="C1617" s="17">
        <f t="shared" si="26"/>
        <v>43</v>
      </c>
      <c r="D1617" s="17"/>
      <c r="E1617" s="17">
        <f t="shared" si="85"/>
        <v>65919</v>
      </c>
      <c r="F1617" s="17">
        <f t="shared" ca="1" si="1"/>
        <v>2014</v>
      </c>
      <c r="G1617" s="17">
        <f t="shared" ca="1" si="86"/>
        <v>10969</v>
      </c>
      <c r="H1617" s="2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Scale BB</v>
      </c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</row>
    <row r="1618" spans="1:26" ht="13.5" customHeight="1" x14ac:dyDescent="0.3">
      <c r="A1618" s="17" t="s">
        <v>644</v>
      </c>
      <c r="B1618" s="17">
        <f t="shared" si="84"/>
        <v>17</v>
      </c>
      <c r="C1618" s="17">
        <f t="shared" si="26"/>
        <v>44</v>
      </c>
      <c r="D1618" s="17"/>
      <c r="E1618" s="17">
        <f t="shared" si="85"/>
        <v>65919</v>
      </c>
      <c r="F1618" s="17">
        <f t="shared" ca="1" si="1"/>
        <v>2014</v>
      </c>
      <c r="G1618" s="17">
        <f t="shared" ca="1" si="86"/>
        <v>10970</v>
      </c>
      <c r="H1618" s="2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</row>
    <row r="1619" spans="1:26" ht="13.5" customHeight="1" x14ac:dyDescent="0.3">
      <c r="A1619" s="17" t="s">
        <v>644</v>
      </c>
      <c r="B1619" s="17">
        <f t="shared" si="84"/>
        <v>17</v>
      </c>
      <c r="C1619" s="17">
        <f t="shared" si="26"/>
        <v>45</v>
      </c>
      <c r="D1619" s="17"/>
      <c r="E1619" s="17">
        <f t="shared" si="85"/>
        <v>65919</v>
      </c>
      <c r="F1619" s="17">
        <f t="shared" ca="1" si="1"/>
        <v>2014</v>
      </c>
      <c r="G1619" s="17">
        <f t="shared" ca="1" si="86"/>
        <v>10971</v>
      </c>
      <c r="H1619" s="2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</row>
    <row r="1620" spans="1:26" ht="13.5" customHeight="1" x14ac:dyDescent="0.3">
      <c r="A1620" s="17" t="s">
        <v>644</v>
      </c>
      <c r="B1620" s="17">
        <f t="shared" si="84"/>
        <v>17</v>
      </c>
      <c r="C1620" s="17">
        <f t="shared" si="26"/>
        <v>46</v>
      </c>
      <c r="D1620" s="17"/>
      <c r="E1620" s="17">
        <f t="shared" si="85"/>
        <v>65919</v>
      </c>
      <c r="F1620" s="17">
        <f t="shared" ca="1" si="1"/>
        <v>2014</v>
      </c>
      <c r="G1620" s="17">
        <f t="shared" ca="1" si="86"/>
        <v>10972</v>
      </c>
      <c r="H1620" s="29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N/A</v>
      </c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</row>
    <row r="1621" spans="1:26" ht="13.5" customHeight="1" x14ac:dyDescent="0.3">
      <c r="A1621" s="17" t="s">
        <v>644</v>
      </c>
      <c r="B1621" s="17">
        <f t="shared" si="84"/>
        <v>17</v>
      </c>
      <c r="C1621" s="17">
        <f t="shared" si="26"/>
        <v>47</v>
      </c>
      <c r="D1621" s="17"/>
      <c r="E1621" s="17">
        <f t="shared" si="85"/>
        <v>65919</v>
      </c>
      <c r="F1621" s="17">
        <f t="shared" ca="1" si="1"/>
        <v>2014</v>
      </c>
      <c r="G1621" s="17">
        <f t="shared" ca="1" si="86"/>
        <v>10973</v>
      </c>
      <c r="H1621" s="29" t="str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N/A</v>
      </c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</row>
    <row r="1622" spans="1:26" ht="13.5" customHeight="1" x14ac:dyDescent="0.3">
      <c r="A1622" s="17" t="s">
        <v>644</v>
      </c>
      <c r="B1622" s="17">
        <f t="shared" si="84"/>
        <v>17</v>
      </c>
      <c r="C1622" s="17">
        <f t="shared" si="26"/>
        <v>48</v>
      </c>
      <c r="D1622" s="17"/>
      <c r="E1622" s="17">
        <f t="shared" si="85"/>
        <v>65919</v>
      </c>
      <c r="F1622" s="17">
        <f t="shared" ca="1" si="1"/>
        <v>2014</v>
      </c>
      <c r="G1622" s="17">
        <f t="shared" ca="1" si="86"/>
        <v>10975</v>
      </c>
      <c r="H1622" s="29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 xml:space="preserve">Aggregate   </v>
      </c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</row>
    <row r="1623" spans="1:26" ht="13.5" customHeight="1" x14ac:dyDescent="0.3">
      <c r="A1623" s="17" t="s">
        <v>644</v>
      </c>
      <c r="B1623" s="17">
        <f t="shared" si="84"/>
        <v>17</v>
      </c>
      <c r="C1623" s="17">
        <f t="shared" si="26"/>
        <v>49</v>
      </c>
      <c r="D1623" s="17"/>
      <c r="E1623" s="17">
        <f t="shared" si="85"/>
        <v>65919</v>
      </c>
      <c r="F1623" s="17">
        <f t="shared" ca="1" si="1"/>
        <v>2014</v>
      </c>
      <c r="G1623" s="17">
        <f t="shared" ca="1" si="86"/>
        <v>10976</v>
      </c>
      <c r="H1623" s="3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7.8E-2</v>
      </c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</row>
    <row r="1624" spans="1:26" ht="13.5" customHeight="1" x14ac:dyDescent="0.3">
      <c r="A1624" s="17" t="s">
        <v>644</v>
      </c>
      <c r="B1624" s="17">
        <f t="shared" si="84"/>
        <v>17</v>
      </c>
      <c r="C1624" s="17">
        <f t="shared" si="26"/>
        <v>50</v>
      </c>
      <c r="D1624" s="17"/>
      <c r="E1624" s="17">
        <f t="shared" si="85"/>
        <v>65919</v>
      </c>
      <c r="F1624" s="17">
        <f t="shared" ca="1" si="1"/>
        <v>2014</v>
      </c>
      <c r="G1624" s="17">
        <f t="shared" ca="1" si="86"/>
        <v>10977</v>
      </c>
      <c r="H1624" s="31" t="str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No</v>
      </c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</row>
    <row r="1625" spans="1:26" ht="13.5" customHeight="1" x14ac:dyDescent="0.3">
      <c r="A1625" s="17" t="s">
        <v>644</v>
      </c>
      <c r="B1625" s="17">
        <f t="shared" si="84"/>
        <v>17</v>
      </c>
      <c r="C1625" s="17">
        <f t="shared" si="26"/>
        <v>51</v>
      </c>
      <c r="D1625" s="17"/>
      <c r="E1625" s="17">
        <f t="shared" si="85"/>
        <v>65919</v>
      </c>
      <c r="F1625" s="17">
        <f t="shared" ca="1" si="1"/>
        <v>2014</v>
      </c>
      <c r="G1625" s="17">
        <f t="shared" ca="1" si="86"/>
        <v>10978</v>
      </c>
      <c r="H1625" s="3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7.8E-2</v>
      </c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</row>
    <row r="1626" spans="1:26" ht="13.5" customHeight="1" x14ac:dyDescent="0.3">
      <c r="A1626" s="17" t="s">
        <v>644</v>
      </c>
      <c r="B1626" s="17">
        <f t="shared" si="84"/>
        <v>17</v>
      </c>
      <c r="C1626" s="17">
        <f t="shared" si="26"/>
        <v>52</v>
      </c>
      <c r="D1626" s="17"/>
      <c r="E1626" s="17">
        <f t="shared" si="85"/>
        <v>65919</v>
      </c>
      <c r="F1626" s="17">
        <f t="shared" ca="1" si="1"/>
        <v>2014</v>
      </c>
      <c r="G1626" s="17">
        <f t="shared" ca="1" si="86"/>
        <v>10979</v>
      </c>
      <c r="H1626" s="29" t="str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8 Years</v>
      </c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</row>
    <row r="1627" spans="1:26" ht="13.5" customHeight="1" x14ac:dyDescent="0.3">
      <c r="A1627" s="17" t="s">
        <v>644</v>
      </c>
      <c r="B1627" s="17">
        <f t="shared" si="84"/>
        <v>17</v>
      </c>
      <c r="C1627" s="17">
        <f t="shared" si="26"/>
        <v>53</v>
      </c>
      <c r="D1627" s="17"/>
      <c r="E1627" s="17">
        <f t="shared" si="85"/>
        <v>65919</v>
      </c>
      <c r="F1627" s="17">
        <f t="shared" ca="1" si="1"/>
        <v>2014</v>
      </c>
      <c r="G1627" s="17">
        <f t="shared" ca="1" si="86"/>
        <v>10980</v>
      </c>
      <c r="H1627" s="3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6.93E-2</v>
      </c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</row>
    <row r="1628" spans="1:26" ht="13.5" customHeight="1" x14ac:dyDescent="0.3">
      <c r="A1628" s="17" t="s">
        <v>644</v>
      </c>
      <c r="B1628" s="17">
        <f t="shared" si="84"/>
        <v>17</v>
      </c>
      <c r="C1628" s="17">
        <f t="shared" si="26"/>
        <v>54</v>
      </c>
      <c r="D1628" s="17"/>
      <c r="E1628" s="17">
        <f t="shared" si="85"/>
        <v>65919</v>
      </c>
      <c r="F1628" s="17">
        <f t="shared" ca="1" si="1"/>
        <v>2014</v>
      </c>
      <c r="G1628" s="17">
        <f t="shared" ca="1" si="86"/>
        <v>10981</v>
      </c>
      <c r="H1628" s="3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0.18870000000000001</v>
      </c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</row>
    <row r="1629" spans="1:26" ht="13.5" customHeight="1" x14ac:dyDescent="0.3">
      <c r="A1629" s="17" t="s">
        <v>644</v>
      </c>
      <c r="B1629" s="17">
        <f t="shared" si="84"/>
        <v>17</v>
      </c>
      <c r="C1629" s="17">
        <f t="shared" si="26"/>
        <v>55</v>
      </c>
      <c r="D1629" s="17"/>
      <c r="E1629" s="17">
        <f t="shared" si="85"/>
        <v>65919</v>
      </c>
      <c r="F1629" s="17">
        <f t="shared" ca="1" si="1"/>
        <v>2014</v>
      </c>
      <c r="G1629" s="17">
        <f t="shared" ca="1" si="86"/>
        <v>10706</v>
      </c>
      <c r="H1629" s="3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3.9233856542450398E-4</v>
      </c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</row>
    <row r="1630" spans="1:26" ht="13.5" customHeight="1" x14ac:dyDescent="0.3">
      <c r="A1630" s="17" t="s">
        <v>644</v>
      </c>
      <c r="B1630" s="17">
        <f t="shared" si="84"/>
        <v>17</v>
      </c>
      <c r="C1630" s="17">
        <f t="shared" si="26"/>
        <v>56</v>
      </c>
      <c r="D1630" s="17"/>
      <c r="E1630" s="17">
        <f t="shared" si="85"/>
        <v>65919</v>
      </c>
      <c r="F1630" s="17">
        <f t="shared" ca="1" si="1"/>
        <v>2014</v>
      </c>
      <c r="G1630" s="17">
        <f t="shared" ca="1" si="86"/>
        <v>10983</v>
      </c>
      <c r="H1630" s="30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No</v>
      </c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</row>
    <row r="1631" spans="1:26" ht="13.5" customHeight="1" x14ac:dyDescent="0.3">
      <c r="A1631" s="17" t="s">
        <v>644</v>
      </c>
      <c r="B1631" s="17">
        <f t="shared" si="84"/>
        <v>17</v>
      </c>
      <c r="C1631" s="17">
        <f t="shared" si="26"/>
        <v>57</v>
      </c>
      <c r="D1631" s="17"/>
      <c r="E1631" s="17">
        <f t="shared" si="85"/>
        <v>65919</v>
      </c>
      <c r="F1631" s="17">
        <f t="shared" ca="1" si="1"/>
        <v>2014</v>
      </c>
      <c r="G1631" s="17">
        <f t="shared" ca="1" si="86"/>
        <v>10989</v>
      </c>
      <c r="H1631" s="3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1044000000</v>
      </c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</row>
    <row r="1632" spans="1:26" ht="13.5" customHeight="1" x14ac:dyDescent="0.3">
      <c r="A1632" s="17" t="s">
        <v>644</v>
      </c>
      <c r="B1632" s="17">
        <f t="shared" si="84"/>
        <v>17</v>
      </c>
      <c r="C1632" s="17">
        <f t="shared" si="26"/>
        <v>58</v>
      </c>
      <c r="D1632" s="17"/>
      <c r="E1632" s="17">
        <f t="shared" si="85"/>
        <v>65919</v>
      </c>
      <c r="F1632" s="17">
        <f t="shared" ca="1" si="1"/>
        <v>2014</v>
      </c>
      <c r="G1632" s="17">
        <f t="shared" ca="1" si="86"/>
        <v>10990</v>
      </c>
      <c r="H1632" s="30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1042000000</v>
      </c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</row>
    <row r="1633" spans="1:26" ht="13.5" customHeight="1" x14ac:dyDescent="0.3">
      <c r="A1633" s="17" t="s">
        <v>644</v>
      </c>
      <c r="B1633" s="17">
        <f t="shared" si="84"/>
        <v>17</v>
      </c>
      <c r="C1633" s="17">
        <f t="shared" si="26"/>
        <v>59</v>
      </c>
      <c r="D1633" s="17"/>
      <c r="E1633" s="17">
        <f t="shared" si="85"/>
        <v>65919</v>
      </c>
      <c r="F1633" s="17">
        <f t="shared" ca="1" si="1"/>
        <v>2014</v>
      </c>
      <c r="G1633" s="17">
        <f t="shared" ca="1" si="86"/>
        <v>10991</v>
      </c>
      <c r="H1633" s="3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-2000000</v>
      </c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</row>
    <row r="1634" spans="1:26" ht="13.5" customHeight="1" x14ac:dyDescent="0.3">
      <c r="A1634" s="17" t="s">
        <v>644</v>
      </c>
      <c r="B1634" s="17">
        <f t="shared" si="84"/>
        <v>17</v>
      </c>
      <c r="C1634" s="17">
        <f t="shared" si="26"/>
        <v>60</v>
      </c>
      <c r="D1634" s="17"/>
      <c r="E1634" s="17">
        <f t="shared" si="85"/>
        <v>65919</v>
      </c>
      <c r="F1634" s="17">
        <f t="shared" ca="1" si="1"/>
        <v>2014</v>
      </c>
      <c r="G1634" s="17">
        <f t="shared" ca="1" si="86"/>
        <v>10992</v>
      </c>
      <c r="H1634" s="3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1.002</v>
      </c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</row>
    <row r="1635" spans="1:26" ht="13.5" customHeight="1" x14ac:dyDescent="0.3">
      <c r="A1635" s="17" t="s">
        <v>644</v>
      </c>
      <c r="B1635" s="17">
        <f t="shared" si="84"/>
        <v>17</v>
      </c>
      <c r="C1635" s="17">
        <f t="shared" si="26"/>
        <v>61</v>
      </c>
      <c r="D1635" s="17"/>
      <c r="E1635" s="17">
        <f t="shared" si="85"/>
        <v>65919</v>
      </c>
      <c r="F1635" s="17">
        <f t="shared" ca="1" si="1"/>
        <v>2014</v>
      </c>
      <c r="G1635" s="17">
        <f t="shared" ca="1" si="86"/>
        <v>10993</v>
      </c>
      <c r="H1635" s="30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53000000</v>
      </c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</row>
    <row r="1636" spans="1:26" ht="13.5" customHeight="1" x14ac:dyDescent="0.3">
      <c r="A1636" s="17" t="s">
        <v>644</v>
      </c>
      <c r="B1636" s="17">
        <f t="shared" si="84"/>
        <v>17</v>
      </c>
      <c r="C1636" s="17">
        <f t="shared" si="26"/>
        <v>62</v>
      </c>
      <c r="D1636" s="17"/>
      <c r="E1636" s="17">
        <f t="shared" si="85"/>
        <v>65919</v>
      </c>
      <c r="F1636" s="17">
        <f t="shared" ca="1" si="1"/>
        <v>2014</v>
      </c>
      <c r="G1636" s="17">
        <f t="shared" ca="1" si="86"/>
        <v>10801</v>
      </c>
      <c r="H1636" s="30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10000000</v>
      </c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</row>
    <row r="1637" spans="1:26" ht="13.5" customHeight="1" x14ac:dyDescent="0.3">
      <c r="A1637" s="17" t="s">
        <v>644</v>
      </c>
      <c r="B1637" s="17">
        <f t="shared" si="84"/>
        <v>17</v>
      </c>
      <c r="C1637" s="17">
        <f t="shared" si="26"/>
        <v>63</v>
      </c>
      <c r="D1637" s="17"/>
      <c r="E1637" s="17">
        <f t="shared" si="85"/>
        <v>65919</v>
      </c>
      <c r="F1637" s="17">
        <f t="shared" ca="1" si="1"/>
        <v>2014</v>
      </c>
      <c r="G1637" s="17">
        <f t="shared" ca="1" si="86"/>
        <v>10802</v>
      </c>
      <c r="H1637" s="30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</row>
    <row r="1638" spans="1:26" ht="13.5" customHeight="1" x14ac:dyDescent="0.3">
      <c r="A1638" s="17" t="s">
        <v>644</v>
      </c>
      <c r="B1638" s="17">
        <f t="shared" si="84"/>
        <v>17</v>
      </c>
      <c r="C1638" s="17">
        <f t="shared" si="26"/>
        <v>64</v>
      </c>
      <c r="D1638" s="17"/>
      <c r="E1638" s="17">
        <f t="shared" si="85"/>
        <v>65919</v>
      </c>
      <c r="F1638" s="17">
        <f t="shared" ca="1" si="1"/>
        <v>2014</v>
      </c>
      <c r="G1638" s="17">
        <f t="shared" ca="1" si="86"/>
        <v>10803</v>
      </c>
      <c r="H1638" s="3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</row>
    <row r="1639" spans="1:26" ht="13.5" customHeight="1" x14ac:dyDescent="0.3">
      <c r="A1639" s="17" t="s">
        <v>644</v>
      </c>
      <c r="B1639" s="17">
        <f t="shared" si="84"/>
        <v>17</v>
      </c>
      <c r="C1639" s="17">
        <f t="shared" si="26"/>
        <v>65</v>
      </c>
      <c r="D1639" s="17"/>
      <c r="E1639" s="17">
        <f t="shared" si="85"/>
        <v>65919</v>
      </c>
      <c r="F1639" s="17">
        <f t="shared" ca="1" si="1"/>
        <v>2014</v>
      </c>
      <c r="G1639" s="17">
        <f t="shared" ca="1" si="86"/>
        <v>10804</v>
      </c>
      <c r="H1639" s="3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</row>
    <row r="1640" spans="1:26" ht="13.5" customHeight="1" x14ac:dyDescent="0.3">
      <c r="A1640" s="17" t="s">
        <v>644</v>
      </c>
      <c r="B1640" s="17">
        <f t="shared" si="84"/>
        <v>17</v>
      </c>
      <c r="C1640" s="17">
        <f t="shared" si="26"/>
        <v>66</v>
      </c>
      <c r="D1640" s="17"/>
      <c r="E1640" s="17">
        <f t="shared" si="85"/>
        <v>65919</v>
      </c>
      <c r="F1640" s="17">
        <f t="shared" ca="1" si="1"/>
        <v>2014</v>
      </c>
      <c r="G1640" s="17">
        <f t="shared" ca="1" si="86"/>
        <v>10805</v>
      </c>
      <c r="H1640" s="3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</row>
    <row r="1641" spans="1:26" ht="13.5" customHeight="1" x14ac:dyDescent="0.3">
      <c r="A1641" s="17" t="s">
        <v>644</v>
      </c>
      <c r="B1641" s="17">
        <f t="shared" si="84"/>
        <v>17</v>
      </c>
      <c r="C1641" s="17">
        <f t="shared" si="26"/>
        <v>67</v>
      </c>
      <c r="D1641" s="17"/>
      <c r="E1641" s="17">
        <f t="shared" si="85"/>
        <v>65919</v>
      </c>
      <c r="F1641" s="17">
        <f t="shared" ca="1" si="1"/>
        <v>2014</v>
      </c>
      <c r="G1641" s="17">
        <f t="shared" ca="1" si="86"/>
        <v>10806</v>
      </c>
      <c r="H1641" s="30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</row>
    <row r="1642" spans="1:26" ht="13.5" customHeight="1" x14ac:dyDescent="0.3">
      <c r="A1642" s="17" t="s">
        <v>644</v>
      </c>
      <c r="B1642" s="17">
        <f t="shared" ref="B1642:B1667" si="87">B1641</f>
        <v>17</v>
      </c>
      <c r="C1642" s="17">
        <f t="shared" si="26"/>
        <v>68</v>
      </c>
      <c r="D1642" s="17"/>
      <c r="E1642" s="17">
        <f t="shared" si="85"/>
        <v>65919</v>
      </c>
      <c r="F1642" s="17">
        <f t="shared" ca="1" si="1"/>
        <v>2014</v>
      </c>
      <c r="G1642" s="17">
        <f t="shared" ca="1" si="86"/>
        <v>10807</v>
      </c>
      <c r="H1642" s="30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</row>
    <row r="1643" spans="1:26" ht="13.5" customHeight="1" x14ac:dyDescent="0.3">
      <c r="A1643" s="17" t="s">
        <v>644</v>
      </c>
      <c r="B1643" s="17">
        <f t="shared" si="87"/>
        <v>17</v>
      </c>
      <c r="C1643" s="17">
        <f t="shared" si="26"/>
        <v>69</v>
      </c>
      <c r="D1643" s="17"/>
      <c r="E1643" s="17">
        <f t="shared" si="85"/>
        <v>65919</v>
      </c>
      <c r="F1643" s="17">
        <f t="shared" ca="1" si="1"/>
        <v>2014</v>
      </c>
      <c r="G1643" s="17">
        <f t="shared" ca="1" si="86"/>
        <v>10808</v>
      </c>
      <c r="H1643" s="3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</row>
    <row r="1644" spans="1:26" ht="13.5" customHeight="1" x14ac:dyDescent="0.3">
      <c r="A1644" s="17" t="s">
        <v>644</v>
      </c>
      <c r="B1644" s="17">
        <f t="shared" si="87"/>
        <v>17</v>
      </c>
      <c r="C1644" s="17">
        <f t="shared" si="26"/>
        <v>70</v>
      </c>
      <c r="D1644" s="17"/>
      <c r="E1644" s="17">
        <f t="shared" si="85"/>
        <v>65919</v>
      </c>
      <c r="F1644" s="17">
        <f t="shared" ca="1" si="1"/>
        <v>2014</v>
      </c>
      <c r="G1644" s="17">
        <f t="shared" ca="1" si="86"/>
        <v>10809</v>
      </c>
      <c r="H1644" s="30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</row>
    <row r="1645" spans="1:26" ht="13.5" customHeight="1" x14ac:dyDescent="0.3">
      <c r="A1645" s="17" t="s">
        <v>644</v>
      </c>
      <c r="B1645" s="17">
        <f t="shared" si="87"/>
        <v>17</v>
      </c>
      <c r="C1645" s="17">
        <f t="shared" si="26"/>
        <v>71</v>
      </c>
      <c r="D1645" s="17"/>
      <c r="E1645" s="17">
        <f t="shared" si="85"/>
        <v>65919</v>
      </c>
      <c r="F1645" s="17">
        <f t="shared" ca="1" si="1"/>
        <v>2014</v>
      </c>
      <c r="G1645" s="17">
        <f t="shared" ca="1" si="86"/>
        <v>10810</v>
      </c>
      <c r="H1645" s="30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</row>
    <row r="1646" spans="1:26" ht="13.5" customHeight="1" x14ac:dyDescent="0.3">
      <c r="A1646" s="17" t="s">
        <v>644</v>
      </c>
      <c r="B1646" s="17">
        <f t="shared" si="87"/>
        <v>17</v>
      </c>
      <c r="C1646" s="17">
        <f t="shared" si="26"/>
        <v>72</v>
      </c>
      <c r="D1646" s="17"/>
      <c r="E1646" s="17">
        <f t="shared" si="85"/>
        <v>65919</v>
      </c>
      <c r="F1646" s="17">
        <f t="shared" ca="1" si="1"/>
        <v>2014</v>
      </c>
      <c r="G1646" s="17">
        <f t="shared" ca="1" si="86"/>
        <v>10811</v>
      </c>
      <c r="H1646" s="30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</row>
    <row r="1647" spans="1:26" ht="13.5" customHeight="1" x14ac:dyDescent="0.3">
      <c r="A1647" s="17" t="s">
        <v>644</v>
      </c>
      <c r="B1647" s="17">
        <f t="shared" si="87"/>
        <v>17</v>
      </c>
      <c r="C1647" s="17">
        <f t="shared" si="26"/>
        <v>73</v>
      </c>
      <c r="D1647" s="17"/>
      <c r="E1647" s="17">
        <f t="shared" si="85"/>
        <v>65919</v>
      </c>
      <c r="F1647" s="17">
        <f t="shared" ca="1" si="1"/>
        <v>2014</v>
      </c>
      <c r="G1647" s="17">
        <f t="shared" ca="1" si="86"/>
        <v>10812</v>
      </c>
      <c r="H1647" s="30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</row>
    <row r="1648" spans="1:26" ht="13.5" customHeight="1" x14ac:dyDescent="0.3">
      <c r="A1648" s="17" t="s">
        <v>644</v>
      </c>
      <c r="B1648" s="17">
        <f t="shared" si="87"/>
        <v>17</v>
      </c>
      <c r="C1648" s="17">
        <f t="shared" si="26"/>
        <v>74</v>
      </c>
      <c r="D1648" s="17"/>
      <c r="E1648" s="17">
        <f t="shared" si="85"/>
        <v>65919</v>
      </c>
      <c r="F1648" s="17">
        <f t="shared" ca="1" si="1"/>
        <v>2014</v>
      </c>
      <c r="G1648" s="17">
        <f t="shared" ca="1" si="86"/>
        <v>10813</v>
      </c>
      <c r="H1648" s="3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</row>
    <row r="1649" spans="1:26" ht="13.5" customHeight="1" x14ac:dyDescent="0.3">
      <c r="A1649" s="17" t="s">
        <v>644</v>
      </c>
      <c r="B1649" s="17">
        <f t="shared" si="87"/>
        <v>17</v>
      </c>
      <c r="C1649" s="17">
        <f t="shared" si="26"/>
        <v>75</v>
      </c>
      <c r="D1649" s="17"/>
      <c r="E1649" s="17">
        <f t="shared" si="85"/>
        <v>65919</v>
      </c>
      <c r="F1649" s="17">
        <f t="shared" ca="1" si="1"/>
        <v>2014</v>
      </c>
      <c r="G1649" s="17">
        <f t="shared" ca="1" si="86"/>
        <v>10814</v>
      </c>
      <c r="H1649" s="3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</v>
      </c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</row>
    <row r="1650" spans="1:26" ht="13.5" customHeight="1" x14ac:dyDescent="0.3">
      <c r="A1650" s="17" t="s">
        <v>644</v>
      </c>
      <c r="B1650" s="17">
        <f t="shared" si="87"/>
        <v>17</v>
      </c>
      <c r="C1650" s="17">
        <f t="shared" si="26"/>
        <v>76</v>
      </c>
      <c r="D1650" s="17"/>
      <c r="E1650" s="17">
        <f t="shared" si="85"/>
        <v>65919</v>
      </c>
      <c r="F1650" s="17">
        <f t="shared" ca="1" si="1"/>
        <v>2014</v>
      </c>
      <c r="G1650" s="17">
        <f t="shared" ca="1" si="86"/>
        <v>10815</v>
      </c>
      <c r="H1650" s="3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-2800000</v>
      </c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</row>
    <row r="1651" spans="1:26" ht="13.5" customHeight="1" x14ac:dyDescent="0.3">
      <c r="A1651" s="17" t="s">
        <v>644</v>
      </c>
      <c r="B1651" s="17">
        <f t="shared" si="87"/>
        <v>17</v>
      </c>
      <c r="C1651" s="17">
        <f t="shared" si="26"/>
        <v>77</v>
      </c>
      <c r="D1651" s="17"/>
      <c r="E1651" s="17">
        <f t="shared" si="85"/>
        <v>65919</v>
      </c>
      <c r="F1651" s="17">
        <f t="shared" ca="1" si="1"/>
        <v>2014</v>
      </c>
      <c r="G1651" s="17">
        <f t="shared" ca="1" si="86"/>
        <v>10816</v>
      </c>
      <c r="H1651" s="30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1300000</v>
      </c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</row>
    <row r="1652" spans="1:26" ht="13.5" customHeight="1" x14ac:dyDescent="0.3">
      <c r="A1652" s="17" t="s">
        <v>644</v>
      </c>
      <c r="B1652" s="17">
        <f t="shared" si="87"/>
        <v>17</v>
      </c>
      <c r="C1652" s="17">
        <f t="shared" si="26"/>
        <v>78</v>
      </c>
      <c r="D1652" s="17"/>
      <c r="E1652" s="17">
        <f t="shared" si="85"/>
        <v>65919</v>
      </c>
      <c r="F1652" s="17">
        <f t="shared" ca="1" si="1"/>
        <v>2014</v>
      </c>
      <c r="G1652" s="17">
        <f t="shared" ca="1" si="86"/>
        <v>10817</v>
      </c>
      <c r="H1652" s="30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</row>
    <row r="1653" spans="1:26" ht="13.5" customHeight="1" x14ac:dyDescent="0.3">
      <c r="A1653" s="17" t="s">
        <v>644</v>
      </c>
      <c r="B1653" s="17">
        <f t="shared" si="87"/>
        <v>17</v>
      </c>
      <c r="C1653" s="17">
        <f t="shared" si="26"/>
        <v>79</v>
      </c>
      <c r="D1653" s="17"/>
      <c r="E1653" s="17">
        <f t="shared" si="85"/>
        <v>65919</v>
      </c>
      <c r="F1653" s="17">
        <f t="shared" ca="1" si="1"/>
        <v>2014</v>
      </c>
      <c r="G1653" s="17">
        <f t="shared" ca="1" si="86"/>
        <v>10818</v>
      </c>
      <c r="H1653" s="30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</row>
    <row r="1654" spans="1:26" ht="13.5" customHeight="1" x14ac:dyDescent="0.3">
      <c r="A1654" s="17" t="s">
        <v>644</v>
      </c>
      <c r="B1654" s="17">
        <f t="shared" si="87"/>
        <v>17</v>
      </c>
      <c r="C1654" s="17">
        <f t="shared" si="26"/>
        <v>80</v>
      </c>
      <c r="D1654" s="17"/>
      <c r="E1654" s="17">
        <f t="shared" si="85"/>
        <v>65919</v>
      </c>
      <c r="F1654" s="17">
        <f t="shared" ca="1" si="1"/>
        <v>2014</v>
      </c>
      <c r="G1654" s="17">
        <f t="shared" ca="1" si="86"/>
        <v>10819</v>
      </c>
      <c r="H1654" s="30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</row>
    <row r="1655" spans="1:26" ht="13.5" customHeight="1" x14ac:dyDescent="0.3">
      <c r="A1655" s="17" t="s">
        <v>644</v>
      </c>
      <c r="B1655" s="17">
        <f t="shared" si="87"/>
        <v>17</v>
      </c>
      <c r="C1655" s="17">
        <f t="shared" si="26"/>
        <v>81</v>
      </c>
      <c r="D1655" s="17"/>
      <c r="E1655" s="17">
        <f t="shared" si="85"/>
        <v>65919</v>
      </c>
      <c r="F1655" s="17">
        <f t="shared" ca="1" si="1"/>
        <v>2014</v>
      </c>
      <c r="G1655" s="17">
        <f t="shared" ca="1" si="86"/>
        <v>10820</v>
      </c>
      <c r="H1655" s="3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</row>
    <row r="1656" spans="1:26" ht="13.5" customHeight="1" x14ac:dyDescent="0.3">
      <c r="A1656" s="17" t="s">
        <v>644</v>
      </c>
      <c r="B1656" s="17">
        <f t="shared" si="87"/>
        <v>17</v>
      </c>
      <c r="C1656" s="17">
        <f t="shared" si="26"/>
        <v>82</v>
      </c>
      <c r="D1656" s="17"/>
      <c r="E1656" s="17">
        <f t="shared" si="85"/>
        <v>65919</v>
      </c>
      <c r="F1656" s="17">
        <f t="shared" ca="1" si="1"/>
        <v>2014</v>
      </c>
      <c r="G1656" s="17">
        <f t="shared" ca="1" si="86"/>
        <v>10821</v>
      </c>
      <c r="H1656" s="30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</row>
    <row r="1657" spans="1:26" ht="13.5" customHeight="1" x14ac:dyDescent="0.3">
      <c r="A1657" s="17" t="s">
        <v>644</v>
      </c>
      <c r="B1657" s="17">
        <f t="shared" si="87"/>
        <v>17</v>
      </c>
      <c r="C1657" s="17">
        <f t="shared" si="26"/>
        <v>83</v>
      </c>
      <c r="D1657" s="17"/>
      <c r="E1657" s="17">
        <f t="shared" si="85"/>
        <v>65919</v>
      </c>
      <c r="F1657" s="17">
        <f t="shared" ca="1" si="1"/>
        <v>2014</v>
      </c>
      <c r="G1657" s="17">
        <f t="shared" ca="1" si="86"/>
        <v>10822</v>
      </c>
      <c r="H1657" s="3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</row>
    <row r="1658" spans="1:26" ht="13.5" customHeight="1" x14ac:dyDescent="0.3">
      <c r="A1658" s="17" t="s">
        <v>644</v>
      </c>
      <c r="B1658" s="17">
        <f t="shared" si="87"/>
        <v>17</v>
      </c>
      <c r="C1658" s="17">
        <f t="shared" si="26"/>
        <v>84</v>
      </c>
      <c r="D1658" s="17"/>
      <c r="E1658" s="17">
        <f t="shared" si="85"/>
        <v>65919</v>
      </c>
      <c r="F1658" s="17">
        <f t="shared" ca="1" si="1"/>
        <v>2014</v>
      </c>
      <c r="G1658" s="17">
        <f t="shared" ca="1" si="86"/>
        <v>10829</v>
      </c>
      <c r="H1658" s="3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</row>
    <row r="1659" spans="1:26" ht="13.5" customHeight="1" x14ac:dyDescent="0.3">
      <c r="A1659" s="17" t="s">
        <v>644</v>
      </c>
      <c r="B1659" s="17">
        <f t="shared" si="87"/>
        <v>17</v>
      </c>
      <c r="C1659" s="17">
        <f t="shared" si="26"/>
        <v>85</v>
      </c>
      <c r="D1659" s="17"/>
      <c r="E1659" s="17">
        <f t="shared" si="85"/>
        <v>65919</v>
      </c>
      <c r="F1659" s="17">
        <f t="shared" ca="1" si="1"/>
        <v>2014</v>
      </c>
      <c r="G1659" s="17">
        <f t="shared" ca="1" si="86"/>
        <v>10823</v>
      </c>
      <c r="H1659" s="30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8500000</v>
      </c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</row>
    <row r="1660" spans="1:26" ht="13.5" customHeight="1" x14ac:dyDescent="0.3">
      <c r="A1660" s="17" t="s">
        <v>644</v>
      </c>
      <c r="B1660" s="17">
        <f t="shared" si="87"/>
        <v>17</v>
      </c>
      <c r="C1660" s="17">
        <f t="shared" si="26"/>
        <v>86</v>
      </c>
      <c r="D1660" s="17"/>
      <c r="E1660" s="17">
        <f t="shared" si="85"/>
        <v>65919</v>
      </c>
      <c r="F1660" s="17">
        <f t="shared" ca="1" si="1"/>
        <v>2014</v>
      </c>
      <c r="G1660" s="17">
        <f t="shared" ca="1" si="86"/>
        <v>10798</v>
      </c>
      <c r="H1660" s="30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</row>
    <row r="1661" spans="1:26" ht="13.5" customHeight="1" x14ac:dyDescent="0.3">
      <c r="A1661" s="17" t="s">
        <v>644</v>
      </c>
      <c r="B1661" s="17">
        <f t="shared" si="87"/>
        <v>17</v>
      </c>
      <c r="C1661" s="17">
        <f t="shared" si="26"/>
        <v>87</v>
      </c>
      <c r="D1661" s="17"/>
      <c r="E1661" s="17">
        <f t="shared" si="85"/>
        <v>65919</v>
      </c>
      <c r="F1661" s="17">
        <f t="shared" ca="1" si="1"/>
        <v>2014</v>
      </c>
      <c r="G1661" s="17">
        <f t="shared" ca="1" si="86"/>
        <v>10799</v>
      </c>
      <c r="H1661" s="30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0</v>
      </c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</row>
    <row r="1662" spans="1:26" ht="13.5" customHeight="1" x14ac:dyDescent="0.3">
      <c r="A1662" s="17" t="s">
        <v>644</v>
      </c>
      <c r="B1662" s="17">
        <f t="shared" si="87"/>
        <v>17</v>
      </c>
      <c r="C1662" s="17">
        <f t="shared" si="26"/>
        <v>88</v>
      </c>
      <c r="D1662" s="17"/>
      <c r="E1662" s="17">
        <f t="shared" si="85"/>
        <v>65919</v>
      </c>
      <c r="F1662" s="17">
        <f t="shared" ca="1" si="1"/>
        <v>2014</v>
      </c>
      <c r="G1662" s="17">
        <f t="shared" ca="1" si="86"/>
        <v>10800</v>
      </c>
      <c r="H1662" s="3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</v>
      </c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</row>
    <row r="1663" spans="1:26" ht="13.5" customHeight="1" x14ac:dyDescent="0.3">
      <c r="A1663" s="17" t="s">
        <v>644</v>
      </c>
      <c r="B1663" s="17">
        <f t="shared" si="87"/>
        <v>17</v>
      </c>
      <c r="C1663" s="17">
        <f t="shared" si="26"/>
        <v>89</v>
      </c>
      <c r="D1663" s="17"/>
      <c r="E1663" s="17">
        <f t="shared" si="85"/>
        <v>65919</v>
      </c>
      <c r="F1663" s="17">
        <f t="shared" ca="1" si="1"/>
        <v>2014</v>
      </c>
      <c r="G1663" s="17">
        <f t="shared" ca="1" si="86"/>
        <v>10824</v>
      </c>
      <c r="H1663" s="30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</row>
    <row r="1664" spans="1:26" ht="13.5" customHeight="1" x14ac:dyDescent="0.3">
      <c r="A1664" s="17" t="s">
        <v>644</v>
      </c>
      <c r="B1664" s="17">
        <f t="shared" si="87"/>
        <v>17</v>
      </c>
      <c r="C1664" s="17">
        <f t="shared" si="26"/>
        <v>90</v>
      </c>
      <c r="D1664" s="17"/>
      <c r="E1664" s="17">
        <f t="shared" si="85"/>
        <v>65919</v>
      </c>
      <c r="F1664" s="17">
        <f t="shared" ca="1" si="1"/>
        <v>2014</v>
      </c>
      <c r="G1664" s="17">
        <f t="shared" ca="1" si="86"/>
        <v>10825</v>
      </c>
      <c r="H1664" s="3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</v>
      </c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</row>
    <row r="1665" spans="1:26" ht="13.5" customHeight="1" x14ac:dyDescent="0.3">
      <c r="A1665" s="17" t="s">
        <v>644</v>
      </c>
      <c r="B1665" s="17">
        <f t="shared" si="87"/>
        <v>17</v>
      </c>
      <c r="C1665" s="17">
        <f t="shared" si="26"/>
        <v>91</v>
      </c>
      <c r="D1665" s="17"/>
      <c r="E1665" s="17">
        <f t="shared" si="85"/>
        <v>65919</v>
      </c>
      <c r="F1665" s="17">
        <f t="shared" ca="1" si="1"/>
        <v>2014</v>
      </c>
      <c r="G1665" s="17">
        <f t="shared" ca="1" si="86"/>
        <v>10826</v>
      </c>
      <c r="H1665" s="30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</row>
    <row r="1666" spans="1:26" ht="13.5" customHeight="1" x14ac:dyDescent="0.3">
      <c r="A1666" s="17" t="s">
        <v>644</v>
      </c>
      <c r="B1666" s="17">
        <f t="shared" si="87"/>
        <v>17</v>
      </c>
      <c r="C1666" s="17">
        <f t="shared" si="26"/>
        <v>92</v>
      </c>
      <c r="D1666" s="17"/>
      <c r="E1666" s="17">
        <f t="shared" si="85"/>
        <v>65919</v>
      </c>
      <c r="F1666" s="17">
        <f t="shared" ca="1" si="1"/>
        <v>2014</v>
      </c>
      <c r="G1666" s="17">
        <f t="shared" ca="1" si="86"/>
        <v>10828</v>
      </c>
      <c r="H1666" s="3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</row>
    <row r="1667" spans="1:26" ht="13.5" customHeight="1" x14ac:dyDescent="0.3">
      <c r="A1667" s="17" t="s">
        <v>644</v>
      </c>
      <c r="B1667" s="17">
        <f t="shared" si="87"/>
        <v>17</v>
      </c>
      <c r="C1667" s="17">
        <f t="shared" si="26"/>
        <v>93</v>
      </c>
      <c r="D1667" s="17"/>
      <c r="E1667" s="17">
        <f t="shared" si="85"/>
        <v>65919</v>
      </c>
      <c r="F1667" s="17">
        <f t="shared" ca="1" si="1"/>
        <v>2014</v>
      </c>
      <c r="G1667" s="17">
        <f t="shared" ca="1" si="86"/>
        <v>10827</v>
      </c>
      <c r="H1667" s="2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</row>
    <row r="1668" spans="1:26" ht="13.5" customHeight="1" x14ac:dyDescent="0.3">
      <c r="A1668" s="17" t="s">
        <v>644</v>
      </c>
      <c r="B1668" s="17">
        <f t="shared" ref="B1668:B1732" si="88">B1603+1</f>
        <v>18</v>
      </c>
      <c r="C1668" s="17">
        <f t="shared" si="26"/>
        <v>3</v>
      </c>
      <c r="D1668" s="17"/>
      <c r="E1668" s="17">
        <f t="shared" ref="E1668:E1731" si="89">plan_id</f>
        <v>65919</v>
      </c>
      <c r="F1668" s="17">
        <f t="shared" ca="1" si="1"/>
        <v>2015</v>
      </c>
      <c r="G1668" s="17">
        <f t="shared" ref="G1668:G1731" ca="1" si="90">VLOOKUP(INDIRECT(CHAR(39)&amp;$A1668&amp;CHAR(39)&amp;"!r2c"&amp;$C1668,0),variables,2,0)</f>
        <v>10703</v>
      </c>
      <c r="H1668" s="2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2015</v>
      </c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</row>
    <row r="1669" spans="1:26" ht="13.5" customHeight="1" x14ac:dyDescent="0.3">
      <c r="A1669" s="17" t="s">
        <v>644</v>
      </c>
      <c r="B1669" s="17">
        <f t="shared" si="88"/>
        <v>18</v>
      </c>
      <c r="C1669" s="17">
        <f t="shared" si="26"/>
        <v>4</v>
      </c>
      <c r="D1669" s="17"/>
      <c r="E1669" s="17">
        <f t="shared" si="89"/>
        <v>65919</v>
      </c>
      <c r="F1669" s="17">
        <f t="shared" ca="1" si="1"/>
        <v>2015</v>
      </c>
      <c r="G1669" s="17">
        <f t="shared" ca="1" si="90"/>
        <v>10845</v>
      </c>
      <c r="H1669" s="2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The Office Of The State Actuary</v>
      </c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</row>
    <row r="1670" spans="1:26" ht="13.5" customHeight="1" x14ac:dyDescent="0.3">
      <c r="A1670" s="17" t="s">
        <v>644</v>
      </c>
      <c r="B1670" s="17">
        <f t="shared" si="88"/>
        <v>18</v>
      </c>
      <c r="C1670" s="17">
        <f t="shared" si="26"/>
        <v>5</v>
      </c>
      <c r="D1670" s="17"/>
      <c r="E1670" s="17">
        <f t="shared" si="89"/>
        <v>65919</v>
      </c>
      <c r="F1670" s="17">
        <f t="shared" ca="1" si="1"/>
        <v>2015</v>
      </c>
      <c r="G1670" s="17">
        <f t="shared" ca="1" si="90"/>
        <v>10924</v>
      </c>
      <c r="H1670" s="3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0.22239999999999999</v>
      </c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</row>
    <row r="1671" spans="1:26" ht="13.5" customHeight="1" x14ac:dyDescent="0.3">
      <c r="A1671" s="17" t="s">
        <v>644</v>
      </c>
      <c r="B1671" s="17">
        <f t="shared" si="88"/>
        <v>18</v>
      </c>
      <c r="C1671" s="17">
        <f t="shared" si="26"/>
        <v>6</v>
      </c>
      <c r="D1671" s="17"/>
      <c r="E1671" s="17">
        <f t="shared" si="89"/>
        <v>65919</v>
      </c>
      <c r="F1671" s="17">
        <f t="shared" ca="1" si="1"/>
        <v>2015</v>
      </c>
      <c r="G1671" s="17">
        <f t="shared" ca="1" si="90"/>
        <v>10925</v>
      </c>
      <c r="H1671" s="3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0.14899999999999999</v>
      </c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</row>
    <row r="1672" spans="1:26" ht="13.5" customHeight="1" x14ac:dyDescent="0.3">
      <c r="A1672" s="17" t="s">
        <v>644</v>
      </c>
      <c r="B1672" s="17">
        <f t="shared" si="88"/>
        <v>18</v>
      </c>
      <c r="C1672" s="17">
        <f t="shared" si="26"/>
        <v>7</v>
      </c>
      <c r="D1672" s="17"/>
      <c r="E1672" s="17">
        <f t="shared" si="89"/>
        <v>65919</v>
      </c>
      <c r="F1672" s="17">
        <f t="shared" ca="1" si="1"/>
        <v>2015</v>
      </c>
      <c r="G1672" s="17">
        <f t="shared" ca="1" si="90"/>
        <v>10926</v>
      </c>
      <c r="H1672" s="3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7.3400000000000007E-2</v>
      </c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</row>
    <row r="1673" spans="1:26" ht="13.5" customHeight="1" x14ac:dyDescent="0.3">
      <c r="A1673" s="17" t="s">
        <v>644</v>
      </c>
      <c r="B1673" s="17">
        <f t="shared" si="88"/>
        <v>18</v>
      </c>
      <c r="C1673" s="17">
        <f t="shared" si="26"/>
        <v>8</v>
      </c>
      <c r="D1673" s="17"/>
      <c r="E1673" s="17">
        <f t="shared" si="89"/>
        <v>65919</v>
      </c>
      <c r="F1673" s="17">
        <f t="shared" ca="1" si="1"/>
        <v>2015</v>
      </c>
      <c r="G1673" s="17">
        <f t="shared" ca="1" si="90"/>
        <v>10704</v>
      </c>
      <c r="H1673" s="3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</v>
      </c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</row>
    <row r="1674" spans="1:26" ht="13.5" customHeight="1" x14ac:dyDescent="0.3">
      <c r="A1674" s="17" t="s">
        <v>644</v>
      </c>
      <c r="B1674" s="17">
        <f t="shared" si="88"/>
        <v>18</v>
      </c>
      <c r="C1674" s="17">
        <f t="shared" si="26"/>
        <v>9</v>
      </c>
      <c r="D1674" s="17"/>
      <c r="E1674" s="17">
        <f t="shared" si="89"/>
        <v>65919</v>
      </c>
      <c r="F1674" s="17">
        <f t="shared" ca="1" si="1"/>
        <v>2015</v>
      </c>
      <c r="G1674" s="17">
        <f t="shared" ca="1" si="90"/>
        <v>10928</v>
      </c>
      <c r="H1674" s="31" t="str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N/A</v>
      </c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</row>
    <row r="1675" spans="1:26" ht="13.5" customHeight="1" x14ac:dyDescent="0.3">
      <c r="A1675" s="17" t="s">
        <v>644</v>
      </c>
      <c r="B1675" s="17">
        <f t="shared" si="88"/>
        <v>18</v>
      </c>
      <c r="C1675" s="17">
        <f t="shared" si="26"/>
        <v>10</v>
      </c>
      <c r="D1675" s="17"/>
      <c r="E1675" s="17">
        <f t="shared" si="89"/>
        <v>65919</v>
      </c>
      <c r="F1675" s="17">
        <f t="shared" ca="1" si="1"/>
        <v>2015</v>
      </c>
      <c r="G1675" s="17">
        <f t="shared" ca="1" si="90"/>
        <v>10929</v>
      </c>
      <c r="H1675" s="31" t="str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N/A</v>
      </c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</row>
    <row r="1676" spans="1:26" ht="13.5" customHeight="1" x14ac:dyDescent="0.3">
      <c r="A1676" s="17" t="s">
        <v>644</v>
      </c>
      <c r="B1676" s="17">
        <f t="shared" si="88"/>
        <v>18</v>
      </c>
      <c r="C1676" s="17">
        <f t="shared" si="26"/>
        <v>11</v>
      </c>
      <c r="D1676" s="17"/>
      <c r="E1676" s="17">
        <f t="shared" si="89"/>
        <v>65919</v>
      </c>
      <c r="F1676" s="17">
        <f t="shared" ca="1" si="1"/>
        <v>2015</v>
      </c>
      <c r="G1676" s="17">
        <f t="shared" ca="1" si="90"/>
        <v>10930</v>
      </c>
      <c r="H1676" s="3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</row>
    <row r="1677" spans="1:26" ht="13.5" customHeight="1" x14ac:dyDescent="0.3">
      <c r="A1677" s="17" t="s">
        <v>644</v>
      </c>
      <c r="B1677" s="17">
        <f t="shared" si="88"/>
        <v>18</v>
      </c>
      <c r="C1677" s="17">
        <f t="shared" si="26"/>
        <v>12</v>
      </c>
      <c r="D1677" s="17"/>
      <c r="E1677" s="17">
        <f t="shared" si="89"/>
        <v>65919</v>
      </c>
      <c r="F1677" s="17">
        <f t="shared" ca="1" si="1"/>
        <v>2015</v>
      </c>
      <c r="G1677" s="17">
        <f t="shared" ca="1" si="90"/>
        <v>10705</v>
      </c>
      <c r="H1677" s="3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5561000</v>
      </c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</row>
    <row r="1678" spans="1:26" ht="13.5" customHeight="1" x14ac:dyDescent="0.3">
      <c r="A1678" s="17" t="s">
        <v>644</v>
      </c>
      <c r="B1678" s="17">
        <f t="shared" si="88"/>
        <v>18</v>
      </c>
      <c r="C1678" s="17">
        <f t="shared" si="26"/>
        <v>13</v>
      </c>
      <c r="D1678" s="17"/>
      <c r="E1678" s="17">
        <f t="shared" si="89"/>
        <v>65919</v>
      </c>
      <c r="F1678" s="17">
        <f t="shared" ca="1" si="1"/>
        <v>2015</v>
      </c>
      <c r="G1678" s="17">
        <f t="shared" ca="1" si="90"/>
        <v>10842</v>
      </c>
      <c r="H1678" s="3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</row>
    <row r="1679" spans="1:26" ht="13.5" customHeight="1" x14ac:dyDescent="0.3">
      <c r="A1679" s="17" t="s">
        <v>644</v>
      </c>
      <c r="B1679" s="17">
        <f t="shared" si="88"/>
        <v>18</v>
      </c>
      <c r="C1679" s="17">
        <f t="shared" si="26"/>
        <v>14</v>
      </c>
      <c r="D1679" s="17"/>
      <c r="E1679" s="17">
        <f t="shared" si="89"/>
        <v>65919</v>
      </c>
      <c r="F1679" s="17">
        <f t="shared" ca="1" si="1"/>
        <v>2015</v>
      </c>
      <c r="G1679" s="17">
        <f t="shared" ca="1" si="90"/>
        <v>10843</v>
      </c>
      <c r="H1679" s="3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</row>
    <row r="1680" spans="1:26" ht="13.5" customHeight="1" x14ac:dyDescent="0.3">
      <c r="A1680" s="17" t="s">
        <v>644</v>
      </c>
      <c r="B1680" s="17">
        <f t="shared" si="88"/>
        <v>18</v>
      </c>
      <c r="C1680" s="17">
        <f t="shared" si="26"/>
        <v>15</v>
      </c>
      <c r="D1680" s="17"/>
      <c r="E1680" s="17">
        <f t="shared" si="89"/>
        <v>65919</v>
      </c>
      <c r="F1680" s="17">
        <f t="shared" ca="1" si="1"/>
        <v>2015</v>
      </c>
      <c r="G1680" s="17">
        <f t="shared" ca="1" si="90"/>
        <v>10931</v>
      </c>
      <c r="H1680" s="3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</row>
    <row r="1681" spans="1:26" ht="13.5" customHeight="1" x14ac:dyDescent="0.3">
      <c r="A1681" s="17" t="s">
        <v>644</v>
      </c>
      <c r="B1681" s="17">
        <f t="shared" si="88"/>
        <v>18</v>
      </c>
      <c r="C1681" s="17">
        <f t="shared" si="26"/>
        <v>16</v>
      </c>
      <c r="D1681" s="17"/>
      <c r="E1681" s="17">
        <f t="shared" si="89"/>
        <v>65919</v>
      </c>
      <c r="F1681" s="17">
        <f t="shared" ca="1" si="1"/>
        <v>2015</v>
      </c>
      <c r="G1681" s="17">
        <f t="shared" ca="1" si="90"/>
        <v>10932</v>
      </c>
      <c r="H1681" s="3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</row>
    <row r="1682" spans="1:26" ht="13.5" customHeight="1" x14ac:dyDescent="0.3">
      <c r="A1682" s="17" t="s">
        <v>644</v>
      </c>
      <c r="B1682" s="17">
        <f t="shared" si="88"/>
        <v>18</v>
      </c>
      <c r="C1682" s="17">
        <f t="shared" si="26"/>
        <v>17</v>
      </c>
      <c r="D1682" s="17"/>
      <c r="E1682" s="17">
        <f t="shared" si="89"/>
        <v>65919</v>
      </c>
      <c r="F1682" s="17">
        <f t="shared" ca="1" si="1"/>
        <v>2015</v>
      </c>
      <c r="G1682" s="17">
        <f t="shared" ca="1" si="90"/>
        <v>10933</v>
      </c>
      <c r="H1682" s="3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0.14899999999999999</v>
      </c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</row>
    <row r="1683" spans="1:26" ht="13.5" customHeight="1" x14ac:dyDescent="0.3">
      <c r="A1683" s="17" t="s">
        <v>644</v>
      </c>
      <c r="B1683" s="17">
        <f t="shared" si="88"/>
        <v>18</v>
      </c>
      <c r="C1683" s="17">
        <f t="shared" si="26"/>
        <v>18</v>
      </c>
      <c r="D1683" s="17"/>
      <c r="E1683" s="17">
        <f t="shared" si="89"/>
        <v>65919</v>
      </c>
      <c r="F1683" s="17">
        <f t="shared" ca="1" si="1"/>
        <v>2015</v>
      </c>
      <c r="G1683" s="17">
        <f t="shared" ca="1" si="90"/>
        <v>10934</v>
      </c>
      <c r="H1683" s="3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7.3400000000000007E-2</v>
      </c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</row>
    <row r="1684" spans="1:26" ht="13.5" customHeight="1" x14ac:dyDescent="0.3">
      <c r="A1684" s="17" t="s">
        <v>644</v>
      </c>
      <c r="B1684" s="17">
        <f t="shared" si="88"/>
        <v>18</v>
      </c>
      <c r="C1684" s="17">
        <f t="shared" si="26"/>
        <v>19</v>
      </c>
      <c r="D1684" s="17"/>
      <c r="E1684" s="17">
        <f t="shared" si="89"/>
        <v>65919</v>
      </c>
      <c r="F1684" s="17">
        <f t="shared" ca="1" si="1"/>
        <v>2015</v>
      </c>
      <c r="G1684" s="17">
        <f t="shared" ca="1" si="90"/>
        <v>10935</v>
      </c>
      <c r="H1684" s="29" t="str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Single Rate</v>
      </c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</row>
    <row r="1685" spans="1:26" ht="13.5" customHeight="1" x14ac:dyDescent="0.3">
      <c r="A1685" s="17" t="s">
        <v>644</v>
      </c>
      <c r="B1685" s="17">
        <f t="shared" si="88"/>
        <v>18</v>
      </c>
      <c r="C1685" s="17">
        <f t="shared" si="26"/>
        <v>20</v>
      </c>
      <c r="D1685" s="17"/>
      <c r="E1685" s="17">
        <f t="shared" si="89"/>
        <v>65919</v>
      </c>
      <c r="F1685" s="17">
        <f t="shared" ca="1" si="1"/>
        <v>2015</v>
      </c>
      <c r="G1685" s="17">
        <f t="shared" ca="1" si="90"/>
        <v>10937</v>
      </c>
      <c r="H1685" s="3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</row>
    <row r="1686" spans="1:26" ht="13.5" customHeight="1" x14ac:dyDescent="0.3">
      <c r="A1686" s="17" t="s">
        <v>644</v>
      </c>
      <c r="B1686" s="17">
        <f t="shared" si="88"/>
        <v>18</v>
      </c>
      <c r="C1686" s="17">
        <f t="shared" si="26"/>
        <v>21</v>
      </c>
      <c r="D1686" s="17"/>
      <c r="E1686" s="17">
        <f t="shared" si="89"/>
        <v>65919</v>
      </c>
      <c r="F1686" s="17">
        <f t="shared" ca="1" si="1"/>
        <v>2015</v>
      </c>
      <c r="G1686" s="17">
        <f t="shared" ca="1" si="90"/>
        <v>10938</v>
      </c>
      <c r="H1686" s="3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</row>
    <row r="1687" spans="1:26" ht="13.5" customHeight="1" x14ac:dyDescent="0.3">
      <c r="A1687" s="17" t="s">
        <v>644</v>
      </c>
      <c r="B1687" s="17">
        <f t="shared" si="88"/>
        <v>18</v>
      </c>
      <c r="C1687" s="17">
        <f t="shared" si="26"/>
        <v>22</v>
      </c>
      <c r="D1687" s="17"/>
      <c r="E1687" s="17">
        <f t="shared" si="89"/>
        <v>65919</v>
      </c>
      <c r="F1687" s="17">
        <f t="shared" ca="1" si="1"/>
        <v>2015</v>
      </c>
      <c r="G1687" s="17">
        <f t="shared" ca="1" si="90"/>
        <v>11007</v>
      </c>
      <c r="H1687" s="29" t="str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Accrued Benefit Formula= 2% x YOS x AFC (Max= 75% AFC)</v>
      </c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</row>
    <row r="1688" spans="1:26" ht="13.5" customHeight="1" x14ac:dyDescent="0.3">
      <c r="A1688" s="17" t="s">
        <v>644</v>
      </c>
      <c r="B1688" s="17">
        <f t="shared" si="88"/>
        <v>18</v>
      </c>
      <c r="C1688" s="17">
        <f t="shared" si="26"/>
        <v>23</v>
      </c>
      <c r="D1688" s="17"/>
      <c r="E1688" s="17">
        <f t="shared" si="89"/>
        <v>65919</v>
      </c>
      <c r="F1688" s="17">
        <f t="shared" ca="1" si="1"/>
        <v>2015</v>
      </c>
      <c r="G1688" s="17">
        <f t="shared" ca="1" si="90"/>
        <v>10941</v>
      </c>
      <c r="H1688" s="29" t="str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COLA</v>
      </c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</row>
    <row r="1689" spans="1:26" ht="13.5" customHeight="1" x14ac:dyDescent="0.3">
      <c r="A1689" s="17" t="s">
        <v>644</v>
      </c>
      <c r="B1689" s="17">
        <f t="shared" si="88"/>
        <v>18</v>
      </c>
      <c r="C1689" s="17">
        <f t="shared" si="26"/>
        <v>24</v>
      </c>
      <c r="D1689" s="17"/>
      <c r="E1689" s="17">
        <f t="shared" si="89"/>
        <v>65919</v>
      </c>
      <c r="F1689" s="17">
        <f t="shared" ca="1" si="1"/>
        <v>2015</v>
      </c>
      <c r="G1689" s="17">
        <f t="shared" ca="1" si="90"/>
        <v>10942</v>
      </c>
      <c r="H1689" s="29" t="str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Percentage</v>
      </c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</row>
    <row r="1690" spans="1:26" ht="13.5" customHeight="1" x14ac:dyDescent="0.3">
      <c r="A1690" s="17" t="s">
        <v>644</v>
      </c>
      <c r="B1690" s="17">
        <f t="shared" si="88"/>
        <v>18</v>
      </c>
      <c r="C1690" s="17">
        <f t="shared" si="26"/>
        <v>25</v>
      </c>
      <c r="D1690" s="17"/>
      <c r="E1690" s="17">
        <f t="shared" si="89"/>
        <v>65919</v>
      </c>
      <c r="F1690" s="17">
        <f t="shared" ca="1" si="1"/>
        <v>2015</v>
      </c>
      <c r="G1690" s="17">
        <f t="shared" ca="1" si="90"/>
        <v>10701</v>
      </c>
      <c r="H1690" s="3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</row>
    <row r="1691" spans="1:26" ht="13.5" customHeight="1" x14ac:dyDescent="0.3">
      <c r="A1691" s="17" t="s">
        <v>644</v>
      </c>
      <c r="B1691" s="17">
        <f t="shared" si="88"/>
        <v>18</v>
      </c>
      <c r="C1691" s="17">
        <f t="shared" si="26"/>
        <v>26</v>
      </c>
      <c r="D1691" s="17"/>
      <c r="E1691" s="17">
        <f t="shared" si="89"/>
        <v>65919</v>
      </c>
      <c r="F1691" s="17">
        <f t="shared" ca="1" si="1"/>
        <v>2015</v>
      </c>
      <c r="G1691" s="17">
        <f t="shared" ca="1" si="90"/>
        <v>10702</v>
      </c>
      <c r="H1691" s="3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</row>
    <row r="1692" spans="1:26" ht="13.5" customHeight="1" x14ac:dyDescent="0.3">
      <c r="A1692" s="17" t="s">
        <v>644</v>
      </c>
      <c r="B1692" s="17">
        <f t="shared" si="88"/>
        <v>18</v>
      </c>
      <c r="C1692" s="17">
        <f t="shared" si="26"/>
        <v>27</v>
      </c>
      <c r="D1692" s="17"/>
      <c r="E1692" s="17">
        <f t="shared" si="89"/>
        <v>65919</v>
      </c>
      <c r="F1692" s="17">
        <f t="shared" ca="1" si="1"/>
        <v>2015</v>
      </c>
      <c r="G1692" s="17">
        <f t="shared" ca="1" si="90"/>
        <v>10943</v>
      </c>
      <c r="H1692" s="31" t="str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Lesser of CPI or 3%</v>
      </c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</row>
    <row r="1693" spans="1:26" ht="13.5" customHeight="1" x14ac:dyDescent="0.3">
      <c r="A1693" s="17" t="s">
        <v>644</v>
      </c>
      <c r="B1693" s="17">
        <f t="shared" si="88"/>
        <v>18</v>
      </c>
      <c r="C1693" s="17">
        <f t="shared" si="26"/>
        <v>28</v>
      </c>
      <c r="D1693" s="17"/>
      <c r="E1693" s="17">
        <f t="shared" si="89"/>
        <v>65919</v>
      </c>
      <c r="F1693" s="17">
        <f t="shared" ca="1" si="1"/>
        <v>2015</v>
      </c>
      <c r="G1693" s="17">
        <f t="shared" ca="1" si="90"/>
        <v>10944</v>
      </c>
      <c r="H1693" s="31" t="str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No</v>
      </c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</row>
    <row r="1694" spans="1:26" ht="13.5" customHeight="1" x14ac:dyDescent="0.3">
      <c r="A1694" s="17" t="s">
        <v>644</v>
      </c>
      <c r="B1694" s="17">
        <f t="shared" si="88"/>
        <v>18</v>
      </c>
      <c r="C1694" s="17">
        <f t="shared" si="26"/>
        <v>29</v>
      </c>
      <c r="D1694" s="17"/>
      <c r="E1694" s="17">
        <f t="shared" si="89"/>
        <v>65919</v>
      </c>
      <c r="F1694" s="17">
        <f t="shared" ca="1" si="1"/>
        <v>2015</v>
      </c>
      <c r="G1694" s="17">
        <f t="shared" ca="1" si="90"/>
        <v>10945</v>
      </c>
      <c r="H1694" s="31" t="str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No</v>
      </c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</row>
    <row r="1695" spans="1:26" ht="13.5" customHeight="1" x14ac:dyDescent="0.3">
      <c r="A1695" s="17" t="s">
        <v>644</v>
      </c>
      <c r="B1695" s="17">
        <f t="shared" si="88"/>
        <v>18</v>
      </c>
      <c r="C1695" s="17">
        <f t="shared" si="26"/>
        <v>30</v>
      </c>
      <c r="D1695" s="17"/>
      <c r="E1695" s="17">
        <f t="shared" si="89"/>
        <v>65919</v>
      </c>
      <c r="F1695" s="17">
        <f t="shared" ca="1" si="1"/>
        <v>2015</v>
      </c>
      <c r="G1695" s="17">
        <f t="shared" ca="1" si="90"/>
        <v>10947</v>
      </c>
      <c r="H1695" s="2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</row>
    <row r="1696" spans="1:26" ht="13.5" customHeight="1" x14ac:dyDescent="0.3">
      <c r="A1696" s="17" t="s">
        <v>644</v>
      </c>
      <c r="B1696" s="17">
        <f t="shared" si="88"/>
        <v>18</v>
      </c>
      <c r="C1696" s="17">
        <f t="shared" si="26"/>
        <v>31</v>
      </c>
      <c r="D1696" s="17"/>
      <c r="E1696" s="17">
        <f t="shared" si="89"/>
        <v>65919</v>
      </c>
      <c r="F1696" s="17">
        <f t="shared" ca="1" si="1"/>
        <v>2015</v>
      </c>
      <c r="G1696" s="17">
        <f t="shared" ca="1" si="90"/>
        <v>10948</v>
      </c>
      <c r="H1696" s="31" t="str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No</v>
      </c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</row>
    <row r="1697" spans="1:26" ht="13.5" customHeight="1" x14ac:dyDescent="0.3">
      <c r="A1697" s="17" t="s">
        <v>644</v>
      </c>
      <c r="B1697" s="17">
        <f t="shared" si="88"/>
        <v>18</v>
      </c>
      <c r="C1697" s="17">
        <f t="shared" si="26"/>
        <v>32</v>
      </c>
      <c r="D1697" s="17"/>
      <c r="E1697" s="17">
        <f t="shared" si="89"/>
        <v>65919</v>
      </c>
      <c r="F1697" s="17">
        <f t="shared" ca="1" si="1"/>
        <v>2015</v>
      </c>
      <c r="G1697" s="17">
        <f t="shared" ca="1" si="90"/>
        <v>10949</v>
      </c>
      <c r="H1697" s="31" t="str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No</v>
      </c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</row>
    <row r="1698" spans="1:26" ht="13.5" customHeight="1" x14ac:dyDescent="0.3">
      <c r="A1698" s="17" t="s">
        <v>644</v>
      </c>
      <c r="B1698" s="17">
        <f t="shared" si="88"/>
        <v>18</v>
      </c>
      <c r="C1698" s="17">
        <f t="shared" si="26"/>
        <v>33</v>
      </c>
      <c r="D1698" s="17"/>
      <c r="E1698" s="17">
        <f t="shared" si="89"/>
        <v>65919</v>
      </c>
      <c r="F1698" s="17">
        <f t="shared" ca="1" si="1"/>
        <v>2015</v>
      </c>
      <c r="G1698" s="17">
        <f t="shared" ca="1" si="90"/>
        <v>10951</v>
      </c>
      <c r="H1698" s="31" t="str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No</v>
      </c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</row>
    <row r="1699" spans="1:26" ht="13.5" customHeight="1" x14ac:dyDescent="0.3">
      <c r="A1699" s="17" t="s">
        <v>644</v>
      </c>
      <c r="B1699" s="17">
        <f t="shared" si="88"/>
        <v>18</v>
      </c>
      <c r="C1699" s="17">
        <f t="shared" si="26"/>
        <v>34</v>
      </c>
      <c r="D1699" s="17"/>
      <c r="E1699" s="17">
        <f t="shared" si="89"/>
        <v>65919</v>
      </c>
      <c r="F1699" s="17">
        <f t="shared" ca="1" si="1"/>
        <v>2015</v>
      </c>
      <c r="G1699" s="17">
        <f t="shared" ca="1" si="90"/>
        <v>10950</v>
      </c>
      <c r="H1699" s="31" t="str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No</v>
      </c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</row>
    <row r="1700" spans="1:26" ht="13.5" customHeight="1" x14ac:dyDescent="0.3">
      <c r="A1700" s="17" t="s">
        <v>644</v>
      </c>
      <c r="B1700" s="17">
        <f t="shared" si="88"/>
        <v>18</v>
      </c>
      <c r="C1700" s="17">
        <f t="shared" si="26"/>
        <v>35</v>
      </c>
      <c r="D1700" s="17"/>
      <c r="E1700" s="17">
        <f t="shared" si="89"/>
        <v>65919</v>
      </c>
      <c r="F1700" s="17">
        <f t="shared" ca="1" si="1"/>
        <v>2015</v>
      </c>
      <c r="G1700" s="17">
        <f t="shared" ca="1" si="90"/>
        <v>10954</v>
      </c>
      <c r="H1700" s="3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0.03</v>
      </c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</row>
    <row r="1701" spans="1:26" ht="13.5" customHeight="1" x14ac:dyDescent="0.3">
      <c r="A1701" s="17" t="s">
        <v>644</v>
      </c>
      <c r="B1701" s="17">
        <f t="shared" si="88"/>
        <v>18</v>
      </c>
      <c r="C1701" s="17">
        <f t="shared" si="26"/>
        <v>36</v>
      </c>
      <c r="D1701" s="17"/>
      <c r="E1701" s="17">
        <f t="shared" si="89"/>
        <v>65919</v>
      </c>
      <c r="F1701" s="17">
        <f t="shared" ca="1" si="1"/>
        <v>2015</v>
      </c>
      <c r="G1701" s="17">
        <f t="shared" ca="1" si="90"/>
        <v>10955</v>
      </c>
      <c r="H1701" s="3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7.6999999999999999E-2</v>
      </c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</row>
    <row r="1702" spans="1:26" ht="13.5" customHeight="1" x14ac:dyDescent="0.3">
      <c r="A1702" s="17" t="s">
        <v>644</v>
      </c>
      <c r="B1702" s="17">
        <f t="shared" si="88"/>
        <v>18</v>
      </c>
      <c r="C1702" s="17">
        <f t="shared" si="26"/>
        <v>37</v>
      </c>
      <c r="D1702" s="17"/>
      <c r="E1702" s="17">
        <f t="shared" si="89"/>
        <v>65919</v>
      </c>
      <c r="F1702" s="17">
        <f t="shared" ca="1" si="1"/>
        <v>2015</v>
      </c>
      <c r="G1702" s="17">
        <f t="shared" ca="1" si="90"/>
        <v>10956</v>
      </c>
      <c r="H1702" s="3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3.5624999999999996E-4</v>
      </c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</row>
    <row r="1703" spans="1:26" ht="13.5" customHeight="1" x14ac:dyDescent="0.3">
      <c r="A1703" s="17" t="s">
        <v>644</v>
      </c>
      <c r="B1703" s="17">
        <f t="shared" si="88"/>
        <v>18</v>
      </c>
      <c r="C1703" s="17">
        <f t="shared" si="26"/>
        <v>38</v>
      </c>
      <c r="D1703" s="17"/>
      <c r="E1703" s="17">
        <f t="shared" si="89"/>
        <v>65919</v>
      </c>
      <c r="F1703" s="17">
        <f t="shared" ca="1" si="1"/>
        <v>2015</v>
      </c>
      <c r="G1703" s="17">
        <f t="shared" ca="1" si="90"/>
        <v>10959</v>
      </c>
      <c r="H1703" s="3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3.7499999999999999E-2</v>
      </c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</row>
    <row r="1704" spans="1:26" ht="13.5" customHeight="1" x14ac:dyDescent="0.3">
      <c r="A1704" s="17" t="s">
        <v>644</v>
      </c>
      <c r="B1704" s="17">
        <f t="shared" si="88"/>
        <v>18</v>
      </c>
      <c r="C1704" s="17">
        <f t="shared" si="26"/>
        <v>39</v>
      </c>
      <c r="D1704" s="17"/>
      <c r="E1704" s="17">
        <f t="shared" si="89"/>
        <v>65919</v>
      </c>
      <c r="F1704" s="17">
        <f t="shared" ca="1" si="1"/>
        <v>2015</v>
      </c>
      <c r="G1704" s="17">
        <f t="shared" ca="1" si="90"/>
        <v>10962</v>
      </c>
      <c r="H1704" s="29" t="str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CAFR Pg 143</v>
      </c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</row>
    <row r="1705" spans="1:26" ht="13.5" customHeight="1" x14ac:dyDescent="0.3">
      <c r="A1705" s="17" t="s">
        <v>644</v>
      </c>
      <c r="B1705" s="17">
        <f t="shared" si="88"/>
        <v>18</v>
      </c>
      <c r="C1705" s="17">
        <f t="shared" si="26"/>
        <v>40</v>
      </c>
      <c r="D1705" s="17"/>
      <c r="E1705" s="17">
        <f t="shared" si="89"/>
        <v>65919</v>
      </c>
      <c r="F1705" s="17">
        <f t="shared" ca="1" si="1"/>
        <v>2015</v>
      </c>
      <c r="G1705" s="17">
        <f t="shared" ca="1" si="90"/>
        <v>10964</v>
      </c>
      <c r="H1705" s="29" t="str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CAFR Pg 140</v>
      </c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</row>
    <row r="1706" spans="1:26" ht="13.5" customHeight="1" x14ac:dyDescent="0.3">
      <c r="A1706" s="17" t="s">
        <v>644</v>
      </c>
      <c r="B1706" s="17">
        <f t="shared" si="88"/>
        <v>18</v>
      </c>
      <c r="C1706" s="17">
        <f t="shared" si="26"/>
        <v>41</v>
      </c>
      <c r="D1706" s="17"/>
      <c r="E1706" s="17">
        <f t="shared" si="89"/>
        <v>65919</v>
      </c>
      <c r="F1706" s="17">
        <f t="shared" ca="1" si="1"/>
        <v>2015</v>
      </c>
      <c r="G1706" s="17">
        <f t="shared" ca="1" si="90"/>
        <v>10967</v>
      </c>
      <c r="H1706" s="29" t="str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RP-2000 Combined Healthy Table</v>
      </c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</row>
    <row r="1707" spans="1:26" ht="13.5" customHeight="1" x14ac:dyDescent="0.3">
      <c r="A1707" s="17" t="s">
        <v>644</v>
      </c>
      <c r="B1707" s="17">
        <f t="shared" si="88"/>
        <v>18</v>
      </c>
      <c r="C1707" s="17">
        <f t="shared" si="26"/>
        <v>42</v>
      </c>
      <c r="D1707" s="17"/>
      <c r="E1707" s="17">
        <f t="shared" si="89"/>
        <v>65919</v>
      </c>
      <c r="F1707" s="17">
        <f t="shared" ca="1" si="1"/>
        <v>2015</v>
      </c>
      <c r="G1707" s="17">
        <f t="shared" ca="1" si="90"/>
        <v>10968</v>
      </c>
      <c r="H1707" s="2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2000</v>
      </c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</row>
    <row r="1708" spans="1:26" ht="13.5" customHeight="1" x14ac:dyDescent="0.3">
      <c r="A1708" s="17" t="s">
        <v>644</v>
      </c>
      <c r="B1708" s="17">
        <f t="shared" si="88"/>
        <v>18</v>
      </c>
      <c r="C1708" s="17">
        <f t="shared" si="26"/>
        <v>43</v>
      </c>
      <c r="D1708" s="17"/>
      <c r="E1708" s="17">
        <f t="shared" si="89"/>
        <v>65919</v>
      </c>
      <c r="F1708" s="17">
        <f t="shared" ca="1" si="1"/>
        <v>2015</v>
      </c>
      <c r="G1708" s="17">
        <f t="shared" ca="1" si="90"/>
        <v>10969</v>
      </c>
      <c r="H1708" s="2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Scale BB</v>
      </c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</row>
    <row r="1709" spans="1:26" ht="13.5" customHeight="1" x14ac:dyDescent="0.3">
      <c r="A1709" s="17" t="s">
        <v>644</v>
      </c>
      <c r="B1709" s="17">
        <f t="shared" si="88"/>
        <v>18</v>
      </c>
      <c r="C1709" s="17">
        <f t="shared" si="26"/>
        <v>44</v>
      </c>
      <c r="D1709" s="17"/>
      <c r="E1709" s="17">
        <f t="shared" si="89"/>
        <v>65919</v>
      </c>
      <c r="F1709" s="17">
        <f t="shared" ca="1" si="1"/>
        <v>2015</v>
      </c>
      <c r="G1709" s="17">
        <f t="shared" ca="1" si="90"/>
        <v>10970</v>
      </c>
      <c r="H1709" s="2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</row>
    <row r="1710" spans="1:26" ht="13.5" customHeight="1" x14ac:dyDescent="0.3">
      <c r="A1710" s="17" t="s">
        <v>644</v>
      </c>
      <c r="B1710" s="17">
        <f t="shared" si="88"/>
        <v>18</v>
      </c>
      <c r="C1710" s="17">
        <f t="shared" si="26"/>
        <v>45</v>
      </c>
      <c r="D1710" s="17"/>
      <c r="E1710" s="17">
        <f t="shared" si="89"/>
        <v>65919</v>
      </c>
      <c r="F1710" s="17">
        <f t="shared" ca="1" si="1"/>
        <v>2015</v>
      </c>
      <c r="G1710" s="17">
        <f t="shared" ca="1" si="90"/>
        <v>10971</v>
      </c>
      <c r="H1710" s="2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</row>
    <row r="1711" spans="1:26" ht="13.5" customHeight="1" x14ac:dyDescent="0.3">
      <c r="A1711" s="17" t="s">
        <v>644</v>
      </c>
      <c r="B1711" s="17">
        <f t="shared" si="88"/>
        <v>18</v>
      </c>
      <c r="C1711" s="17">
        <f t="shared" si="26"/>
        <v>46</v>
      </c>
      <c r="D1711" s="17"/>
      <c r="E1711" s="17">
        <f t="shared" si="89"/>
        <v>65919</v>
      </c>
      <c r="F1711" s="17">
        <f t="shared" ca="1" si="1"/>
        <v>2015</v>
      </c>
      <c r="G1711" s="17">
        <f t="shared" ca="1" si="90"/>
        <v>10972</v>
      </c>
      <c r="H1711" s="29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N/A</v>
      </c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</row>
    <row r="1712" spans="1:26" ht="13.5" customHeight="1" x14ac:dyDescent="0.3">
      <c r="A1712" s="17" t="s">
        <v>644</v>
      </c>
      <c r="B1712" s="17">
        <f t="shared" si="88"/>
        <v>18</v>
      </c>
      <c r="C1712" s="17">
        <f t="shared" si="26"/>
        <v>47</v>
      </c>
      <c r="D1712" s="17"/>
      <c r="E1712" s="17">
        <f t="shared" si="89"/>
        <v>65919</v>
      </c>
      <c r="F1712" s="17">
        <f t="shared" ca="1" si="1"/>
        <v>2015</v>
      </c>
      <c r="G1712" s="17">
        <f t="shared" ca="1" si="90"/>
        <v>10973</v>
      </c>
      <c r="H1712" s="29" t="str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N/A</v>
      </c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</row>
    <row r="1713" spans="1:26" ht="13.5" customHeight="1" x14ac:dyDescent="0.3">
      <c r="A1713" s="17" t="s">
        <v>644</v>
      </c>
      <c r="B1713" s="17">
        <f t="shared" si="88"/>
        <v>18</v>
      </c>
      <c r="C1713" s="17">
        <f t="shared" si="26"/>
        <v>48</v>
      </c>
      <c r="D1713" s="17"/>
      <c r="E1713" s="17">
        <f t="shared" si="89"/>
        <v>65919</v>
      </c>
      <c r="F1713" s="17">
        <f t="shared" ca="1" si="1"/>
        <v>2015</v>
      </c>
      <c r="G1713" s="17">
        <f t="shared" ca="1" si="90"/>
        <v>10975</v>
      </c>
      <c r="H1713" s="29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 xml:space="preserve">Aggregate   </v>
      </c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</row>
    <row r="1714" spans="1:26" ht="13.5" customHeight="1" x14ac:dyDescent="0.3">
      <c r="A1714" s="17" t="s">
        <v>644</v>
      </c>
      <c r="B1714" s="17">
        <f t="shared" si="88"/>
        <v>18</v>
      </c>
      <c r="C1714" s="17">
        <f t="shared" si="26"/>
        <v>49</v>
      </c>
      <c r="D1714" s="17"/>
      <c r="E1714" s="17">
        <f t="shared" si="89"/>
        <v>65919</v>
      </c>
      <c r="F1714" s="17">
        <f t="shared" ca="1" si="1"/>
        <v>2015</v>
      </c>
      <c r="G1714" s="17">
        <f t="shared" ca="1" si="90"/>
        <v>10976</v>
      </c>
      <c r="H1714" s="3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7.6999999999999999E-2</v>
      </c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</row>
    <row r="1715" spans="1:26" ht="13.5" customHeight="1" x14ac:dyDescent="0.3">
      <c r="A1715" s="17" t="s">
        <v>644</v>
      </c>
      <c r="B1715" s="17">
        <f t="shared" si="88"/>
        <v>18</v>
      </c>
      <c r="C1715" s="17">
        <f t="shared" si="26"/>
        <v>50</v>
      </c>
      <c r="D1715" s="17"/>
      <c r="E1715" s="17">
        <f t="shared" si="89"/>
        <v>65919</v>
      </c>
      <c r="F1715" s="17">
        <f t="shared" ca="1" si="1"/>
        <v>2015</v>
      </c>
      <c r="G1715" s="17">
        <f t="shared" ca="1" si="90"/>
        <v>10977</v>
      </c>
      <c r="H1715" s="31" t="str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No</v>
      </c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</row>
    <row r="1716" spans="1:26" ht="13.5" customHeight="1" x14ac:dyDescent="0.3">
      <c r="A1716" s="17" t="s">
        <v>644</v>
      </c>
      <c r="B1716" s="17">
        <f t="shared" si="88"/>
        <v>18</v>
      </c>
      <c r="C1716" s="17">
        <f t="shared" si="26"/>
        <v>51</v>
      </c>
      <c r="D1716" s="17"/>
      <c r="E1716" s="17">
        <f t="shared" si="89"/>
        <v>65919</v>
      </c>
      <c r="F1716" s="17">
        <f t="shared" ca="1" si="1"/>
        <v>2015</v>
      </c>
      <c r="G1716" s="17">
        <f t="shared" ca="1" si="90"/>
        <v>10978</v>
      </c>
      <c r="H1716" s="3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7.6999999999999999E-2</v>
      </c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</row>
    <row r="1717" spans="1:26" ht="13.5" customHeight="1" x14ac:dyDescent="0.3">
      <c r="A1717" s="17" t="s">
        <v>644</v>
      </c>
      <c r="B1717" s="17">
        <f t="shared" si="88"/>
        <v>18</v>
      </c>
      <c r="C1717" s="17">
        <f t="shared" si="26"/>
        <v>52</v>
      </c>
      <c r="D1717" s="17"/>
      <c r="E1717" s="17">
        <f t="shared" si="89"/>
        <v>65919</v>
      </c>
      <c r="F1717" s="17">
        <f t="shared" ca="1" si="1"/>
        <v>2015</v>
      </c>
      <c r="G1717" s="17">
        <f t="shared" ca="1" si="90"/>
        <v>10979</v>
      </c>
      <c r="H1717" s="29" t="str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8 Years</v>
      </c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</row>
    <row r="1718" spans="1:26" ht="13.5" customHeight="1" x14ac:dyDescent="0.3">
      <c r="A1718" s="17" t="s">
        <v>644</v>
      </c>
      <c r="B1718" s="17">
        <f t="shared" si="88"/>
        <v>18</v>
      </c>
      <c r="C1718" s="17">
        <f t="shared" si="26"/>
        <v>53</v>
      </c>
      <c r="D1718" s="17"/>
      <c r="E1718" s="17">
        <f t="shared" si="89"/>
        <v>65919</v>
      </c>
      <c r="F1718" s="17">
        <f t="shared" ca="1" si="1"/>
        <v>2015</v>
      </c>
      <c r="G1718" s="17">
        <f t="shared" ca="1" si="90"/>
        <v>10980</v>
      </c>
      <c r="H1718" s="3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</row>
    <row r="1719" spans="1:26" ht="13.5" customHeight="1" x14ac:dyDescent="0.3">
      <c r="A1719" s="17" t="s">
        <v>644</v>
      </c>
      <c r="B1719" s="17">
        <f t="shared" si="88"/>
        <v>18</v>
      </c>
      <c r="C1719" s="17">
        <f t="shared" si="26"/>
        <v>54</v>
      </c>
      <c r="D1719" s="17"/>
      <c r="E1719" s="17">
        <f t="shared" si="89"/>
        <v>65919</v>
      </c>
      <c r="F1719" s="17">
        <f t="shared" ca="1" si="1"/>
        <v>2015</v>
      </c>
      <c r="G1719" s="17">
        <f t="shared" ca="1" si="90"/>
        <v>10981</v>
      </c>
      <c r="H1719" s="3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</row>
    <row r="1720" spans="1:26" ht="13.5" customHeight="1" x14ac:dyDescent="0.3">
      <c r="A1720" s="17" t="s">
        <v>644</v>
      </c>
      <c r="B1720" s="17">
        <f t="shared" si="88"/>
        <v>18</v>
      </c>
      <c r="C1720" s="17">
        <f t="shared" si="26"/>
        <v>55</v>
      </c>
      <c r="D1720" s="17"/>
      <c r="E1720" s="17">
        <f t="shared" si="89"/>
        <v>65919</v>
      </c>
      <c r="F1720" s="17">
        <f t="shared" ca="1" si="1"/>
        <v>2015</v>
      </c>
      <c r="G1720" s="17">
        <f t="shared" ca="1" si="90"/>
        <v>10706</v>
      </c>
      <c r="H1720" s="3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3.8260747443957007E-4</v>
      </c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</row>
    <row r="1721" spans="1:26" ht="13.5" customHeight="1" x14ac:dyDescent="0.3">
      <c r="A1721" s="17" t="s">
        <v>644</v>
      </c>
      <c r="B1721" s="17">
        <f t="shared" si="88"/>
        <v>18</v>
      </c>
      <c r="C1721" s="17">
        <f t="shared" si="26"/>
        <v>56</v>
      </c>
      <c r="D1721" s="17"/>
      <c r="E1721" s="17">
        <f t="shared" si="89"/>
        <v>65919</v>
      </c>
      <c r="F1721" s="17">
        <f t="shared" ca="1" si="1"/>
        <v>2015</v>
      </c>
      <c r="G1721" s="17">
        <f t="shared" ca="1" si="90"/>
        <v>10983</v>
      </c>
      <c r="H1721" s="30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No</v>
      </c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</row>
    <row r="1722" spans="1:26" ht="13.5" customHeight="1" x14ac:dyDescent="0.3">
      <c r="A1722" s="17" t="s">
        <v>644</v>
      </c>
      <c r="B1722" s="17">
        <f t="shared" si="88"/>
        <v>18</v>
      </c>
      <c r="C1722" s="17">
        <f t="shared" si="26"/>
        <v>57</v>
      </c>
      <c r="D1722" s="17"/>
      <c r="E1722" s="17">
        <f t="shared" si="89"/>
        <v>65919</v>
      </c>
      <c r="F1722" s="17">
        <f t="shared" ca="1" si="1"/>
        <v>2015</v>
      </c>
      <c r="G1722" s="17">
        <f t="shared" ca="1" si="90"/>
        <v>10989</v>
      </c>
      <c r="H1722" s="3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1067000000</v>
      </c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</row>
    <row r="1723" spans="1:26" ht="13.5" customHeight="1" x14ac:dyDescent="0.3">
      <c r="A1723" s="17" t="s">
        <v>644</v>
      </c>
      <c r="B1723" s="17">
        <f t="shared" si="88"/>
        <v>18</v>
      </c>
      <c r="C1723" s="17">
        <f t="shared" si="26"/>
        <v>58</v>
      </c>
      <c r="D1723" s="17"/>
      <c r="E1723" s="17">
        <f t="shared" si="89"/>
        <v>65919</v>
      </c>
      <c r="F1723" s="17">
        <f t="shared" ca="1" si="1"/>
        <v>2015</v>
      </c>
      <c r="G1723" s="17">
        <f t="shared" ca="1" si="90"/>
        <v>10990</v>
      </c>
      <c r="H1723" s="30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1093000000</v>
      </c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</row>
    <row r="1724" spans="1:26" ht="13.5" customHeight="1" x14ac:dyDescent="0.3">
      <c r="A1724" s="17" t="s">
        <v>644</v>
      </c>
      <c r="B1724" s="17">
        <f t="shared" si="88"/>
        <v>18</v>
      </c>
      <c r="C1724" s="17">
        <f t="shared" si="26"/>
        <v>59</v>
      </c>
      <c r="D1724" s="17"/>
      <c r="E1724" s="17">
        <f t="shared" si="89"/>
        <v>65919</v>
      </c>
      <c r="F1724" s="17">
        <f t="shared" ca="1" si="1"/>
        <v>2015</v>
      </c>
      <c r="G1724" s="17">
        <f t="shared" ca="1" si="90"/>
        <v>10991</v>
      </c>
      <c r="H1724" s="3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26000000</v>
      </c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</row>
    <row r="1725" spans="1:26" ht="13.5" customHeight="1" x14ac:dyDescent="0.3">
      <c r="A1725" s="17" t="s">
        <v>644</v>
      </c>
      <c r="B1725" s="17">
        <f t="shared" si="88"/>
        <v>18</v>
      </c>
      <c r="C1725" s="17">
        <f t="shared" si="26"/>
        <v>60</v>
      </c>
      <c r="D1725" s="17"/>
      <c r="E1725" s="17">
        <f t="shared" si="89"/>
        <v>65919</v>
      </c>
      <c r="F1725" s="17">
        <f t="shared" ca="1" si="1"/>
        <v>2015</v>
      </c>
      <c r="G1725" s="17">
        <f t="shared" ca="1" si="90"/>
        <v>10992</v>
      </c>
      <c r="H1725" s="3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0.98</v>
      </c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</row>
    <row r="1726" spans="1:26" ht="13.5" customHeight="1" x14ac:dyDescent="0.3">
      <c r="A1726" s="17" t="s">
        <v>644</v>
      </c>
      <c r="B1726" s="17">
        <f t="shared" si="88"/>
        <v>18</v>
      </c>
      <c r="C1726" s="17">
        <f t="shared" si="26"/>
        <v>61</v>
      </c>
      <c r="D1726" s="17"/>
      <c r="E1726" s="17">
        <f t="shared" si="89"/>
        <v>65919</v>
      </c>
      <c r="F1726" s="17">
        <f t="shared" ca="1" si="1"/>
        <v>2015</v>
      </c>
      <c r="G1726" s="17">
        <f t="shared" ca="1" si="90"/>
        <v>10993</v>
      </c>
      <c r="H1726" s="30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</row>
    <row r="1727" spans="1:26" ht="13.5" customHeight="1" x14ac:dyDescent="0.3">
      <c r="A1727" s="17" t="s">
        <v>644</v>
      </c>
      <c r="B1727" s="17">
        <f t="shared" si="88"/>
        <v>18</v>
      </c>
      <c r="C1727" s="17">
        <f t="shared" si="26"/>
        <v>62</v>
      </c>
      <c r="D1727" s="17"/>
      <c r="E1727" s="17">
        <f t="shared" si="89"/>
        <v>65919</v>
      </c>
      <c r="F1727" s="17">
        <f t="shared" ca="1" si="1"/>
        <v>2015</v>
      </c>
      <c r="G1727" s="17">
        <f t="shared" ca="1" si="90"/>
        <v>10801</v>
      </c>
      <c r="H1727" s="30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23300000</v>
      </c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</row>
    <row r="1728" spans="1:26" ht="13.5" customHeight="1" x14ac:dyDescent="0.3">
      <c r="A1728" s="17" t="s">
        <v>644</v>
      </c>
      <c r="B1728" s="17">
        <f t="shared" si="88"/>
        <v>18</v>
      </c>
      <c r="C1728" s="17">
        <f t="shared" si="26"/>
        <v>63</v>
      </c>
      <c r="D1728" s="17"/>
      <c r="E1728" s="17">
        <f t="shared" si="89"/>
        <v>65919</v>
      </c>
      <c r="F1728" s="17">
        <f t="shared" ca="1" si="1"/>
        <v>2015</v>
      </c>
      <c r="G1728" s="17">
        <f t="shared" ca="1" si="90"/>
        <v>10802</v>
      </c>
      <c r="H1728" s="30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</row>
    <row r="1729" spans="1:26" ht="13.5" customHeight="1" x14ac:dyDescent="0.3">
      <c r="A1729" s="17" t="s">
        <v>644</v>
      </c>
      <c r="B1729" s="17">
        <f t="shared" si="88"/>
        <v>18</v>
      </c>
      <c r="C1729" s="17">
        <f t="shared" si="26"/>
        <v>64</v>
      </c>
      <c r="D1729" s="17"/>
      <c r="E1729" s="17">
        <f t="shared" si="89"/>
        <v>65919</v>
      </c>
      <c r="F1729" s="17">
        <f t="shared" ca="1" si="1"/>
        <v>2015</v>
      </c>
      <c r="G1729" s="17">
        <f t="shared" ca="1" si="90"/>
        <v>10803</v>
      </c>
      <c r="H1729" s="3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</row>
    <row r="1730" spans="1:26" ht="13.5" customHeight="1" x14ac:dyDescent="0.3">
      <c r="A1730" s="17" t="s">
        <v>644</v>
      </c>
      <c r="B1730" s="17">
        <f t="shared" si="88"/>
        <v>18</v>
      </c>
      <c r="C1730" s="17">
        <f t="shared" si="26"/>
        <v>65</v>
      </c>
      <c r="D1730" s="17"/>
      <c r="E1730" s="17">
        <f t="shared" si="89"/>
        <v>65919</v>
      </c>
      <c r="F1730" s="17">
        <f t="shared" ca="1" si="1"/>
        <v>2015</v>
      </c>
      <c r="G1730" s="17">
        <f t="shared" ca="1" si="90"/>
        <v>10804</v>
      </c>
      <c r="H1730" s="3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</row>
    <row r="1731" spans="1:26" ht="13.5" customHeight="1" x14ac:dyDescent="0.3">
      <c r="A1731" s="17" t="s">
        <v>644</v>
      </c>
      <c r="B1731" s="17">
        <f t="shared" si="88"/>
        <v>18</v>
      </c>
      <c r="C1731" s="17">
        <f t="shared" si="26"/>
        <v>66</v>
      </c>
      <c r="D1731" s="17"/>
      <c r="E1731" s="17">
        <f t="shared" si="89"/>
        <v>65919</v>
      </c>
      <c r="F1731" s="17">
        <f t="shared" ca="1" si="1"/>
        <v>2015</v>
      </c>
      <c r="G1731" s="17">
        <f t="shared" ca="1" si="90"/>
        <v>10805</v>
      </c>
      <c r="H1731" s="3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</row>
    <row r="1732" spans="1:26" ht="13.5" customHeight="1" x14ac:dyDescent="0.3">
      <c r="A1732" s="17" t="s">
        <v>644</v>
      </c>
      <c r="B1732" s="17">
        <f t="shared" si="88"/>
        <v>18</v>
      </c>
      <c r="C1732" s="17">
        <f t="shared" si="26"/>
        <v>67</v>
      </c>
      <c r="D1732" s="17"/>
      <c r="E1732" s="17">
        <f t="shared" ref="E1732:E1795" si="91">plan_id</f>
        <v>65919</v>
      </c>
      <c r="F1732" s="17">
        <f t="shared" ca="1" si="1"/>
        <v>2015</v>
      </c>
      <c r="G1732" s="17">
        <f t="shared" ref="G1732:G1795" ca="1" si="92">VLOOKUP(INDIRECT(CHAR(39)&amp;$A1732&amp;CHAR(39)&amp;"!r2c"&amp;$C1732,0),variables,2,0)</f>
        <v>10806</v>
      </c>
      <c r="H1732" s="30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0</v>
      </c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</row>
    <row r="1733" spans="1:26" ht="13.5" customHeight="1" x14ac:dyDescent="0.3">
      <c r="A1733" s="17" t="s">
        <v>644</v>
      </c>
      <c r="B1733" s="17">
        <f t="shared" ref="B1733:B1758" si="93">B1732</f>
        <v>18</v>
      </c>
      <c r="C1733" s="17">
        <f t="shared" si="26"/>
        <v>68</v>
      </c>
      <c r="D1733" s="17"/>
      <c r="E1733" s="17">
        <f t="shared" si="91"/>
        <v>65919</v>
      </c>
      <c r="F1733" s="17">
        <f t="shared" ca="1" si="1"/>
        <v>2015</v>
      </c>
      <c r="G1733" s="17">
        <f t="shared" ca="1" si="92"/>
        <v>10807</v>
      </c>
      <c r="H1733" s="30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</row>
    <row r="1734" spans="1:26" ht="13.5" customHeight="1" x14ac:dyDescent="0.3">
      <c r="A1734" s="17" t="s">
        <v>644</v>
      </c>
      <c r="B1734" s="17">
        <f t="shared" si="93"/>
        <v>18</v>
      </c>
      <c r="C1734" s="17">
        <f t="shared" si="26"/>
        <v>69</v>
      </c>
      <c r="D1734" s="17"/>
      <c r="E1734" s="17">
        <f t="shared" si="91"/>
        <v>65919</v>
      </c>
      <c r="F1734" s="17">
        <f t="shared" ca="1" si="1"/>
        <v>2015</v>
      </c>
      <c r="G1734" s="17">
        <f t="shared" ca="1" si="92"/>
        <v>10808</v>
      </c>
      <c r="H1734" s="3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</row>
    <row r="1735" spans="1:26" ht="13.5" customHeight="1" x14ac:dyDescent="0.3">
      <c r="A1735" s="17" t="s">
        <v>644</v>
      </c>
      <c r="B1735" s="17">
        <f t="shared" si="93"/>
        <v>18</v>
      </c>
      <c r="C1735" s="17">
        <f t="shared" si="26"/>
        <v>70</v>
      </c>
      <c r="D1735" s="17"/>
      <c r="E1735" s="17">
        <f t="shared" si="91"/>
        <v>65919</v>
      </c>
      <c r="F1735" s="17">
        <f t="shared" ca="1" si="1"/>
        <v>2015</v>
      </c>
      <c r="G1735" s="17">
        <f t="shared" ca="1" si="92"/>
        <v>10809</v>
      </c>
      <c r="H1735" s="30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</row>
    <row r="1736" spans="1:26" ht="13.5" customHeight="1" x14ac:dyDescent="0.3">
      <c r="A1736" s="17" t="s">
        <v>644</v>
      </c>
      <c r="B1736" s="17">
        <f t="shared" si="93"/>
        <v>18</v>
      </c>
      <c r="C1736" s="17">
        <f t="shared" si="26"/>
        <v>71</v>
      </c>
      <c r="D1736" s="17"/>
      <c r="E1736" s="17">
        <f t="shared" si="91"/>
        <v>65919</v>
      </c>
      <c r="F1736" s="17">
        <f t="shared" ca="1" si="1"/>
        <v>2015</v>
      </c>
      <c r="G1736" s="17">
        <f t="shared" ca="1" si="92"/>
        <v>10810</v>
      </c>
      <c r="H1736" s="30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</row>
    <row r="1737" spans="1:26" ht="13.5" customHeight="1" x14ac:dyDescent="0.3">
      <c r="A1737" s="17" t="s">
        <v>644</v>
      </c>
      <c r="B1737" s="17">
        <f t="shared" si="93"/>
        <v>18</v>
      </c>
      <c r="C1737" s="17">
        <f t="shared" si="26"/>
        <v>72</v>
      </c>
      <c r="D1737" s="17"/>
      <c r="E1737" s="17">
        <f t="shared" si="91"/>
        <v>65919</v>
      </c>
      <c r="F1737" s="17">
        <f t="shared" ca="1" si="1"/>
        <v>2015</v>
      </c>
      <c r="G1737" s="17">
        <f t="shared" ca="1" si="92"/>
        <v>10811</v>
      </c>
      <c r="H1737" s="30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</row>
    <row r="1738" spans="1:26" ht="13.5" customHeight="1" x14ac:dyDescent="0.3">
      <c r="A1738" s="17" t="s">
        <v>644</v>
      </c>
      <c r="B1738" s="17">
        <f t="shared" si="93"/>
        <v>18</v>
      </c>
      <c r="C1738" s="17">
        <f t="shared" si="26"/>
        <v>73</v>
      </c>
      <c r="D1738" s="17"/>
      <c r="E1738" s="17">
        <f t="shared" si="91"/>
        <v>65919</v>
      </c>
      <c r="F1738" s="17">
        <f t="shared" ca="1" si="1"/>
        <v>2015</v>
      </c>
      <c r="G1738" s="17">
        <f t="shared" ca="1" si="92"/>
        <v>10812</v>
      </c>
      <c r="H1738" s="30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</row>
    <row r="1739" spans="1:26" ht="13.5" customHeight="1" x14ac:dyDescent="0.3">
      <c r="A1739" s="17" t="s">
        <v>644</v>
      </c>
      <c r="B1739" s="17">
        <f t="shared" si="93"/>
        <v>18</v>
      </c>
      <c r="C1739" s="17">
        <f t="shared" si="26"/>
        <v>74</v>
      </c>
      <c r="D1739" s="17"/>
      <c r="E1739" s="17">
        <f t="shared" si="91"/>
        <v>65919</v>
      </c>
      <c r="F1739" s="17">
        <f t="shared" ca="1" si="1"/>
        <v>2015</v>
      </c>
      <c r="G1739" s="17">
        <f t="shared" ca="1" si="92"/>
        <v>10813</v>
      </c>
      <c r="H1739" s="3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</row>
    <row r="1740" spans="1:26" ht="13.5" customHeight="1" x14ac:dyDescent="0.3">
      <c r="A1740" s="17" t="s">
        <v>644</v>
      </c>
      <c r="B1740" s="17">
        <f t="shared" si="93"/>
        <v>18</v>
      </c>
      <c r="C1740" s="17">
        <f t="shared" si="26"/>
        <v>75</v>
      </c>
      <c r="D1740" s="17"/>
      <c r="E1740" s="17">
        <f t="shared" si="91"/>
        <v>65919</v>
      </c>
      <c r="F1740" s="17">
        <f t="shared" ca="1" si="1"/>
        <v>2015</v>
      </c>
      <c r="G1740" s="17">
        <f t="shared" ca="1" si="92"/>
        <v>10814</v>
      </c>
      <c r="H1740" s="3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</v>
      </c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</row>
    <row r="1741" spans="1:26" ht="13.5" customHeight="1" x14ac:dyDescent="0.3">
      <c r="A1741" s="17" t="s">
        <v>644</v>
      </c>
      <c r="B1741" s="17">
        <f t="shared" si="93"/>
        <v>18</v>
      </c>
      <c r="C1741" s="17">
        <f t="shared" si="26"/>
        <v>76</v>
      </c>
      <c r="D1741" s="17"/>
      <c r="E1741" s="17">
        <f t="shared" si="91"/>
        <v>65919</v>
      </c>
      <c r="F1741" s="17">
        <f t="shared" ca="1" si="1"/>
        <v>2015</v>
      </c>
      <c r="G1741" s="17">
        <f t="shared" ca="1" si="92"/>
        <v>10815</v>
      </c>
      <c r="H1741" s="3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-5700000</v>
      </c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</row>
    <row r="1742" spans="1:26" ht="13.5" customHeight="1" x14ac:dyDescent="0.3">
      <c r="A1742" s="17" t="s">
        <v>644</v>
      </c>
      <c r="B1742" s="17">
        <f t="shared" si="93"/>
        <v>18</v>
      </c>
      <c r="C1742" s="17">
        <f t="shared" si="26"/>
        <v>77</v>
      </c>
      <c r="D1742" s="17"/>
      <c r="E1742" s="17">
        <f t="shared" si="91"/>
        <v>65919</v>
      </c>
      <c r="F1742" s="17">
        <f t="shared" ca="1" si="1"/>
        <v>2015</v>
      </c>
      <c r="G1742" s="17">
        <f t="shared" ca="1" si="92"/>
        <v>10816</v>
      </c>
      <c r="H1742" s="30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-7200000</v>
      </c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</row>
    <row r="1743" spans="1:26" ht="13.5" customHeight="1" x14ac:dyDescent="0.3">
      <c r="A1743" s="17" t="s">
        <v>644</v>
      </c>
      <c r="B1743" s="17">
        <f t="shared" si="93"/>
        <v>18</v>
      </c>
      <c r="C1743" s="17">
        <f t="shared" si="26"/>
        <v>78</v>
      </c>
      <c r="D1743" s="17"/>
      <c r="E1743" s="17">
        <f t="shared" si="91"/>
        <v>65919</v>
      </c>
      <c r="F1743" s="17">
        <f t="shared" ca="1" si="1"/>
        <v>2015</v>
      </c>
      <c r="G1743" s="17">
        <f t="shared" ca="1" si="92"/>
        <v>10817</v>
      </c>
      <c r="H1743" s="30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</row>
    <row r="1744" spans="1:26" ht="13.5" customHeight="1" x14ac:dyDescent="0.3">
      <c r="A1744" s="17" t="s">
        <v>644</v>
      </c>
      <c r="B1744" s="17">
        <f t="shared" si="93"/>
        <v>18</v>
      </c>
      <c r="C1744" s="17">
        <f t="shared" si="26"/>
        <v>79</v>
      </c>
      <c r="D1744" s="17"/>
      <c r="E1744" s="17">
        <f t="shared" si="91"/>
        <v>65919</v>
      </c>
      <c r="F1744" s="17">
        <f t="shared" ca="1" si="1"/>
        <v>2015</v>
      </c>
      <c r="G1744" s="17">
        <f t="shared" ca="1" si="92"/>
        <v>10818</v>
      </c>
      <c r="H1744" s="30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</row>
    <row r="1745" spans="1:26" ht="13.5" customHeight="1" x14ac:dyDescent="0.3">
      <c r="A1745" s="17" t="s">
        <v>644</v>
      </c>
      <c r="B1745" s="17">
        <f t="shared" si="93"/>
        <v>18</v>
      </c>
      <c r="C1745" s="17">
        <f t="shared" si="26"/>
        <v>80</v>
      </c>
      <c r="D1745" s="17"/>
      <c r="E1745" s="17">
        <f t="shared" si="91"/>
        <v>65919</v>
      </c>
      <c r="F1745" s="17">
        <f t="shared" ca="1" si="1"/>
        <v>2015</v>
      </c>
      <c r="G1745" s="17">
        <f t="shared" ca="1" si="92"/>
        <v>10819</v>
      </c>
      <c r="H1745" s="30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500000</v>
      </c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</row>
    <row r="1746" spans="1:26" ht="13.5" customHeight="1" x14ac:dyDescent="0.3">
      <c r="A1746" s="17" t="s">
        <v>644</v>
      </c>
      <c r="B1746" s="17">
        <f t="shared" si="93"/>
        <v>18</v>
      </c>
      <c r="C1746" s="17">
        <f t="shared" si="26"/>
        <v>81</v>
      </c>
      <c r="D1746" s="17"/>
      <c r="E1746" s="17">
        <f t="shared" si="91"/>
        <v>65919</v>
      </c>
      <c r="F1746" s="17">
        <f t="shared" ca="1" si="1"/>
        <v>2015</v>
      </c>
      <c r="G1746" s="17">
        <f t="shared" ca="1" si="92"/>
        <v>10820</v>
      </c>
      <c r="H1746" s="3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</row>
    <row r="1747" spans="1:26" ht="13.5" customHeight="1" x14ac:dyDescent="0.3">
      <c r="A1747" s="17" t="s">
        <v>644</v>
      </c>
      <c r="B1747" s="17">
        <f t="shared" si="93"/>
        <v>18</v>
      </c>
      <c r="C1747" s="17">
        <f t="shared" si="26"/>
        <v>82</v>
      </c>
      <c r="D1747" s="17"/>
      <c r="E1747" s="17">
        <f t="shared" si="91"/>
        <v>65919</v>
      </c>
      <c r="F1747" s="17">
        <f t="shared" ca="1" si="1"/>
        <v>2015</v>
      </c>
      <c r="G1747" s="17">
        <f t="shared" ca="1" si="92"/>
        <v>10821</v>
      </c>
      <c r="H1747" s="30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</row>
    <row r="1748" spans="1:26" ht="13.5" customHeight="1" x14ac:dyDescent="0.3">
      <c r="A1748" s="17" t="s">
        <v>644</v>
      </c>
      <c r="B1748" s="17">
        <f t="shared" si="93"/>
        <v>18</v>
      </c>
      <c r="C1748" s="17">
        <f t="shared" si="26"/>
        <v>83</v>
      </c>
      <c r="D1748" s="17"/>
      <c r="E1748" s="17">
        <f t="shared" si="91"/>
        <v>65919</v>
      </c>
      <c r="F1748" s="17">
        <f t="shared" ca="1" si="1"/>
        <v>2015</v>
      </c>
      <c r="G1748" s="17">
        <f t="shared" ca="1" si="92"/>
        <v>10822</v>
      </c>
      <c r="H1748" s="3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</row>
    <row r="1749" spans="1:26" ht="13.5" customHeight="1" x14ac:dyDescent="0.3">
      <c r="A1749" s="17" t="s">
        <v>644</v>
      </c>
      <c r="B1749" s="17">
        <f t="shared" si="93"/>
        <v>18</v>
      </c>
      <c r="C1749" s="17">
        <f t="shared" si="26"/>
        <v>84</v>
      </c>
      <c r="D1749" s="17"/>
      <c r="E1749" s="17">
        <f t="shared" si="91"/>
        <v>65919</v>
      </c>
      <c r="F1749" s="17">
        <f t="shared" ca="1" si="1"/>
        <v>2015</v>
      </c>
      <c r="G1749" s="17">
        <f t="shared" ca="1" si="92"/>
        <v>10829</v>
      </c>
      <c r="H1749" s="3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</row>
    <row r="1750" spans="1:26" ht="13.5" customHeight="1" x14ac:dyDescent="0.3">
      <c r="A1750" s="17" t="s">
        <v>644</v>
      </c>
      <c r="B1750" s="17">
        <f t="shared" si="93"/>
        <v>18</v>
      </c>
      <c r="C1750" s="17">
        <f t="shared" si="26"/>
        <v>85</v>
      </c>
      <c r="D1750" s="17"/>
      <c r="E1750" s="17">
        <f t="shared" si="91"/>
        <v>65919</v>
      </c>
      <c r="F1750" s="17">
        <f t="shared" ca="1" si="1"/>
        <v>2015</v>
      </c>
      <c r="G1750" s="17">
        <f t="shared" ca="1" si="92"/>
        <v>10823</v>
      </c>
      <c r="H1750" s="30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10900000</v>
      </c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</row>
    <row r="1751" spans="1:26" ht="13.5" customHeight="1" x14ac:dyDescent="0.3">
      <c r="A1751" s="17" t="s">
        <v>644</v>
      </c>
      <c r="B1751" s="17">
        <f t="shared" si="93"/>
        <v>18</v>
      </c>
      <c r="C1751" s="17">
        <f t="shared" si="26"/>
        <v>86</v>
      </c>
      <c r="D1751" s="17"/>
      <c r="E1751" s="17">
        <f t="shared" si="91"/>
        <v>65919</v>
      </c>
      <c r="F1751" s="17">
        <f t="shared" ca="1" si="1"/>
        <v>2015</v>
      </c>
      <c r="G1751" s="17">
        <f t="shared" ca="1" si="92"/>
        <v>10798</v>
      </c>
      <c r="H1751" s="30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</row>
    <row r="1752" spans="1:26" ht="13.5" customHeight="1" x14ac:dyDescent="0.3">
      <c r="A1752" s="17" t="s">
        <v>644</v>
      </c>
      <c r="B1752" s="17">
        <f t="shared" si="93"/>
        <v>18</v>
      </c>
      <c r="C1752" s="17">
        <f t="shared" si="26"/>
        <v>87</v>
      </c>
      <c r="D1752" s="17"/>
      <c r="E1752" s="17">
        <f t="shared" si="91"/>
        <v>65919</v>
      </c>
      <c r="F1752" s="17">
        <f t="shared" ca="1" si="1"/>
        <v>2015</v>
      </c>
      <c r="G1752" s="17">
        <f t="shared" ca="1" si="92"/>
        <v>10799</v>
      </c>
      <c r="H1752" s="30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0</v>
      </c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</row>
    <row r="1753" spans="1:26" ht="13.5" customHeight="1" x14ac:dyDescent="0.3">
      <c r="A1753" s="17" t="s">
        <v>644</v>
      </c>
      <c r="B1753" s="17">
        <f t="shared" si="93"/>
        <v>18</v>
      </c>
      <c r="C1753" s="17">
        <f t="shared" si="26"/>
        <v>88</v>
      </c>
      <c r="D1753" s="17"/>
      <c r="E1753" s="17">
        <f t="shared" si="91"/>
        <v>65919</v>
      </c>
      <c r="F1753" s="17">
        <f t="shared" ca="1" si="1"/>
        <v>2015</v>
      </c>
      <c r="G1753" s="17">
        <f t="shared" ca="1" si="92"/>
        <v>10800</v>
      </c>
      <c r="H1753" s="3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</v>
      </c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</row>
    <row r="1754" spans="1:26" ht="13.5" customHeight="1" x14ac:dyDescent="0.3">
      <c r="A1754" s="17" t="s">
        <v>644</v>
      </c>
      <c r="B1754" s="17">
        <f t="shared" si="93"/>
        <v>18</v>
      </c>
      <c r="C1754" s="17">
        <f t="shared" si="26"/>
        <v>89</v>
      </c>
      <c r="D1754" s="17"/>
      <c r="E1754" s="17">
        <f t="shared" si="91"/>
        <v>65919</v>
      </c>
      <c r="F1754" s="17">
        <f t="shared" ca="1" si="1"/>
        <v>2015</v>
      </c>
      <c r="G1754" s="17">
        <f t="shared" ca="1" si="92"/>
        <v>10824</v>
      </c>
      <c r="H1754" s="30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</row>
    <row r="1755" spans="1:26" ht="13.5" customHeight="1" x14ac:dyDescent="0.3">
      <c r="A1755" s="17" t="s">
        <v>644</v>
      </c>
      <c r="B1755" s="17">
        <f t="shared" si="93"/>
        <v>18</v>
      </c>
      <c r="C1755" s="17">
        <f t="shared" si="26"/>
        <v>90</v>
      </c>
      <c r="D1755" s="17"/>
      <c r="E1755" s="17">
        <f t="shared" si="91"/>
        <v>65919</v>
      </c>
      <c r="F1755" s="17">
        <f t="shared" ca="1" si="1"/>
        <v>2015</v>
      </c>
      <c r="G1755" s="17">
        <f t="shared" ca="1" si="92"/>
        <v>10825</v>
      </c>
      <c r="H1755" s="3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</v>
      </c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</row>
    <row r="1756" spans="1:26" ht="13.5" customHeight="1" x14ac:dyDescent="0.3">
      <c r="A1756" s="17" t="s">
        <v>644</v>
      </c>
      <c r="B1756" s="17">
        <f t="shared" si="93"/>
        <v>18</v>
      </c>
      <c r="C1756" s="17">
        <f t="shared" si="26"/>
        <v>91</v>
      </c>
      <c r="D1756" s="17"/>
      <c r="E1756" s="17">
        <f t="shared" si="91"/>
        <v>65919</v>
      </c>
      <c r="F1756" s="17">
        <f t="shared" ca="1" si="1"/>
        <v>2015</v>
      </c>
      <c r="G1756" s="17">
        <f t="shared" ca="1" si="92"/>
        <v>10826</v>
      </c>
      <c r="H1756" s="30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</row>
    <row r="1757" spans="1:26" ht="13.5" customHeight="1" x14ac:dyDescent="0.3">
      <c r="A1757" s="17" t="s">
        <v>644</v>
      </c>
      <c r="B1757" s="17">
        <f t="shared" si="93"/>
        <v>18</v>
      </c>
      <c r="C1757" s="17">
        <f t="shared" si="26"/>
        <v>92</v>
      </c>
      <c r="D1757" s="17"/>
      <c r="E1757" s="17">
        <f t="shared" si="91"/>
        <v>65919</v>
      </c>
      <c r="F1757" s="17">
        <f t="shared" ca="1" si="1"/>
        <v>2015</v>
      </c>
      <c r="G1757" s="17">
        <f t="shared" ca="1" si="92"/>
        <v>10828</v>
      </c>
      <c r="H1757" s="3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</row>
    <row r="1758" spans="1:26" ht="13.5" customHeight="1" x14ac:dyDescent="0.3">
      <c r="A1758" s="17" t="s">
        <v>644</v>
      </c>
      <c r="B1758" s="17">
        <f t="shared" si="93"/>
        <v>18</v>
      </c>
      <c r="C1758" s="17">
        <f t="shared" si="26"/>
        <v>93</v>
      </c>
      <c r="D1758" s="17"/>
      <c r="E1758" s="17">
        <f t="shared" si="91"/>
        <v>65919</v>
      </c>
      <c r="F1758" s="17">
        <f t="shared" ca="1" si="1"/>
        <v>2015</v>
      </c>
      <c r="G1758" s="17">
        <f t="shared" ca="1" si="92"/>
        <v>10827</v>
      </c>
      <c r="H1758" s="2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</row>
    <row r="1759" spans="1:26" ht="13.5" customHeight="1" x14ac:dyDescent="0.3">
      <c r="A1759" s="17" t="s">
        <v>644</v>
      </c>
      <c r="B1759" s="17">
        <f t="shared" ref="B1759:B1823" si="94">B1694+1</f>
        <v>19</v>
      </c>
      <c r="C1759" s="17">
        <f t="shared" si="26"/>
        <v>3</v>
      </c>
      <c r="D1759" s="17"/>
      <c r="E1759" s="17">
        <f t="shared" si="91"/>
        <v>65919</v>
      </c>
      <c r="F1759" s="17">
        <f t="shared" ca="1" si="1"/>
        <v>2016</v>
      </c>
      <c r="G1759" s="17">
        <f t="shared" ca="1" si="92"/>
        <v>10703</v>
      </c>
      <c r="H1759" s="2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2016</v>
      </c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</row>
    <row r="1760" spans="1:26" ht="13.5" customHeight="1" x14ac:dyDescent="0.3">
      <c r="A1760" s="17" t="s">
        <v>644</v>
      </c>
      <c r="B1760" s="17">
        <f t="shared" si="94"/>
        <v>19</v>
      </c>
      <c r="C1760" s="17">
        <f t="shared" si="26"/>
        <v>4</v>
      </c>
      <c r="D1760" s="17"/>
      <c r="E1760" s="17">
        <f t="shared" si="91"/>
        <v>65919</v>
      </c>
      <c r="F1760" s="17">
        <f t="shared" ca="1" si="1"/>
        <v>2016</v>
      </c>
      <c r="G1760" s="17">
        <f t="shared" ca="1" si="92"/>
        <v>10845</v>
      </c>
      <c r="H1760" s="2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The Office Of The State Actuary</v>
      </c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</row>
    <row r="1761" spans="1:26" ht="13.5" customHeight="1" x14ac:dyDescent="0.3">
      <c r="A1761" s="17" t="s">
        <v>644</v>
      </c>
      <c r="B1761" s="17">
        <f t="shared" si="94"/>
        <v>19</v>
      </c>
      <c r="C1761" s="17">
        <f t="shared" si="26"/>
        <v>5</v>
      </c>
      <c r="D1761" s="17"/>
      <c r="E1761" s="17">
        <f t="shared" si="91"/>
        <v>65919</v>
      </c>
      <c r="F1761" s="17">
        <f t="shared" ca="1" si="1"/>
        <v>2016</v>
      </c>
      <c r="G1761" s="17">
        <f t="shared" ca="1" si="92"/>
        <v>10924</v>
      </c>
      <c r="H1761" s="3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0.32539999999999997</v>
      </c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</row>
    <row r="1762" spans="1:26" ht="13.5" customHeight="1" x14ac:dyDescent="0.3">
      <c r="A1762" s="17" t="s">
        <v>644</v>
      </c>
      <c r="B1762" s="17">
        <f t="shared" si="94"/>
        <v>19</v>
      </c>
      <c r="C1762" s="17">
        <f t="shared" si="26"/>
        <v>6</v>
      </c>
      <c r="D1762" s="17"/>
      <c r="E1762" s="17">
        <f t="shared" si="91"/>
        <v>65919</v>
      </c>
      <c r="F1762" s="17">
        <f t="shared" ca="1" si="1"/>
        <v>2016</v>
      </c>
      <c r="G1762" s="17">
        <f t="shared" ca="1" si="92"/>
        <v>10925</v>
      </c>
      <c r="H1762" s="3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0.24859999999999999</v>
      </c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</row>
    <row r="1763" spans="1:26" ht="13.5" customHeight="1" x14ac:dyDescent="0.3">
      <c r="A1763" s="17" t="s">
        <v>644</v>
      </c>
      <c r="B1763" s="17">
        <f t="shared" si="94"/>
        <v>19</v>
      </c>
      <c r="C1763" s="17">
        <f t="shared" si="26"/>
        <v>7</v>
      </c>
      <c r="D1763" s="17"/>
      <c r="E1763" s="17">
        <f t="shared" si="91"/>
        <v>65919</v>
      </c>
      <c r="F1763" s="17">
        <f t="shared" ca="1" si="1"/>
        <v>2016</v>
      </c>
      <c r="G1763" s="17">
        <f t="shared" ca="1" si="92"/>
        <v>10926</v>
      </c>
      <c r="H1763" s="3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7.6799999999999993E-2</v>
      </c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</row>
    <row r="1764" spans="1:26" ht="13.5" customHeight="1" x14ac:dyDescent="0.3">
      <c r="A1764" s="17" t="s">
        <v>644</v>
      </c>
      <c r="B1764" s="17">
        <f t="shared" si="94"/>
        <v>19</v>
      </c>
      <c r="C1764" s="17">
        <f t="shared" si="26"/>
        <v>8</v>
      </c>
      <c r="D1764" s="17"/>
      <c r="E1764" s="17">
        <f t="shared" si="91"/>
        <v>65919</v>
      </c>
      <c r="F1764" s="17">
        <f t="shared" ca="1" si="1"/>
        <v>2016</v>
      </c>
      <c r="G1764" s="17">
        <f t="shared" ca="1" si="92"/>
        <v>10704</v>
      </c>
      <c r="H1764" s="3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</v>
      </c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</row>
    <row r="1765" spans="1:26" ht="13.5" customHeight="1" x14ac:dyDescent="0.3">
      <c r="A1765" s="17" t="s">
        <v>644</v>
      </c>
      <c r="B1765" s="17">
        <f t="shared" si="94"/>
        <v>19</v>
      </c>
      <c r="C1765" s="17">
        <f t="shared" si="26"/>
        <v>9</v>
      </c>
      <c r="D1765" s="17"/>
      <c r="E1765" s="17">
        <f t="shared" si="91"/>
        <v>65919</v>
      </c>
      <c r="F1765" s="17">
        <f t="shared" ca="1" si="1"/>
        <v>2016</v>
      </c>
      <c r="G1765" s="17">
        <f t="shared" ca="1" si="92"/>
        <v>10928</v>
      </c>
      <c r="H1765" s="31" t="str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N/A</v>
      </c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</row>
    <row r="1766" spans="1:26" ht="13.5" customHeight="1" x14ac:dyDescent="0.3">
      <c r="A1766" s="17" t="s">
        <v>644</v>
      </c>
      <c r="B1766" s="17">
        <f t="shared" si="94"/>
        <v>19</v>
      </c>
      <c r="C1766" s="17">
        <f t="shared" si="26"/>
        <v>10</v>
      </c>
      <c r="D1766" s="17"/>
      <c r="E1766" s="17">
        <f t="shared" si="91"/>
        <v>65919</v>
      </c>
      <c r="F1766" s="17">
        <f t="shared" ca="1" si="1"/>
        <v>2016</v>
      </c>
      <c r="G1766" s="17">
        <f t="shared" ca="1" si="92"/>
        <v>10929</v>
      </c>
      <c r="H1766" s="31" t="str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N/A</v>
      </c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</row>
    <row r="1767" spans="1:26" ht="13.5" customHeight="1" x14ac:dyDescent="0.3">
      <c r="A1767" s="17" t="s">
        <v>644</v>
      </c>
      <c r="B1767" s="17">
        <f t="shared" si="94"/>
        <v>19</v>
      </c>
      <c r="C1767" s="17">
        <f t="shared" si="26"/>
        <v>11</v>
      </c>
      <c r="D1767" s="17"/>
      <c r="E1767" s="17">
        <f t="shared" si="91"/>
        <v>65919</v>
      </c>
      <c r="F1767" s="17">
        <f t="shared" ca="1" si="1"/>
        <v>2016</v>
      </c>
      <c r="G1767" s="17">
        <f t="shared" ca="1" si="92"/>
        <v>10930</v>
      </c>
      <c r="H1767" s="3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</row>
    <row r="1768" spans="1:26" ht="13.5" customHeight="1" x14ac:dyDescent="0.3">
      <c r="A1768" s="17" t="s">
        <v>644</v>
      </c>
      <c r="B1768" s="17">
        <f t="shared" si="94"/>
        <v>19</v>
      </c>
      <c r="C1768" s="17">
        <f t="shared" si="26"/>
        <v>12</v>
      </c>
      <c r="D1768" s="17"/>
      <c r="E1768" s="17">
        <f t="shared" si="91"/>
        <v>65919</v>
      </c>
      <c r="F1768" s="17">
        <f t="shared" ca="1" si="1"/>
        <v>2016</v>
      </c>
      <c r="G1768" s="17">
        <f t="shared" ca="1" si="92"/>
        <v>10705</v>
      </c>
      <c r="H1768" s="3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5895000</v>
      </c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</row>
    <row r="1769" spans="1:26" ht="13.5" customHeight="1" x14ac:dyDescent="0.3">
      <c r="A1769" s="17" t="s">
        <v>644</v>
      </c>
      <c r="B1769" s="17">
        <f t="shared" si="94"/>
        <v>19</v>
      </c>
      <c r="C1769" s="17">
        <f t="shared" si="26"/>
        <v>13</v>
      </c>
      <c r="D1769" s="17"/>
      <c r="E1769" s="17">
        <f t="shared" si="91"/>
        <v>65919</v>
      </c>
      <c r="F1769" s="17">
        <f t="shared" ca="1" si="1"/>
        <v>2016</v>
      </c>
      <c r="G1769" s="17">
        <f t="shared" ca="1" si="92"/>
        <v>10842</v>
      </c>
      <c r="H1769" s="3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</row>
    <row r="1770" spans="1:26" ht="13.5" customHeight="1" x14ac:dyDescent="0.3">
      <c r="A1770" s="17" t="s">
        <v>644</v>
      </c>
      <c r="B1770" s="17">
        <f t="shared" si="94"/>
        <v>19</v>
      </c>
      <c r="C1770" s="17">
        <f t="shared" si="26"/>
        <v>14</v>
      </c>
      <c r="D1770" s="17"/>
      <c r="E1770" s="17">
        <f t="shared" si="91"/>
        <v>65919</v>
      </c>
      <c r="F1770" s="17">
        <f t="shared" ca="1" si="1"/>
        <v>2016</v>
      </c>
      <c r="G1770" s="17">
        <f t="shared" ca="1" si="92"/>
        <v>10843</v>
      </c>
      <c r="H1770" s="3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</row>
    <row r="1771" spans="1:26" ht="13.5" customHeight="1" x14ac:dyDescent="0.3">
      <c r="A1771" s="17" t="s">
        <v>644</v>
      </c>
      <c r="B1771" s="17">
        <f t="shared" si="94"/>
        <v>19</v>
      </c>
      <c r="C1771" s="17">
        <f t="shared" si="26"/>
        <v>15</v>
      </c>
      <c r="D1771" s="17"/>
      <c r="E1771" s="17">
        <f t="shared" si="91"/>
        <v>65919</v>
      </c>
      <c r="F1771" s="17">
        <f t="shared" ca="1" si="1"/>
        <v>2016</v>
      </c>
      <c r="G1771" s="17">
        <f t="shared" ca="1" si="92"/>
        <v>10931</v>
      </c>
      <c r="H1771" s="3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</row>
    <row r="1772" spans="1:26" ht="13.5" customHeight="1" x14ac:dyDescent="0.3">
      <c r="A1772" s="17" t="s">
        <v>644</v>
      </c>
      <c r="B1772" s="17">
        <f t="shared" si="94"/>
        <v>19</v>
      </c>
      <c r="C1772" s="17">
        <f t="shared" si="26"/>
        <v>16</v>
      </c>
      <c r="D1772" s="17"/>
      <c r="E1772" s="17">
        <f t="shared" si="91"/>
        <v>65919</v>
      </c>
      <c r="F1772" s="17">
        <f t="shared" ca="1" si="1"/>
        <v>2016</v>
      </c>
      <c r="G1772" s="17">
        <f t="shared" ca="1" si="92"/>
        <v>10932</v>
      </c>
      <c r="H1772" s="3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</row>
    <row r="1773" spans="1:26" ht="13.5" customHeight="1" x14ac:dyDescent="0.3">
      <c r="A1773" s="17" t="s">
        <v>644</v>
      </c>
      <c r="B1773" s="17">
        <f t="shared" si="94"/>
        <v>19</v>
      </c>
      <c r="C1773" s="17">
        <f t="shared" si="26"/>
        <v>17</v>
      </c>
      <c r="D1773" s="17"/>
      <c r="E1773" s="17">
        <f t="shared" si="91"/>
        <v>65919</v>
      </c>
      <c r="F1773" s="17">
        <f t="shared" ca="1" si="1"/>
        <v>2016</v>
      </c>
      <c r="G1773" s="17">
        <f t="shared" ca="1" si="92"/>
        <v>10933</v>
      </c>
      <c r="H1773" s="3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0.24859999999999999</v>
      </c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</row>
    <row r="1774" spans="1:26" ht="13.5" customHeight="1" x14ac:dyDescent="0.3">
      <c r="A1774" s="17" t="s">
        <v>644</v>
      </c>
      <c r="B1774" s="17">
        <f t="shared" si="94"/>
        <v>19</v>
      </c>
      <c r="C1774" s="17">
        <f t="shared" si="26"/>
        <v>18</v>
      </c>
      <c r="D1774" s="17"/>
      <c r="E1774" s="17">
        <f t="shared" si="91"/>
        <v>65919</v>
      </c>
      <c r="F1774" s="17">
        <f t="shared" ca="1" si="1"/>
        <v>2016</v>
      </c>
      <c r="G1774" s="17">
        <f t="shared" ca="1" si="92"/>
        <v>10934</v>
      </c>
      <c r="H1774" s="3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7.6799999999999993E-2</v>
      </c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</row>
    <row r="1775" spans="1:26" ht="13.5" customHeight="1" x14ac:dyDescent="0.3">
      <c r="A1775" s="17" t="s">
        <v>644</v>
      </c>
      <c r="B1775" s="17">
        <f t="shared" si="94"/>
        <v>19</v>
      </c>
      <c r="C1775" s="17">
        <f t="shared" si="26"/>
        <v>19</v>
      </c>
      <c r="D1775" s="17"/>
      <c r="E1775" s="17">
        <f t="shared" si="91"/>
        <v>65919</v>
      </c>
      <c r="F1775" s="17">
        <f t="shared" ca="1" si="1"/>
        <v>2016</v>
      </c>
      <c r="G1775" s="17">
        <f t="shared" ca="1" si="92"/>
        <v>10935</v>
      </c>
      <c r="H1775" s="29" t="str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Single Rate</v>
      </c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</row>
    <row r="1776" spans="1:26" ht="13.5" customHeight="1" x14ac:dyDescent="0.3">
      <c r="A1776" s="17" t="s">
        <v>644</v>
      </c>
      <c r="B1776" s="17">
        <f t="shared" si="94"/>
        <v>19</v>
      </c>
      <c r="C1776" s="17">
        <f t="shared" si="26"/>
        <v>20</v>
      </c>
      <c r="D1776" s="17"/>
      <c r="E1776" s="17">
        <f t="shared" si="91"/>
        <v>65919</v>
      </c>
      <c r="F1776" s="17">
        <f t="shared" ca="1" si="1"/>
        <v>2016</v>
      </c>
      <c r="G1776" s="17">
        <f t="shared" ca="1" si="92"/>
        <v>10937</v>
      </c>
      <c r="H1776" s="3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</row>
    <row r="1777" spans="1:26" ht="13.5" customHeight="1" x14ac:dyDescent="0.3">
      <c r="A1777" s="17" t="s">
        <v>644</v>
      </c>
      <c r="B1777" s="17">
        <f t="shared" si="94"/>
        <v>19</v>
      </c>
      <c r="C1777" s="17">
        <f t="shared" si="26"/>
        <v>21</v>
      </c>
      <c r="D1777" s="17"/>
      <c r="E1777" s="17">
        <f t="shared" si="91"/>
        <v>65919</v>
      </c>
      <c r="F1777" s="17">
        <f t="shared" ca="1" si="1"/>
        <v>2016</v>
      </c>
      <c r="G1777" s="17">
        <f t="shared" ca="1" si="92"/>
        <v>10938</v>
      </c>
      <c r="H1777" s="3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</row>
    <row r="1778" spans="1:26" ht="13.5" customHeight="1" x14ac:dyDescent="0.3">
      <c r="A1778" s="17" t="s">
        <v>644</v>
      </c>
      <c r="B1778" s="17">
        <f t="shared" si="94"/>
        <v>19</v>
      </c>
      <c r="C1778" s="17">
        <f t="shared" si="26"/>
        <v>22</v>
      </c>
      <c r="D1778" s="17"/>
      <c r="E1778" s="17">
        <f t="shared" si="91"/>
        <v>65919</v>
      </c>
      <c r="F1778" s="17">
        <f t="shared" ca="1" si="1"/>
        <v>2016</v>
      </c>
      <c r="G1778" s="17">
        <f t="shared" ca="1" si="92"/>
        <v>11007</v>
      </c>
      <c r="H1778" s="29" t="str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Accrued Benefit Formula= 2% x YOS x AFC (Max= 75% AFC)</v>
      </c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</row>
    <row r="1779" spans="1:26" ht="13.5" customHeight="1" x14ac:dyDescent="0.3">
      <c r="A1779" s="17" t="s">
        <v>644</v>
      </c>
      <c r="B1779" s="17">
        <f t="shared" si="94"/>
        <v>19</v>
      </c>
      <c r="C1779" s="17">
        <f t="shared" si="26"/>
        <v>23</v>
      </c>
      <c r="D1779" s="17"/>
      <c r="E1779" s="17">
        <f t="shared" si="91"/>
        <v>65919</v>
      </c>
      <c r="F1779" s="17">
        <f t="shared" ca="1" si="1"/>
        <v>2016</v>
      </c>
      <c r="G1779" s="17">
        <f t="shared" ca="1" si="92"/>
        <v>10941</v>
      </c>
      <c r="H1779" s="29" t="str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COLA</v>
      </c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</row>
    <row r="1780" spans="1:26" ht="13.5" customHeight="1" x14ac:dyDescent="0.3">
      <c r="A1780" s="17" t="s">
        <v>644</v>
      </c>
      <c r="B1780" s="17">
        <f t="shared" si="94"/>
        <v>19</v>
      </c>
      <c r="C1780" s="17">
        <f t="shared" si="26"/>
        <v>24</v>
      </c>
      <c r="D1780" s="17"/>
      <c r="E1780" s="17">
        <f t="shared" si="91"/>
        <v>65919</v>
      </c>
      <c r="F1780" s="17">
        <f t="shared" ca="1" si="1"/>
        <v>2016</v>
      </c>
      <c r="G1780" s="17">
        <f t="shared" ca="1" si="92"/>
        <v>10942</v>
      </c>
      <c r="H1780" s="29" t="str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Percentage</v>
      </c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</row>
    <row r="1781" spans="1:26" ht="13.5" customHeight="1" x14ac:dyDescent="0.3">
      <c r="A1781" s="17" t="s">
        <v>644</v>
      </c>
      <c r="B1781" s="17">
        <f t="shared" si="94"/>
        <v>19</v>
      </c>
      <c r="C1781" s="17">
        <f t="shared" si="26"/>
        <v>25</v>
      </c>
      <c r="D1781" s="17"/>
      <c r="E1781" s="17">
        <f t="shared" si="91"/>
        <v>65919</v>
      </c>
      <c r="F1781" s="17">
        <f t="shared" ca="1" si="1"/>
        <v>2016</v>
      </c>
      <c r="G1781" s="17">
        <f t="shared" ca="1" si="92"/>
        <v>10701</v>
      </c>
      <c r="H1781" s="3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</row>
    <row r="1782" spans="1:26" ht="13.5" customHeight="1" x14ac:dyDescent="0.3">
      <c r="A1782" s="17" t="s">
        <v>644</v>
      </c>
      <c r="B1782" s="17">
        <f t="shared" si="94"/>
        <v>19</v>
      </c>
      <c r="C1782" s="17">
        <f t="shared" si="26"/>
        <v>26</v>
      </c>
      <c r="D1782" s="17"/>
      <c r="E1782" s="17">
        <f t="shared" si="91"/>
        <v>65919</v>
      </c>
      <c r="F1782" s="17">
        <f t="shared" ca="1" si="1"/>
        <v>2016</v>
      </c>
      <c r="G1782" s="17">
        <f t="shared" ca="1" si="92"/>
        <v>10702</v>
      </c>
      <c r="H1782" s="3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</row>
    <row r="1783" spans="1:26" ht="13.5" customHeight="1" x14ac:dyDescent="0.3">
      <c r="A1783" s="17" t="s">
        <v>644</v>
      </c>
      <c r="B1783" s="17">
        <f t="shared" si="94"/>
        <v>19</v>
      </c>
      <c r="C1783" s="17">
        <f t="shared" si="26"/>
        <v>27</v>
      </c>
      <c r="D1783" s="17"/>
      <c r="E1783" s="17">
        <f t="shared" si="91"/>
        <v>65919</v>
      </c>
      <c r="F1783" s="17">
        <f t="shared" ca="1" si="1"/>
        <v>2016</v>
      </c>
      <c r="G1783" s="17">
        <f t="shared" ca="1" si="92"/>
        <v>10943</v>
      </c>
      <c r="H1783" s="31" t="str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Lesser of CPI or 3%</v>
      </c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</row>
    <row r="1784" spans="1:26" ht="13.5" customHeight="1" x14ac:dyDescent="0.3">
      <c r="A1784" s="17" t="s">
        <v>644</v>
      </c>
      <c r="B1784" s="17">
        <f t="shared" si="94"/>
        <v>19</v>
      </c>
      <c r="C1784" s="17">
        <f t="shared" si="26"/>
        <v>28</v>
      </c>
      <c r="D1784" s="17"/>
      <c r="E1784" s="17">
        <f t="shared" si="91"/>
        <v>65919</v>
      </c>
      <c r="F1784" s="17">
        <f t="shared" ca="1" si="1"/>
        <v>2016</v>
      </c>
      <c r="G1784" s="17">
        <f t="shared" ca="1" si="92"/>
        <v>10944</v>
      </c>
      <c r="H1784" s="31" t="str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No</v>
      </c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</row>
    <row r="1785" spans="1:26" ht="13.5" customHeight="1" x14ac:dyDescent="0.3">
      <c r="A1785" s="17" t="s">
        <v>644</v>
      </c>
      <c r="B1785" s="17">
        <f t="shared" si="94"/>
        <v>19</v>
      </c>
      <c r="C1785" s="17">
        <f t="shared" si="26"/>
        <v>29</v>
      </c>
      <c r="D1785" s="17"/>
      <c r="E1785" s="17">
        <f t="shared" si="91"/>
        <v>65919</v>
      </c>
      <c r="F1785" s="17">
        <f t="shared" ca="1" si="1"/>
        <v>2016</v>
      </c>
      <c r="G1785" s="17">
        <f t="shared" ca="1" si="92"/>
        <v>10945</v>
      </c>
      <c r="H1785" s="31" t="str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No</v>
      </c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</row>
    <row r="1786" spans="1:26" ht="13.5" customHeight="1" x14ac:dyDescent="0.3">
      <c r="A1786" s="17" t="s">
        <v>644</v>
      </c>
      <c r="B1786" s="17">
        <f t="shared" si="94"/>
        <v>19</v>
      </c>
      <c r="C1786" s="17">
        <f t="shared" si="26"/>
        <v>30</v>
      </c>
      <c r="D1786" s="17"/>
      <c r="E1786" s="17">
        <f t="shared" si="91"/>
        <v>65919</v>
      </c>
      <c r="F1786" s="17">
        <f t="shared" ca="1" si="1"/>
        <v>2016</v>
      </c>
      <c r="G1786" s="17">
        <f t="shared" ca="1" si="92"/>
        <v>10947</v>
      </c>
      <c r="H1786" s="2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</row>
    <row r="1787" spans="1:26" ht="13.5" customHeight="1" x14ac:dyDescent="0.3">
      <c r="A1787" s="17" t="s">
        <v>644</v>
      </c>
      <c r="B1787" s="17">
        <f t="shared" si="94"/>
        <v>19</v>
      </c>
      <c r="C1787" s="17">
        <f t="shared" si="26"/>
        <v>31</v>
      </c>
      <c r="D1787" s="17"/>
      <c r="E1787" s="17">
        <f t="shared" si="91"/>
        <v>65919</v>
      </c>
      <c r="F1787" s="17">
        <f t="shared" ca="1" si="1"/>
        <v>2016</v>
      </c>
      <c r="G1787" s="17">
        <f t="shared" ca="1" si="92"/>
        <v>10948</v>
      </c>
      <c r="H1787" s="31" t="str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No</v>
      </c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</row>
    <row r="1788" spans="1:26" ht="13.5" customHeight="1" x14ac:dyDescent="0.3">
      <c r="A1788" s="17" t="s">
        <v>644</v>
      </c>
      <c r="B1788" s="17">
        <f t="shared" si="94"/>
        <v>19</v>
      </c>
      <c r="C1788" s="17">
        <f t="shared" si="26"/>
        <v>32</v>
      </c>
      <c r="D1788" s="17"/>
      <c r="E1788" s="17">
        <f t="shared" si="91"/>
        <v>65919</v>
      </c>
      <c r="F1788" s="17">
        <f t="shared" ca="1" si="1"/>
        <v>2016</v>
      </c>
      <c r="G1788" s="17">
        <f t="shared" ca="1" si="92"/>
        <v>10949</v>
      </c>
      <c r="H1788" s="31" t="str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No</v>
      </c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</row>
    <row r="1789" spans="1:26" ht="13.5" customHeight="1" x14ac:dyDescent="0.3">
      <c r="A1789" s="17" t="s">
        <v>644</v>
      </c>
      <c r="B1789" s="17">
        <f t="shared" si="94"/>
        <v>19</v>
      </c>
      <c r="C1789" s="17">
        <f t="shared" si="26"/>
        <v>33</v>
      </c>
      <c r="D1789" s="17"/>
      <c r="E1789" s="17">
        <f t="shared" si="91"/>
        <v>65919</v>
      </c>
      <c r="F1789" s="17">
        <f t="shared" ca="1" si="1"/>
        <v>2016</v>
      </c>
      <c r="G1789" s="17">
        <f t="shared" ca="1" si="92"/>
        <v>10951</v>
      </c>
      <c r="H1789" s="31" t="str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No</v>
      </c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</row>
    <row r="1790" spans="1:26" ht="13.5" customHeight="1" x14ac:dyDescent="0.3">
      <c r="A1790" s="17" t="s">
        <v>644</v>
      </c>
      <c r="B1790" s="17">
        <f t="shared" si="94"/>
        <v>19</v>
      </c>
      <c r="C1790" s="17">
        <f t="shared" si="26"/>
        <v>34</v>
      </c>
      <c r="D1790" s="17"/>
      <c r="E1790" s="17">
        <f t="shared" si="91"/>
        <v>65919</v>
      </c>
      <c r="F1790" s="17">
        <f t="shared" ca="1" si="1"/>
        <v>2016</v>
      </c>
      <c r="G1790" s="17">
        <f t="shared" ca="1" si="92"/>
        <v>10950</v>
      </c>
      <c r="H1790" s="31" t="str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No</v>
      </c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</row>
    <row r="1791" spans="1:26" ht="13.5" customHeight="1" x14ac:dyDescent="0.3">
      <c r="A1791" s="17" t="s">
        <v>644</v>
      </c>
      <c r="B1791" s="17">
        <f t="shared" si="94"/>
        <v>19</v>
      </c>
      <c r="C1791" s="17">
        <f t="shared" si="26"/>
        <v>35</v>
      </c>
      <c r="D1791" s="17"/>
      <c r="E1791" s="17">
        <f t="shared" si="91"/>
        <v>65919</v>
      </c>
      <c r="F1791" s="17">
        <f t="shared" ca="1" si="1"/>
        <v>2016</v>
      </c>
      <c r="G1791" s="17">
        <f t="shared" ca="1" si="92"/>
        <v>10954</v>
      </c>
      <c r="H1791" s="3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0.03</v>
      </c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</row>
    <row r="1792" spans="1:26" ht="13.5" customHeight="1" x14ac:dyDescent="0.3">
      <c r="A1792" s="17" t="s">
        <v>644</v>
      </c>
      <c r="B1792" s="17">
        <f t="shared" si="94"/>
        <v>19</v>
      </c>
      <c r="C1792" s="17">
        <f t="shared" si="26"/>
        <v>36</v>
      </c>
      <c r="D1792" s="17"/>
      <c r="E1792" s="17">
        <f t="shared" si="91"/>
        <v>65919</v>
      </c>
      <c r="F1792" s="17">
        <f t="shared" ca="1" si="1"/>
        <v>2016</v>
      </c>
      <c r="G1792" s="17">
        <f t="shared" ca="1" si="92"/>
        <v>10955</v>
      </c>
      <c r="H1792" s="3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7.6999999999999999E-2</v>
      </c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</row>
    <row r="1793" spans="1:26" ht="13.5" customHeight="1" x14ac:dyDescent="0.3">
      <c r="A1793" s="17" t="s">
        <v>644</v>
      </c>
      <c r="B1793" s="17">
        <f t="shared" si="94"/>
        <v>19</v>
      </c>
      <c r="C1793" s="17">
        <f t="shared" si="26"/>
        <v>37</v>
      </c>
      <c r="D1793" s="17"/>
      <c r="E1793" s="17">
        <f t="shared" si="91"/>
        <v>65919</v>
      </c>
      <c r="F1793" s="17">
        <f t="shared" ca="1" si="1"/>
        <v>2016</v>
      </c>
      <c r="G1793" s="17">
        <f t="shared" ca="1" si="92"/>
        <v>10956</v>
      </c>
      <c r="H1793" s="3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3.5624999999999996E-4</v>
      </c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</row>
    <row r="1794" spans="1:26" ht="13.5" customHeight="1" x14ac:dyDescent="0.3">
      <c r="A1794" s="17" t="s">
        <v>644</v>
      </c>
      <c r="B1794" s="17">
        <f t="shared" si="94"/>
        <v>19</v>
      </c>
      <c r="C1794" s="17">
        <f t="shared" si="26"/>
        <v>38</v>
      </c>
      <c r="D1794" s="17"/>
      <c r="E1794" s="17">
        <f t="shared" si="91"/>
        <v>65919</v>
      </c>
      <c r="F1794" s="17">
        <f t="shared" ca="1" si="1"/>
        <v>2016</v>
      </c>
      <c r="G1794" s="17">
        <f t="shared" ca="1" si="92"/>
        <v>10959</v>
      </c>
      <c r="H1794" s="3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3.7499999999999999E-2</v>
      </c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</row>
    <row r="1795" spans="1:26" ht="13.5" customHeight="1" x14ac:dyDescent="0.3">
      <c r="A1795" s="17" t="s">
        <v>644</v>
      </c>
      <c r="B1795" s="17">
        <f t="shared" si="94"/>
        <v>19</v>
      </c>
      <c r="C1795" s="17">
        <f t="shared" si="26"/>
        <v>39</v>
      </c>
      <c r="D1795" s="17"/>
      <c r="E1795" s="17">
        <f t="shared" si="91"/>
        <v>65919</v>
      </c>
      <c r="F1795" s="17">
        <f t="shared" ca="1" si="1"/>
        <v>2016</v>
      </c>
      <c r="G1795" s="17">
        <f t="shared" ca="1" si="92"/>
        <v>10962</v>
      </c>
      <c r="H1795" s="29" t="str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CAFR Pg 139</v>
      </c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</row>
    <row r="1796" spans="1:26" ht="13.5" customHeight="1" x14ac:dyDescent="0.3">
      <c r="A1796" s="17" t="s">
        <v>644</v>
      </c>
      <c r="B1796" s="17">
        <f t="shared" si="94"/>
        <v>19</v>
      </c>
      <c r="C1796" s="17">
        <f t="shared" si="26"/>
        <v>40</v>
      </c>
      <c r="D1796" s="17"/>
      <c r="E1796" s="17">
        <f t="shared" ref="E1796:E1859" si="95">plan_id</f>
        <v>65919</v>
      </c>
      <c r="F1796" s="17">
        <f t="shared" ca="1" si="1"/>
        <v>2016</v>
      </c>
      <c r="G1796" s="17">
        <f t="shared" ref="G1796:G1859" ca="1" si="96">VLOOKUP(INDIRECT(CHAR(39)&amp;$A1796&amp;CHAR(39)&amp;"!r2c"&amp;$C1796,0),variables,2,0)</f>
        <v>10964</v>
      </c>
      <c r="H1796" s="29" t="str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CAFR Pg 136</v>
      </c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</row>
    <row r="1797" spans="1:26" ht="13.5" customHeight="1" x14ac:dyDescent="0.3">
      <c r="A1797" s="17" t="s">
        <v>644</v>
      </c>
      <c r="B1797" s="17">
        <f t="shared" si="94"/>
        <v>19</v>
      </c>
      <c r="C1797" s="17">
        <f t="shared" si="26"/>
        <v>41</v>
      </c>
      <c r="D1797" s="17"/>
      <c r="E1797" s="17">
        <f t="shared" si="95"/>
        <v>65919</v>
      </c>
      <c r="F1797" s="17">
        <f t="shared" ca="1" si="1"/>
        <v>2016</v>
      </c>
      <c r="G1797" s="17">
        <f t="shared" ca="1" si="96"/>
        <v>10967</v>
      </c>
      <c r="H1797" s="29" t="str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RP-2000 Combined Healthy Table</v>
      </c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</row>
    <row r="1798" spans="1:26" ht="13.5" customHeight="1" x14ac:dyDescent="0.3">
      <c r="A1798" s="17" t="s">
        <v>644</v>
      </c>
      <c r="B1798" s="17">
        <f t="shared" si="94"/>
        <v>19</v>
      </c>
      <c r="C1798" s="17">
        <f t="shared" si="26"/>
        <v>42</v>
      </c>
      <c r="D1798" s="17"/>
      <c r="E1798" s="17">
        <f t="shared" si="95"/>
        <v>65919</v>
      </c>
      <c r="F1798" s="17">
        <f t="shared" ca="1" si="1"/>
        <v>2016</v>
      </c>
      <c r="G1798" s="17">
        <f t="shared" ca="1" si="96"/>
        <v>10968</v>
      </c>
      <c r="H1798" s="2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2000</v>
      </c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</row>
    <row r="1799" spans="1:26" ht="13.5" customHeight="1" x14ac:dyDescent="0.3">
      <c r="A1799" s="17" t="s">
        <v>644</v>
      </c>
      <c r="B1799" s="17">
        <f t="shared" si="94"/>
        <v>19</v>
      </c>
      <c r="C1799" s="17">
        <f t="shared" si="26"/>
        <v>43</v>
      </c>
      <c r="D1799" s="17"/>
      <c r="E1799" s="17">
        <f t="shared" si="95"/>
        <v>65919</v>
      </c>
      <c r="F1799" s="17">
        <f t="shared" ca="1" si="1"/>
        <v>2016</v>
      </c>
      <c r="G1799" s="17">
        <f t="shared" ca="1" si="96"/>
        <v>10969</v>
      </c>
      <c r="H1799" s="2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Scale BB</v>
      </c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</row>
    <row r="1800" spans="1:26" ht="13.5" customHeight="1" x14ac:dyDescent="0.3">
      <c r="A1800" s="17" t="s">
        <v>644</v>
      </c>
      <c r="B1800" s="17">
        <f t="shared" si="94"/>
        <v>19</v>
      </c>
      <c r="C1800" s="17">
        <f t="shared" si="26"/>
        <v>44</v>
      </c>
      <c r="D1800" s="17"/>
      <c r="E1800" s="17">
        <f t="shared" si="95"/>
        <v>65919</v>
      </c>
      <c r="F1800" s="17">
        <f t="shared" ca="1" si="1"/>
        <v>2016</v>
      </c>
      <c r="G1800" s="17">
        <f t="shared" ca="1" si="96"/>
        <v>10970</v>
      </c>
      <c r="H1800" s="2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</row>
    <row r="1801" spans="1:26" ht="13.5" customHeight="1" x14ac:dyDescent="0.3">
      <c r="A1801" s="17" t="s">
        <v>644</v>
      </c>
      <c r="B1801" s="17">
        <f t="shared" si="94"/>
        <v>19</v>
      </c>
      <c r="C1801" s="17">
        <f t="shared" si="26"/>
        <v>45</v>
      </c>
      <c r="D1801" s="17"/>
      <c r="E1801" s="17">
        <f t="shared" si="95"/>
        <v>65919</v>
      </c>
      <c r="F1801" s="17">
        <f t="shared" ca="1" si="1"/>
        <v>2016</v>
      </c>
      <c r="G1801" s="17">
        <f t="shared" ca="1" si="96"/>
        <v>10971</v>
      </c>
      <c r="H1801" s="2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</row>
    <row r="1802" spans="1:26" ht="13.5" customHeight="1" x14ac:dyDescent="0.3">
      <c r="A1802" s="17" t="s">
        <v>644</v>
      </c>
      <c r="B1802" s="17">
        <f t="shared" si="94"/>
        <v>19</v>
      </c>
      <c r="C1802" s="17">
        <f t="shared" si="26"/>
        <v>46</v>
      </c>
      <c r="D1802" s="17"/>
      <c r="E1802" s="17">
        <f t="shared" si="95"/>
        <v>65919</v>
      </c>
      <c r="F1802" s="17">
        <f t="shared" ca="1" si="1"/>
        <v>2016</v>
      </c>
      <c r="G1802" s="17">
        <f t="shared" ca="1" si="96"/>
        <v>10972</v>
      </c>
      <c r="H1802" s="29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N/A</v>
      </c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</row>
    <row r="1803" spans="1:26" ht="13.5" customHeight="1" x14ac:dyDescent="0.3">
      <c r="A1803" s="17" t="s">
        <v>644</v>
      </c>
      <c r="B1803" s="17">
        <f t="shared" si="94"/>
        <v>19</v>
      </c>
      <c r="C1803" s="17">
        <f t="shared" si="26"/>
        <v>47</v>
      </c>
      <c r="D1803" s="17"/>
      <c r="E1803" s="17">
        <f t="shared" si="95"/>
        <v>65919</v>
      </c>
      <c r="F1803" s="17">
        <f t="shared" ca="1" si="1"/>
        <v>2016</v>
      </c>
      <c r="G1803" s="17">
        <f t="shared" ca="1" si="96"/>
        <v>10973</v>
      </c>
      <c r="H1803" s="29" t="str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N/A</v>
      </c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</row>
    <row r="1804" spans="1:26" ht="13.5" customHeight="1" x14ac:dyDescent="0.3">
      <c r="A1804" s="17" t="s">
        <v>644</v>
      </c>
      <c r="B1804" s="17">
        <f t="shared" si="94"/>
        <v>19</v>
      </c>
      <c r="C1804" s="17">
        <f t="shared" si="26"/>
        <v>48</v>
      </c>
      <c r="D1804" s="17"/>
      <c r="E1804" s="17">
        <f t="shared" si="95"/>
        <v>65919</v>
      </c>
      <c r="F1804" s="17">
        <f t="shared" ca="1" si="1"/>
        <v>2016</v>
      </c>
      <c r="G1804" s="17">
        <f t="shared" ca="1" si="96"/>
        <v>10975</v>
      </c>
      <c r="H1804" s="29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 xml:space="preserve">Aggregate   </v>
      </c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</row>
    <row r="1805" spans="1:26" ht="13.5" customHeight="1" x14ac:dyDescent="0.3">
      <c r="A1805" s="17" t="s">
        <v>644</v>
      </c>
      <c r="B1805" s="17">
        <f t="shared" si="94"/>
        <v>19</v>
      </c>
      <c r="C1805" s="17">
        <f t="shared" si="26"/>
        <v>49</v>
      </c>
      <c r="D1805" s="17"/>
      <c r="E1805" s="17">
        <f t="shared" si="95"/>
        <v>65919</v>
      </c>
      <c r="F1805" s="17">
        <f t="shared" ca="1" si="1"/>
        <v>2016</v>
      </c>
      <c r="G1805" s="17">
        <f t="shared" ca="1" si="96"/>
        <v>10976</v>
      </c>
      <c r="H1805" s="3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7.6999999999999999E-2</v>
      </c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</row>
    <row r="1806" spans="1:26" ht="13.5" customHeight="1" x14ac:dyDescent="0.3">
      <c r="A1806" s="17" t="s">
        <v>644</v>
      </c>
      <c r="B1806" s="17">
        <f t="shared" si="94"/>
        <v>19</v>
      </c>
      <c r="C1806" s="17">
        <f t="shared" si="26"/>
        <v>50</v>
      </c>
      <c r="D1806" s="17"/>
      <c r="E1806" s="17">
        <f t="shared" si="95"/>
        <v>65919</v>
      </c>
      <c r="F1806" s="17">
        <f t="shared" ca="1" si="1"/>
        <v>2016</v>
      </c>
      <c r="G1806" s="17">
        <f t="shared" ca="1" si="96"/>
        <v>10977</v>
      </c>
      <c r="H1806" s="31" t="str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No</v>
      </c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</row>
    <row r="1807" spans="1:26" ht="13.5" customHeight="1" x14ac:dyDescent="0.3">
      <c r="A1807" s="17" t="s">
        <v>644</v>
      </c>
      <c r="B1807" s="17">
        <f t="shared" si="94"/>
        <v>19</v>
      </c>
      <c r="C1807" s="17">
        <f t="shared" si="26"/>
        <v>51</v>
      </c>
      <c r="D1807" s="17"/>
      <c r="E1807" s="17">
        <f t="shared" si="95"/>
        <v>65919</v>
      </c>
      <c r="F1807" s="17">
        <f t="shared" ca="1" si="1"/>
        <v>2016</v>
      </c>
      <c r="G1807" s="17">
        <f t="shared" ca="1" si="96"/>
        <v>10978</v>
      </c>
      <c r="H1807" s="3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7.6999999999999999E-2</v>
      </c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</row>
    <row r="1808" spans="1:26" ht="13.5" customHeight="1" x14ac:dyDescent="0.3">
      <c r="A1808" s="17" t="s">
        <v>644</v>
      </c>
      <c r="B1808" s="17">
        <f t="shared" si="94"/>
        <v>19</v>
      </c>
      <c r="C1808" s="17">
        <f t="shared" si="26"/>
        <v>52</v>
      </c>
      <c r="D1808" s="17"/>
      <c r="E1808" s="17">
        <f t="shared" si="95"/>
        <v>65919</v>
      </c>
      <c r="F1808" s="17">
        <f t="shared" ca="1" si="1"/>
        <v>2016</v>
      </c>
      <c r="G1808" s="17">
        <f t="shared" ca="1" si="96"/>
        <v>10979</v>
      </c>
      <c r="H1808" s="29" t="str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8 Years</v>
      </c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</row>
    <row r="1809" spans="1:26" ht="13.5" customHeight="1" x14ac:dyDescent="0.3">
      <c r="A1809" s="17" t="s">
        <v>644</v>
      </c>
      <c r="B1809" s="17">
        <f t="shared" si="94"/>
        <v>19</v>
      </c>
      <c r="C1809" s="17">
        <f t="shared" si="26"/>
        <v>53</v>
      </c>
      <c r="D1809" s="17"/>
      <c r="E1809" s="17">
        <f t="shared" si="95"/>
        <v>65919</v>
      </c>
      <c r="F1809" s="17">
        <f t="shared" ca="1" si="1"/>
        <v>2016</v>
      </c>
      <c r="G1809" s="17">
        <f t="shared" ca="1" si="96"/>
        <v>10980</v>
      </c>
      <c r="H1809" s="3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</row>
    <row r="1810" spans="1:26" ht="13.5" customHeight="1" x14ac:dyDescent="0.3">
      <c r="A1810" s="17" t="s">
        <v>644</v>
      </c>
      <c r="B1810" s="17">
        <f t="shared" si="94"/>
        <v>19</v>
      </c>
      <c r="C1810" s="17">
        <f t="shared" si="26"/>
        <v>54</v>
      </c>
      <c r="D1810" s="17"/>
      <c r="E1810" s="17">
        <f t="shared" si="95"/>
        <v>65919</v>
      </c>
      <c r="F1810" s="17">
        <f t="shared" ca="1" si="1"/>
        <v>2016</v>
      </c>
      <c r="G1810" s="17">
        <f t="shared" ca="1" si="96"/>
        <v>10981</v>
      </c>
      <c r="H1810" s="3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</row>
    <row r="1811" spans="1:26" ht="13.5" customHeight="1" x14ac:dyDescent="0.3">
      <c r="A1811" s="17" t="s">
        <v>644</v>
      </c>
      <c r="B1811" s="17">
        <f t="shared" si="94"/>
        <v>19</v>
      </c>
      <c r="C1811" s="17">
        <f t="shared" si="26"/>
        <v>55</v>
      </c>
      <c r="D1811" s="17"/>
      <c r="E1811" s="17">
        <f t="shared" si="95"/>
        <v>65919</v>
      </c>
      <c r="F1811" s="17">
        <f t="shared" ca="1" si="1"/>
        <v>2016</v>
      </c>
      <c r="G1811" s="17">
        <f t="shared" ca="1" si="96"/>
        <v>10706</v>
      </c>
      <c r="H1811" s="3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4.0791240809451187E-4</v>
      </c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</row>
    <row r="1812" spans="1:26" ht="13.5" customHeight="1" x14ac:dyDescent="0.3">
      <c r="A1812" s="17" t="s">
        <v>644</v>
      </c>
      <c r="B1812" s="17">
        <f t="shared" si="94"/>
        <v>19</v>
      </c>
      <c r="C1812" s="17">
        <f t="shared" si="26"/>
        <v>56</v>
      </c>
      <c r="D1812" s="17"/>
      <c r="E1812" s="17">
        <f t="shared" si="95"/>
        <v>65919</v>
      </c>
      <c r="F1812" s="17">
        <f t="shared" ca="1" si="1"/>
        <v>2016</v>
      </c>
      <c r="G1812" s="17">
        <f t="shared" ca="1" si="96"/>
        <v>10983</v>
      </c>
      <c r="H1812" s="30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No</v>
      </c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</row>
    <row r="1813" spans="1:26" ht="13.5" customHeight="1" x14ac:dyDescent="0.3">
      <c r="A1813" s="17" t="s">
        <v>644</v>
      </c>
      <c r="B1813" s="17">
        <f t="shared" si="94"/>
        <v>19</v>
      </c>
      <c r="C1813" s="17">
        <f t="shared" si="26"/>
        <v>57</v>
      </c>
      <c r="D1813" s="17"/>
      <c r="E1813" s="17">
        <f t="shared" si="95"/>
        <v>65919</v>
      </c>
      <c r="F1813" s="17">
        <f t="shared" ca="1" si="1"/>
        <v>2016</v>
      </c>
      <c r="G1813" s="17">
        <f t="shared" ca="1" si="96"/>
        <v>10989</v>
      </c>
      <c r="H1813" s="3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1084000000</v>
      </c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</row>
    <row r="1814" spans="1:26" ht="13.5" customHeight="1" x14ac:dyDescent="0.3">
      <c r="A1814" s="17" t="s">
        <v>644</v>
      </c>
      <c r="B1814" s="17">
        <f t="shared" si="94"/>
        <v>19</v>
      </c>
      <c r="C1814" s="17">
        <f t="shared" si="26"/>
        <v>58</v>
      </c>
      <c r="D1814" s="17"/>
      <c r="E1814" s="17">
        <f t="shared" si="95"/>
        <v>65919</v>
      </c>
      <c r="F1814" s="17">
        <f t="shared" ca="1" si="1"/>
        <v>2016</v>
      </c>
      <c r="G1814" s="17">
        <f t="shared" ca="1" si="96"/>
        <v>10990</v>
      </c>
      <c r="H1814" s="30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1186000000</v>
      </c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</row>
    <row r="1815" spans="1:26" ht="13.5" customHeight="1" x14ac:dyDescent="0.3">
      <c r="A1815" s="17" t="s">
        <v>644</v>
      </c>
      <c r="B1815" s="17">
        <f t="shared" si="94"/>
        <v>19</v>
      </c>
      <c r="C1815" s="17">
        <f t="shared" si="26"/>
        <v>59</v>
      </c>
      <c r="D1815" s="17"/>
      <c r="E1815" s="17">
        <f t="shared" si="95"/>
        <v>65919</v>
      </c>
      <c r="F1815" s="17">
        <f t="shared" ca="1" si="1"/>
        <v>2016</v>
      </c>
      <c r="G1815" s="17">
        <f t="shared" ca="1" si="96"/>
        <v>10991</v>
      </c>
      <c r="H1815" s="3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102000000</v>
      </c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</row>
    <row r="1816" spans="1:26" ht="13.5" customHeight="1" x14ac:dyDescent="0.3">
      <c r="A1816" s="17" t="s">
        <v>644</v>
      </c>
      <c r="B1816" s="17">
        <f t="shared" si="94"/>
        <v>19</v>
      </c>
      <c r="C1816" s="17">
        <f t="shared" si="26"/>
        <v>60</v>
      </c>
      <c r="D1816" s="17"/>
      <c r="E1816" s="17">
        <f t="shared" si="95"/>
        <v>65919</v>
      </c>
      <c r="F1816" s="17">
        <f t="shared" ca="1" si="1"/>
        <v>2016</v>
      </c>
      <c r="G1816" s="17">
        <f t="shared" ca="1" si="96"/>
        <v>10992</v>
      </c>
      <c r="H1816" s="3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0.91</v>
      </c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</row>
    <row r="1817" spans="1:26" ht="13.5" customHeight="1" x14ac:dyDescent="0.3">
      <c r="A1817" s="17" t="s">
        <v>644</v>
      </c>
      <c r="B1817" s="17">
        <f t="shared" si="94"/>
        <v>19</v>
      </c>
      <c r="C1817" s="17">
        <f t="shared" si="26"/>
        <v>61</v>
      </c>
      <c r="D1817" s="17"/>
      <c r="E1817" s="17">
        <f t="shared" si="95"/>
        <v>65919</v>
      </c>
      <c r="F1817" s="17">
        <f t="shared" ca="1" si="1"/>
        <v>2016</v>
      </c>
      <c r="G1817" s="17">
        <f t="shared" ca="1" si="96"/>
        <v>10993</v>
      </c>
      <c r="H1817" s="30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</row>
    <row r="1818" spans="1:26" ht="13.5" customHeight="1" x14ac:dyDescent="0.3">
      <c r="A1818" s="17" t="s">
        <v>644</v>
      </c>
      <c r="B1818" s="17">
        <f t="shared" si="94"/>
        <v>19</v>
      </c>
      <c r="C1818" s="17">
        <f t="shared" si="26"/>
        <v>62</v>
      </c>
      <c r="D1818" s="17"/>
      <c r="E1818" s="17">
        <f t="shared" si="95"/>
        <v>65919</v>
      </c>
      <c r="F1818" s="17">
        <f t="shared" ca="1" si="1"/>
        <v>2016</v>
      </c>
      <c r="G1818" s="17">
        <f t="shared" ca="1" si="96"/>
        <v>10801</v>
      </c>
      <c r="H1818" s="30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30700000</v>
      </c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</row>
    <row r="1819" spans="1:26" ht="13.5" customHeight="1" x14ac:dyDescent="0.3">
      <c r="A1819" s="17" t="s">
        <v>644</v>
      </c>
      <c r="B1819" s="17">
        <f t="shared" si="94"/>
        <v>19</v>
      </c>
      <c r="C1819" s="17">
        <f t="shared" si="26"/>
        <v>63</v>
      </c>
      <c r="D1819" s="17"/>
      <c r="E1819" s="17">
        <f t="shared" si="95"/>
        <v>65919</v>
      </c>
      <c r="F1819" s="17">
        <f t="shared" ca="1" si="1"/>
        <v>2016</v>
      </c>
      <c r="G1819" s="17">
        <f t="shared" ca="1" si="96"/>
        <v>10802</v>
      </c>
      <c r="H1819" s="30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</row>
    <row r="1820" spans="1:26" ht="13.5" customHeight="1" x14ac:dyDescent="0.3">
      <c r="A1820" s="17" t="s">
        <v>644</v>
      </c>
      <c r="B1820" s="17">
        <f t="shared" si="94"/>
        <v>19</v>
      </c>
      <c r="C1820" s="17">
        <f t="shared" si="26"/>
        <v>64</v>
      </c>
      <c r="D1820" s="17"/>
      <c r="E1820" s="17">
        <f t="shared" si="95"/>
        <v>65919</v>
      </c>
      <c r="F1820" s="17">
        <f t="shared" ca="1" si="1"/>
        <v>2016</v>
      </c>
      <c r="G1820" s="17">
        <f t="shared" ca="1" si="96"/>
        <v>10803</v>
      </c>
      <c r="H1820" s="3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</row>
    <row r="1821" spans="1:26" ht="13.5" customHeight="1" x14ac:dyDescent="0.3">
      <c r="A1821" s="17" t="s">
        <v>644</v>
      </c>
      <c r="B1821" s="17">
        <f t="shared" si="94"/>
        <v>19</v>
      </c>
      <c r="C1821" s="17">
        <f t="shared" si="26"/>
        <v>65</v>
      </c>
      <c r="D1821" s="17"/>
      <c r="E1821" s="17">
        <f t="shared" si="95"/>
        <v>65919</v>
      </c>
      <c r="F1821" s="17">
        <f t="shared" ca="1" si="1"/>
        <v>2016</v>
      </c>
      <c r="G1821" s="17">
        <f t="shared" ca="1" si="96"/>
        <v>10804</v>
      </c>
      <c r="H1821" s="3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</row>
    <row r="1822" spans="1:26" ht="13.5" customHeight="1" x14ac:dyDescent="0.3">
      <c r="A1822" s="17" t="s">
        <v>644</v>
      </c>
      <c r="B1822" s="17">
        <f t="shared" si="94"/>
        <v>19</v>
      </c>
      <c r="C1822" s="17">
        <f t="shared" si="26"/>
        <v>66</v>
      </c>
      <c r="D1822" s="17"/>
      <c r="E1822" s="17">
        <f t="shared" si="95"/>
        <v>65919</v>
      </c>
      <c r="F1822" s="17">
        <f t="shared" ca="1" si="1"/>
        <v>2016</v>
      </c>
      <c r="G1822" s="17">
        <f t="shared" ca="1" si="96"/>
        <v>10805</v>
      </c>
      <c r="H1822" s="3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</row>
    <row r="1823" spans="1:26" ht="13.5" customHeight="1" x14ac:dyDescent="0.3">
      <c r="A1823" s="17" t="s">
        <v>644</v>
      </c>
      <c r="B1823" s="17">
        <f t="shared" si="94"/>
        <v>19</v>
      </c>
      <c r="C1823" s="17">
        <f t="shared" si="26"/>
        <v>67</v>
      </c>
      <c r="D1823" s="17"/>
      <c r="E1823" s="17">
        <f t="shared" si="95"/>
        <v>65919</v>
      </c>
      <c r="F1823" s="17">
        <f t="shared" ca="1" si="1"/>
        <v>2016</v>
      </c>
      <c r="G1823" s="17">
        <f t="shared" ca="1" si="96"/>
        <v>10806</v>
      </c>
      <c r="H1823" s="30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</row>
    <row r="1824" spans="1:26" ht="13.5" customHeight="1" x14ac:dyDescent="0.3">
      <c r="A1824" s="17" t="s">
        <v>644</v>
      </c>
      <c r="B1824" s="17">
        <f t="shared" ref="B1824:B1849" si="97">B1823</f>
        <v>19</v>
      </c>
      <c r="C1824" s="17">
        <f t="shared" si="26"/>
        <v>68</v>
      </c>
      <c r="D1824" s="17"/>
      <c r="E1824" s="17">
        <f t="shared" si="95"/>
        <v>65919</v>
      </c>
      <c r="F1824" s="17">
        <f t="shared" ca="1" si="1"/>
        <v>2016</v>
      </c>
      <c r="G1824" s="17">
        <f t="shared" ca="1" si="96"/>
        <v>10807</v>
      </c>
      <c r="H1824" s="30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</row>
    <row r="1825" spans="1:26" ht="13.5" customHeight="1" x14ac:dyDescent="0.3">
      <c r="A1825" s="17" t="s">
        <v>644</v>
      </c>
      <c r="B1825" s="17">
        <f t="shared" si="97"/>
        <v>19</v>
      </c>
      <c r="C1825" s="17">
        <f t="shared" si="26"/>
        <v>69</v>
      </c>
      <c r="D1825" s="17"/>
      <c r="E1825" s="17">
        <f t="shared" si="95"/>
        <v>65919</v>
      </c>
      <c r="F1825" s="17">
        <f t="shared" ca="1" si="1"/>
        <v>2016</v>
      </c>
      <c r="G1825" s="17">
        <f t="shared" ca="1" si="96"/>
        <v>10808</v>
      </c>
      <c r="H1825" s="3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</row>
    <row r="1826" spans="1:26" ht="13.5" customHeight="1" x14ac:dyDescent="0.3">
      <c r="A1826" s="17" t="s">
        <v>644</v>
      </c>
      <c r="B1826" s="17">
        <f t="shared" si="97"/>
        <v>19</v>
      </c>
      <c r="C1826" s="17">
        <f t="shared" si="26"/>
        <v>70</v>
      </c>
      <c r="D1826" s="17"/>
      <c r="E1826" s="17">
        <f t="shared" si="95"/>
        <v>65919</v>
      </c>
      <c r="F1826" s="17">
        <f t="shared" ca="1" si="1"/>
        <v>2016</v>
      </c>
      <c r="G1826" s="17">
        <f t="shared" ca="1" si="96"/>
        <v>10809</v>
      </c>
      <c r="H1826" s="30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</row>
    <row r="1827" spans="1:26" ht="13.5" customHeight="1" x14ac:dyDescent="0.3">
      <c r="A1827" s="17" t="s">
        <v>644</v>
      </c>
      <c r="B1827" s="17">
        <f t="shared" si="97"/>
        <v>19</v>
      </c>
      <c r="C1827" s="17">
        <f t="shared" si="26"/>
        <v>71</v>
      </c>
      <c r="D1827" s="17"/>
      <c r="E1827" s="17">
        <f t="shared" si="95"/>
        <v>65919</v>
      </c>
      <c r="F1827" s="17">
        <f t="shared" ca="1" si="1"/>
        <v>2016</v>
      </c>
      <c r="G1827" s="17">
        <f t="shared" ca="1" si="96"/>
        <v>10810</v>
      </c>
      <c r="H1827" s="30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</row>
    <row r="1828" spans="1:26" ht="13.5" customHeight="1" x14ac:dyDescent="0.3">
      <c r="A1828" s="17" t="s">
        <v>644</v>
      </c>
      <c r="B1828" s="17">
        <f t="shared" si="97"/>
        <v>19</v>
      </c>
      <c r="C1828" s="17">
        <f t="shared" si="26"/>
        <v>72</v>
      </c>
      <c r="D1828" s="17"/>
      <c r="E1828" s="17">
        <f t="shared" si="95"/>
        <v>65919</v>
      </c>
      <c r="F1828" s="17">
        <f t="shared" ca="1" si="1"/>
        <v>2016</v>
      </c>
      <c r="G1828" s="17">
        <f t="shared" ca="1" si="96"/>
        <v>10811</v>
      </c>
      <c r="H1828" s="30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</row>
    <row r="1829" spans="1:26" ht="13.5" customHeight="1" x14ac:dyDescent="0.3">
      <c r="A1829" s="17" t="s">
        <v>644</v>
      </c>
      <c r="B1829" s="17">
        <f t="shared" si="97"/>
        <v>19</v>
      </c>
      <c r="C1829" s="17">
        <f t="shared" si="26"/>
        <v>73</v>
      </c>
      <c r="D1829" s="17"/>
      <c r="E1829" s="17">
        <f t="shared" si="95"/>
        <v>65919</v>
      </c>
      <c r="F1829" s="17">
        <f t="shared" ca="1" si="1"/>
        <v>2016</v>
      </c>
      <c r="G1829" s="17">
        <f t="shared" ca="1" si="96"/>
        <v>10812</v>
      </c>
      <c r="H1829" s="30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</row>
    <row r="1830" spans="1:26" ht="13.5" customHeight="1" x14ac:dyDescent="0.3">
      <c r="A1830" s="17" t="s">
        <v>644</v>
      </c>
      <c r="B1830" s="17">
        <f t="shared" si="97"/>
        <v>19</v>
      </c>
      <c r="C1830" s="17">
        <f t="shared" si="26"/>
        <v>74</v>
      </c>
      <c r="D1830" s="17"/>
      <c r="E1830" s="17">
        <f t="shared" si="95"/>
        <v>65919</v>
      </c>
      <c r="F1830" s="17">
        <f t="shared" ca="1" si="1"/>
        <v>2016</v>
      </c>
      <c r="G1830" s="17">
        <f t="shared" ca="1" si="96"/>
        <v>10813</v>
      </c>
      <c r="H1830" s="3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</row>
    <row r="1831" spans="1:26" ht="13.5" customHeight="1" x14ac:dyDescent="0.3">
      <c r="A1831" s="17" t="s">
        <v>644</v>
      </c>
      <c r="B1831" s="17">
        <f t="shared" si="97"/>
        <v>19</v>
      </c>
      <c r="C1831" s="17">
        <f t="shared" si="26"/>
        <v>75</v>
      </c>
      <c r="D1831" s="17"/>
      <c r="E1831" s="17">
        <f t="shared" si="95"/>
        <v>65919</v>
      </c>
      <c r="F1831" s="17">
        <f t="shared" ca="1" si="1"/>
        <v>2016</v>
      </c>
      <c r="G1831" s="17">
        <f t="shared" ca="1" si="96"/>
        <v>10814</v>
      </c>
      <c r="H1831" s="3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</v>
      </c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</row>
    <row r="1832" spans="1:26" ht="13.5" customHeight="1" x14ac:dyDescent="0.3">
      <c r="A1832" s="17" t="s">
        <v>644</v>
      </c>
      <c r="B1832" s="17">
        <f t="shared" si="97"/>
        <v>19</v>
      </c>
      <c r="C1832" s="17">
        <f t="shared" si="26"/>
        <v>76</v>
      </c>
      <c r="D1832" s="17"/>
      <c r="E1832" s="17">
        <f t="shared" si="95"/>
        <v>65919</v>
      </c>
      <c r="F1832" s="17">
        <f t="shared" ca="1" si="1"/>
        <v>2016</v>
      </c>
      <c r="G1832" s="17">
        <f t="shared" ca="1" si="96"/>
        <v>10815</v>
      </c>
      <c r="H1832" s="3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-7200000</v>
      </c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</row>
    <row r="1833" spans="1:26" ht="13.5" customHeight="1" x14ac:dyDescent="0.3">
      <c r="A1833" s="17" t="s">
        <v>644</v>
      </c>
      <c r="B1833" s="17">
        <f t="shared" si="97"/>
        <v>19</v>
      </c>
      <c r="C1833" s="17">
        <f t="shared" si="26"/>
        <v>77</v>
      </c>
      <c r="D1833" s="17"/>
      <c r="E1833" s="17">
        <f t="shared" si="95"/>
        <v>65919</v>
      </c>
      <c r="F1833" s="17">
        <f t="shared" ca="1" si="1"/>
        <v>2016</v>
      </c>
      <c r="G1833" s="17">
        <f t="shared" ca="1" si="96"/>
        <v>10816</v>
      </c>
      <c r="H1833" s="30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20300000</v>
      </c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</row>
    <row r="1834" spans="1:26" ht="13.5" customHeight="1" x14ac:dyDescent="0.3">
      <c r="A1834" s="17" t="s">
        <v>644</v>
      </c>
      <c r="B1834" s="17">
        <f t="shared" si="97"/>
        <v>19</v>
      </c>
      <c r="C1834" s="17">
        <f t="shared" si="26"/>
        <v>78</v>
      </c>
      <c r="D1834" s="17"/>
      <c r="E1834" s="17">
        <f t="shared" si="95"/>
        <v>65919</v>
      </c>
      <c r="F1834" s="17">
        <f t="shared" ca="1" si="1"/>
        <v>2016</v>
      </c>
      <c r="G1834" s="17">
        <f t="shared" ca="1" si="96"/>
        <v>10817</v>
      </c>
      <c r="H1834" s="30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</row>
    <row r="1835" spans="1:26" ht="13.5" customHeight="1" x14ac:dyDescent="0.3">
      <c r="A1835" s="17" t="s">
        <v>644</v>
      </c>
      <c r="B1835" s="17">
        <f t="shared" si="97"/>
        <v>19</v>
      </c>
      <c r="C1835" s="17">
        <f t="shared" si="26"/>
        <v>79</v>
      </c>
      <c r="D1835" s="17"/>
      <c r="E1835" s="17">
        <f t="shared" si="95"/>
        <v>65919</v>
      </c>
      <c r="F1835" s="17">
        <f t="shared" ca="1" si="1"/>
        <v>2016</v>
      </c>
      <c r="G1835" s="17">
        <f t="shared" ca="1" si="96"/>
        <v>10818</v>
      </c>
      <c r="H1835" s="30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</row>
    <row r="1836" spans="1:26" ht="13.5" customHeight="1" x14ac:dyDescent="0.3">
      <c r="A1836" s="17" t="s">
        <v>644</v>
      </c>
      <c r="B1836" s="17">
        <f t="shared" si="97"/>
        <v>19</v>
      </c>
      <c r="C1836" s="17">
        <f t="shared" si="26"/>
        <v>80</v>
      </c>
      <c r="D1836" s="17"/>
      <c r="E1836" s="17">
        <f t="shared" si="95"/>
        <v>65919</v>
      </c>
      <c r="F1836" s="17">
        <f t="shared" ca="1" si="1"/>
        <v>2016</v>
      </c>
      <c r="G1836" s="17">
        <f t="shared" ca="1" si="96"/>
        <v>10819</v>
      </c>
      <c r="H1836" s="30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200000</v>
      </c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</row>
    <row r="1837" spans="1:26" ht="13.5" customHeight="1" x14ac:dyDescent="0.3">
      <c r="A1837" s="17" t="s">
        <v>644</v>
      </c>
      <c r="B1837" s="17">
        <f t="shared" si="97"/>
        <v>19</v>
      </c>
      <c r="C1837" s="17">
        <f t="shared" si="26"/>
        <v>81</v>
      </c>
      <c r="D1837" s="17"/>
      <c r="E1837" s="17">
        <f t="shared" si="95"/>
        <v>65919</v>
      </c>
      <c r="F1837" s="17">
        <f t="shared" ca="1" si="1"/>
        <v>2016</v>
      </c>
      <c r="G1837" s="17">
        <f t="shared" ca="1" si="96"/>
        <v>10820</v>
      </c>
      <c r="H1837" s="3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</row>
    <row r="1838" spans="1:26" ht="13.5" customHeight="1" x14ac:dyDescent="0.3">
      <c r="A1838" s="17" t="s">
        <v>644</v>
      </c>
      <c r="B1838" s="17">
        <f t="shared" si="97"/>
        <v>19</v>
      </c>
      <c r="C1838" s="17">
        <f t="shared" si="26"/>
        <v>82</v>
      </c>
      <c r="D1838" s="17"/>
      <c r="E1838" s="17">
        <f t="shared" si="95"/>
        <v>65919</v>
      </c>
      <c r="F1838" s="17">
        <f t="shared" ca="1" si="1"/>
        <v>2016</v>
      </c>
      <c r="G1838" s="17">
        <f t="shared" ca="1" si="96"/>
        <v>10821</v>
      </c>
      <c r="H1838" s="30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</row>
    <row r="1839" spans="1:26" ht="13.5" customHeight="1" x14ac:dyDescent="0.3">
      <c r="A1839" s="17" t="s">
        <v>644</v>
      </c>
      <c r="B1839" s="17">
        <f t="shared" si="97"/>
        <v>19</v>
      </c>
      <c r="C1839" s="17">
        <f t="shared" si="26"/>
        <v>83</v>
      </c>
      <c r="D1839" s="17"/>
      <c r="E1839" s="17">
        <f t="shared" si="95"/>
        <v>65919</v>
      </c>
      <c r="F1839" s="17">
        <f t="shared" ca="1" si="1"/>
        <v>2016</v>
      </c>
      <c r="G1839" s="17">
        <f t="shared" ca="1" si="96"/>
        <v>10822</v>
      </c>
      <c r="H1839" s="3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</row>
    <row r="1840" spans="1:26" ht="13.5" customHeight="1" x14ac:dyDescent="0.3">
      <c r="A1840" s="17" t="s">
        <v>644</v>
      </c>
      <c r="B1840" s="17">
        <f t="shared" si="97"/>
        <v>19</v>
      </c>
      <c r="C1840" s="17">
        <f t="shared" si="26"/>
        <v>84</v>
      </c>
      <c r="D1840" s="17"/>
      <c r="E1840" s="17">
        <f t="shared" si="95"/>
        <v>65919</v>
      </c>
      <c r="F1840" s="17">
        <f t="shared" ca="1" si="1"/>
        <v>2016</v>
      </c>
      <c r="G1840" s="17">
        <f t="shared" ca="1" si="96"/>
        <v>10829</v>
      </c>
      <c r="H1840" s="3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</row>
    <row r="1841" spans="1:26" ht="13.5" customHeight="1" x14ac:dyDescent="0.3">
      <c r="A1841" s="17" t="s">
        <v>644</v>
      </c>
      <c r="B1841" s="17">
        <f t="shared" si="97"/>
        <v>19</v>
      </c>
      <c r="C1841" s="17">
        <f t="shared" si="26"/>
        <v>85</v>
      </c>
      <c r="D1841" s="17"/>
      <c r="E1841" s="17">
        <f t="shared" si="95"/>
        <v>65919</v>
      </c>
      <c r="F1841" s="17">
        <f t="shared" ca="1" si="1"/>
        <v>2016</v>
      </c>
      <c r="G1841" s="17">
        <f t="shared" ca="1" si="96"/>
        <v>10823</v>
      </c>
      <c r="H1841" s="30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44000000</v>
      </c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</row>
    <row r="1842" spans="1:26" ht="13.5" customHeight="1" x14ac:dyDescent="0.3">
      <c r="A1842" s="17" t="s">
        <v>644</v>
      </c>
      <c r="B1842" s="17">
        <f t="shared" si="97"/>
        <v>19</v>
      </c>
      <c r="C1842" s="17">
        <f t="shared" si="26"/>
        <v>86</v>
      </c>
      <c r="D1842" s="17"/>
      <c r="E1842" s="17">
        <f t="shared" si="95"/>
        <v>65919</v>
      </c>
      <c r="F1842" s="17">
        <f t="shared" ca="1" si="1"/>
        <v>2016</v>
      </c>
      <c r="G1842" s="17">
        <f t="shared" ca="1" si="96"/>
        <v>10798</v>
      </c>
      <c r="H1842" s="30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</row>
    <row r="1843" spans="1:26" ht="13.5" customHeight="1" x14ac:dyDescent="0.3">
      <c r="A1843" s="17" t="s">
        <v>644</v>
      </c>
      <c r="B1843" s="17">
        <f t="shared" si="97"/>
        <v>19</v>
      </c>
      <c r="C1843" s="17">
        <f t="shared" si="26"/>
        <v>87</v>
      </c>
      <c r="D1843" s="17"/>
      <c r="E1843" s="17">
        <f t="shared" si="95"/>
        <v>65919</v>
      </c>
      <c r="F1843" s="17">
        <f t="shared" ca="1" si="1"/>
        <v>2016</v>
      </c>
      <c r="G1843" s="17">
        <f t="shared" ca="1" si="96"/>
        <v>10799</v>
      </c>
      <c r="H1843" s="30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0</v>
      </c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</row>
    <row r="1844" spans="1:26" ht="13.5" customHeight="1" x14ac:dyDescent="0.3">
      <c r="A1844" s="17" t="s">
        <v>644</v>
      </c>
      <c r="B1844" s="17">
        <f t="shared" si="97"/>
        <v>19</v>
      </c>
      <c r="C1844" s="17">
        <f t="shared" si="26"/>
        <v>88</v>
      </c>
      <c r="D1844" s="17"/>
      <c r="E1844" s="17">
        <f t="shared" si="95"/>
        <v>65919</v>
      </c>
      <c r="F1844" s="17">
        <f t="shared" ca="1" si="1"/>
        <v>2016</v>
      </c>
      <c r="G1844" s="17">
        <f t="shared" ca="1" si="96"/>
        <v>10800</v>
      </c>
      <c r="H1844" s="3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</v>
      </c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</row>
    <row r="1845" spans="1:26" ht="13.5" customHeight="1" x14ac:dyDescent="0.3">
      <c r="A1845" s="17" t="s">
        <v>644</v>
      </c>
      <c r="B1845" s="17">
        <f t="shared" si="97"/>
        <v>19</v>
      </c>
      <c r="C1845" s="17">
        <f t="shared" si="26"/>
        <v>89</v>
      </c>
      <c r="D1845" s="17"/>
      <c r="E1845" s="17">
        <f t="shared" si="95"/>
        <v>65919</v>
      </c>
      <c r="F1845" s="17">
        <f t="shared" ca="1" si="1"/>
        <v>2016</v>
      </c>
      <c r="G1845" s="17">
        <f t="shared" ca="1" si="96"/>
        <v>10824</v>
      </c>
      <c r="H1845" s="30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</row>
    <row r="1846" spans="1:26" ht="13.5" customHeight="1" x14ac:dyDescent="0.3">
      <c r="A1846" s="17" t="s">
        <v>644</v>
      </c>
      <c r="B1846" s="17">
        <f t="shared" si="97"/>
        <v>19</v>
      </c>
      <c r="C1846" s="17">
        <f t="shared" si="26"/>
        <v>90</v>
      </c>
      <c r="D1846" s="17"/>
      <c r="E1846" s="17">
        <f t="shared" si="95"/>
        <v>65919</v>
      </c>
      <c r="F1846" s="17">
        <f t="shared" ca="1" si="1"/>
        <v>2016</v>
      </c>
      <c r="G1846" s="17">
        <f t="shared" ca="1" si="96"/>
        <v>10825</v>
      </c>
      <c r="H1846" s="3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</v>
      </c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</row>
    <row r="1847" spans="1:26" ht="13.5" customHeight="1" x14ac:dyDescent="0.3">
      <c r="A1847" s="17" t="s">
        <v>644</v>
      </c>
      <c r="B1847" s="17">
        <f t="shared" si="97"/>
        <v>19</v>
      </c>
      <c r="C1847" s="17">
        <f t="shared" si="26"/>
        <v>91</v>
      </c>
      <c r="D1847" s="17"/>
      <c r="E1847" s="17">
        <f t="shared" si="95"/>
        <v>65919</v>
      </c>
      <c r="F1847" s="17">
        <f t="shared" ca="1" si="1"/>
        <v>2016</v>
      </c>
      <c r="G1847" s="17">
        <f t="shared" ca="1" si="96"/>
        <v>10826</v>
      </c>
      <c r="H1847" s="30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</row>
    <row r="1848" spans="1:26" ht="13.5" customHeight="1" x14ac:dyDescent="0.3">
      <c r="A1848" s="17" t="s">
        <v>644</v>
      </c>
      <c r="B1848" s="17">
        <f t="shared" si="97"/>
        <v>19</v>
      </c>
      <c r="C1848" s="17">
        <f t="shared" si="26"/>
        <v>92</v>
      </c>
      <c r="D1848" s="17"/>
      <c r="E1848" s="17">
        <f t="shared" si="95"/>
        <v>65919</v>
      </c>
      <c r="F1848" s="17">
        <f t="shared" ca="1" si="1"/>
        <v>2016</v>
      </c>
      <c r="G1848" s="17">
        <f t="shared" ca="1" si="96"/>
        <v>10828</v>
      </c>
      <c r="H1848" s="3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</row>
    <row r="1849" spans="1:26" ht="13.5" customHeight="1" x14ac:dyDescent="0.3">
      <c r="A1849" s="17" t="s">
        <v>644</v>
      </c>
      <c r="B1849" s="17">
        <f t="shared" si="97"/>
        <v>19</v>
      </c>
      <c r="C1849" s="17">
        <f t="shared" si="26"/>
        <v>93</v>
      </c>
      <c r="D1849" s="17"/>
      <c r="E1849" s="17">
        <f t="shared" si="95"/>
        <v>65919</v>
      </c>
      <c r="F1849" s="17">
        <f t="shared" ca="1" si="1"/>
        <v>2016</v>
      </c>
      <c r="G1849" s="17">
        <f t="shared" ca="1" si="96"/>
        <v>10827</v>
      </c>
      <c r="H1849" s="2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</row>
    <row r="1850" spans="1:26" ht="13.5" customHeight="1" x14ac:dyDescent="0.3">
      <c r="A1850" s="17" t="s">
        <v>644</v>
      </c>
      <c r="B1850" s="17">
        <f t="shared" ref="B1850:B1914" si="98">B1785+1</f>
        <v>20</v>
      </c>
      <c r="C1850" s="17">
        <f t="shared" si="26"/>
        <v>3</v>
      </c>
      <c r="D1850" s="17"/>
      <c r="E1850" s="17">
        <f t="shared" si="95"/>
        <v>65919</v>
      </c>
      <c r="F1850" s="17">
        <f t="shared" ca="1" si="1"/>
        <v>2017</v>
      </c>
      <c r="G1850" s="17">
        <f t="shared" ca="1" si="96"/>
        <v>10703</v>
      </c>
      <c r="H1850" s="2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2017</v>
      </c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</row>
    <row r="1851" spans="1:26" ht="13.5" customHeight="1" x14ac:dyDescent="0.3">
      <c r="A1851" s="17" t="s">
        <v>644</v>
      </c>
      <c r="B1851" s="17">
        <f t="shared" si="98"/>
        <v>20</v>
      </c>
      <c r="C1851" s="17">
        <f t="shared" si="26"/>
        <v>4</v>
      </c>
      <c r="D1851" s="17"/>
      <c r="E1851" s="17">
        <f t="shared" si="95"/>
        <v>65919</v>
      </c>
      <c r="F1851" s="17">
        <f t="shared" ca="1" si="1"/>
        <v>2017</v>
      </c>
      <c r="G1851" s="17">
        <f t="shared" ca="1" si="96"/>
        <v>10845</v>
      </c>
      <c r="H1851" s="2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The Office Of The State Actuary</v>
      </c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</row>
    <row r="1852" spans="1:26" ht="13.5" customHeight="1" x14ac:dyDescent="0.3">
      <c r="A1852" s="17" t="s">
        <v>644</v>
      </c>
      <c r="B1852" s="17">
        <f t="shared" si="98"/>
        <v>20</v>
      </c>
      <c r="C1852" s="17">
        <f t="shared" si="26"/>
        <v>5</v>
      </c>
      <c r="D1852" s="17"/>
      <c r="E1852" s="17">
        <f t="shared" si="95"/>
        <v>65919</v>
      </c>
      <c r="F1852" s="17">
        <f t="shared" ca="1" si="1"/>
        <v>2017</v>
      </c>
      <c r="G1852" s="17">
        <f t="shared" ca="1" si="96"/>
        <v>10924</v>
      </c>
      <c r="H1852" s="3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0.30580000000000002</v>
      </c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</row>
    <row r="1853" spans="1:26" ht="13.5" customHeight="1" x14ac:dyDescent="0.3">
      <c r="A1853" s="17" t="s">
        <v>644</v>
      </c>
      <c r="B1853" s="17">
        <f t="shared" si="98"/>
        <v>20</v>
      </c>
      <c r="C1853" s="17">
        <f t="shared" si="26"/>
        <v>6</v>
      </c>
      <c r="D1853" s="17"/>
      <c r="E1853" s="17">
        <f t="shared" si="95"/>
        <v>65919</v>
      </c>
      <c r="F1853" s="17">
        <f t="shared" ca="1" si="1"/>
        <v>2017</v>
      </c>
      <c r="G1853" s="17">
        <f t="shared" ca="1" si="96"/>
        <v>10925</v>
      </c>
      <c r="H1853" s="3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0.2213</v>
      </c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</row>
    <row r="1854" spans="1:26" ht="13.5" customHeight="1" x14ac:dyDescent="0.3">
      <c r="A1854" s="17" t="s">
        <v>644</v>
      </c>
      <c r="B1854" s="17">
        <f t="shared" si="98"/>
        <v>20</v>
      </c>
      <c r="C1854" s="17">
        <f t="shared" si="26"/>
        <v>7</v>
      </c>
      <c r="D1854" s="17"/>
      <c r="E1854" s="17">
        <f t="shared" si="95"/>
        <v>65919</v>
      </c>
      <c r="F1854" s="17">
        <f t="shared" ca="1" si="1"/>
        <v>2017</v>
      </c>
      <c r="G1854" s="17">
        <f t="shared" ca="1" si="96"/>
        <v>10926</v>
      </c>
      <c r="H1854" s="3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8.4500000000000006E-2</v>
      </c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</row>
    <row r="1855" spans="1:26" ht="13.5" customHeight="1" x14ac:dyDescent="0.3">
      <c r="A1855" s="17" t="s">
        <v>644</v>
      </c>
      <c r="B1855" s="17">
        <f t="shared" si="98"/>
        <v>20</v>
      </c>
      <c r="C1855" s="17">
        <f t="shared" si="26"/>
        <v>8</v>
      </c>
      <c r="D1855" s="17"/>
      <c r="E1855" s="17">
        <f t="shared" si="95"/>
        <v>65919</v>
      </c>
      <c r="F1855" s="17">
        <f t="shared" ca="1" si="1"/>
        <v>2017</v>
      </c>
      <c r="G1855" s="17">
        <f t="shared" ca="1" si="96"/>
        <v>10704</v>
      </c>
      <c r="H1855" s="3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</row>
    <row r="1856" spans="1:26" ht="13.5" customHeight="1" x14ac:dyDescent="0.3">
      <c r="A1856" s="17" t="s">
        <v>644</v>
      </c>
      <c r="B1856" s="17">
        <f t="shared" si="98"/>
        <v>20</v>
      </c>
      <c r="C1856" s="17">
        <f t="shared" si="26"/>
        <v>9</v>
      </c>
      <c r="D1856" s="17"/>
      <c r="E1856" s="17">
        <f t="shared" si="95"/>
        <v>65919</v>
      </c>
      <c r="F1856" s="17">
        <f t="shared" ca="1" si="1"/>
        <v>2017</v>
      </c>
      <c r="G1856" s="17">
        <f t="shared" ca="1" si="96"/>
        <v>10928</v>
      </c>
      <c r="H1856" s="31" t="str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N/A</v>
      </c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</row>
    <row r="1857" spans="1:26" ht="13.5" customHeight="1" x14ac:dyDescent="0.3">
      <c r="A1857" s="17" t="s">
        <v>644</v>
      </c>
      <c r="B1857" s="17">
        <f t="shared" si="98"/>
        <v>20</v>
      </c>
      <c r="C1857" s="17">
        <f t="shared" si="26"/>
        <v>10</v>
      </c>
      <c r="D1857" s="17"/>
      <c r="E1857" s="17">
        <f t="shared" si="95"/>
        <v>65919</v>
      </c>
      <c r="F1857" s="17">
        <f t="shared" ca="1" si="1"/>
        <v>2017</v>
      </c>
      <c r="G1857" s="17">
        <f t="shared" ca="1" si="96"/>
        <v>10929</v>
      </c>
      <c r="H1857" s="31" t="str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N/A</v>
      </c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</row>
    <row r="1858" spans="1:26" ht="13.5" customHeight="1" x14ac:dyDescent="0.3">
      <c r="A1858" s="17" t="s">
        <v>644</v>
      </c>
      <c r="B1858" s="17">
        <f t="shared" si="98"/>
        <v>20</v>
      </c>
      <c r="C1858" s="17">
        <f t="shared" si="26"/>
        <v>11</v>
      </c>
      <c r="D1858" s="17"/>
      <c r="E1858" s="17">
        <f t="shared" si="95"/>
        <v>65919</v>
      </c>
      <c r="F1858" s="17">
        <f t="shared" ca="1" si="1"/>
        <v>2017</v>
      </c>
      <c r="G1858" s="17">
        <f t="shared" ca="1" si="96"/>
        <v>10930</v>
      </c>
      <c r="H1858" s="3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</row>
    <row r="1859" spans="1:26" ht="13.5" customHeight="1" x14ac:dyDescent="0.3">
      <c r="A1859" s="17" t="s">
        <v>644</v>
      </c>
      <c r="B1859" s="17">
        <f t="shared" si="98"/>
        <v>20</v>
      </c>
      <c r="C1859" s="17">
        <f t="shared" si="26"/>
        <v>12</v>
      </c>
      <c r="D1859" s="17"/>
      <c r="E1859" s="17">
        <f t="shared" si="95"/>
        <v>65919</v>
      </c>
      <c r="F1859" s="17">
        <f t="shared" ca="1" si="1"/>
        <v>2017</v>
      </c>
      <c r="G1859" s="17">
        <f t="shared" ca="1" si="96"/>
        <v>10705</v>
      </c>
      <c r="H1859" s="3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6365000</v>
      </c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</row>
    <row r="1860" spans="1:26" ht="13.5" customHeight="1" x14ac:dyDescent="0.3">
      <c r="A1860" s="17" t="s">
        <v>644</v>
      </c>
      <c r="B1860" s="17">
        <f t="shared" si="98"/>
        <v>20</v>
      </c>
      <c r="C1860" s="17">
        <f t="shared" si="26"/>
        <v>13</v>
      </c>
      <c r="D1860" s="17"/>
      <c r="E1860" s="17">
        <f t="shared" ref="E1860:E1923" si="99">plan_id</f>
        <v>65919</v>
      </c>
      <c r="F1860" s="17">
        <f t="shared" ca="1" si="1"/>
        <v>2017</v>
      </c>
      <c r="G1860" s="17">
        <f t="shared" ref="G1860:G1923" ca="1" si="100">VLOOKUP(INDIRECT(CHAR(39)&amp;$A1860&amp;CHAR(39)&amp;"!r2c"&amp;$C1860,0),variables,2,0)</f>
        <v>10842</v>
      </c>
      <c r="H1860" s="3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</row>
    <row r="1861" spans="1:26" ht="13.5" customHeight="1" x14ac:dyDescent="0.3">
      <c r="A1861" s="17" t="s">
        <v>644</v>
      </c>
      <c r="B1861" s="17">
        <f t="shared" si="98"/>
        <v>20</v>
      </c>
      <c r="C1861" s="17">
        <f t="shared" si="26"/>
        <v>14</v>
      </c>
      <c r="D1861" s="17"/>
      <c r="E1861" s="17">
        <f t="shared" si="99"/>
        <v>65919</v>
      </c>
      <c r="F1861" s="17">
        <f t="shared" ca="1" si="1"/>
        <v>2017</v>
      </c>
      <c r="G1861" s="17">
        <f t="shared" ca="1" si="100"/>
        <v>10843</v>
      </c>
      <c r="H1861" s="3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</row>
    <row r="1862" spans="1:26" ht="13.5" customHeight="1" x14ac:dyDescent="0.3">
      <c r="A1862" s="17" t="s">
        <v>644</v>
      </c>
      <c r="B1862" s="17">
        <f t="shared" si="98"/>
        <v>20</v>
      </c>
      <c r="C1862" s="17">
        <f t="shared" si="26"/>
        <v>15</v>
      </c>
      <c r="D1862" s="17"/>
      <c r="E1862" s="17">
        <f t="shared" si="99"/>
        <v>65919</v>
      </c>
      <c r="F1862" s="17">
        <f t="shared" ca="1" si="1"/>
        <v>2017</v>
      </c>
      <c r="G1862" s="17">
        <f t="shared" ca="1" si="100"/>
        <v>10931</v>
      </c>
      <c r="H1862" s="3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</row>
    <row r="1863" spans="1:26" ht="13.5" customHeight="1" x14ac:dyDescent="0.3">
      <c r="A1863" s="17" t="s">
        <v>644</v>
      </c>
      <c r="B1863" s="17">
        <f t="shared" si="98"/>
        <v>20</v>
      </c>
      <c r="C1863" s="17">
        <f t="shared" si="26"/>
        <v>16</v>
      </c>
      <c r="D1863" s="17"/>
      <c r="E1863" s="17">
        <f t="shared" si="99"/>
        <v>65919</v>
      </c>
      <c r="F1863" s="17">
        <f t="shared" ca="1" si="1"/>
        <v>2017</v>
      </c>
      <c r="G1863" s="17">
        <f t="shared" ca="1" si="100"/>
        <v>10932</v>
      </c>
      <c r="H1863" s="3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</row>
    <row r="1864" spans="1:26" ht="13.5" customHeight="1" x14ac:dyDescent="0.3">
      <c r="A1864" s="17" t="s">
        <v>644</v>
      </c>
      <c r="B1864" s="17">
        <f t="shared" si="98"/>
        <v>20</v>
      </c>
      <c r="C1864" s="17">
        <f t="shared" si="26"/>
        <v>17</v>
      </c>
      <c r="D1864" s="17"/>
      <c r="E1864" s="17">
        <f t="shared" si="99"/>
        <v>65919</v>
      </c>
      <c r="F1864" s="17">
        <f t="shared" ca="1" si="1"/>
        <v>2017</v>
      </c>
      <c r="G1864" s="17">
        <f t="shared" ca="1" si="100"/>
        <v>10933</v>
      </c>
      <c r="H1864" s="3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0.2213</v>
      </c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</row>
    <row r="1865" spans="1:26" ht="13.5" customHeight="1" x14ac:dyDescent="0.3">
      <c r="A1865" s="17" t="s">
        <v>644</v>
      </c>
      <c r="B1865" s="17">
        <f t="shared" si="98"/>
        <v>20</v>
      </c>
      <c r="C1865" s="17">
        <f t="shared" si="26"/>
        <v>18</v>
      </c>
      <c r="D1865" s="17"/>
      <c r="E1865" s="17">
        <f t="shared" si="99"/>
        <v>65919</v>
      </c>
      <c r="F1865" s="17">
        <f t="shared" ca="1" si="1"/>
        <v>2017</v>
      </c>
      <c r="G1865" s="17">
        <f t="shared" ca="1" si="100"/>
        <v>10934</v>
      </c>
      <c r="H1865" s="3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8.4500000000000006E-2</v>
      </c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</row>
    <row r="1866" spans="1:26" ht="13.5" customHeight="1" x14ac:dyDescent="0.3">
      <c r="A1866" s="17" t="s">
        <v>644</v>
      </c>
      <c r="B1866" s="17">
        <f t="shared" si="98"/>
        <v>20</v>
      </c>
      <c r="C1866" s="17">
        <f t="shared" si="26"/>
        <v>19</v>
      </c>
      <c r="D1866" s="17"/>
      <c r="E1866" s="17">
        <f t="shared" si="99"/>
        <v>65919</v>
      </c>
      <c r="F1866" s="17">
        <f t="shared" ca="1" si="1"/>
        <v>2017</v>
      </c>
      <c r="G1866" s="17">
        <f t="shared" ca="1" si="100"/>
        <v>10935</v>
      </c>
      <c r="H1866" s="29" t="str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Single Rate</v>
      </c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</row>
    <row r="1867" spans="1:26" ht="13.5" customHeight="1" x14ac:dyDescent="0.3">
      <c r="A1867" s="17" t="s">
        <v>644</v>
      </c>
      <c r="B1867" s="17">
        <f t="shared" si="98"/>
        <v>20</v>
      </c>
      <c r="C1867" s="17">
        <f t="shared" si="26"/>
        <v>20</v>
      </c>
      <c r="D1867" s="17"/>
      <c r="E1867" s="17">
        <f t="shared" si="99"/>
        <v>65919</v>
      </c>
      <c r="F1867" s="17">
        <f t="shared" ca="1" si="1"/>
        <v>2017</v>
      </c>
      <c r="G1867" s="17">
        <f t="shared" ca="1" si="100"/>
        <v>10937</v>
      </c>
      <c r="H1867" s="3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</row>
    <row r="1868" spans="1:26" ht="13.5" customHeight="1" x14ac:dyDescent="0.3">
      <c r="A1868" s="17" t="s">
        <v>644</v>
      </c>
      <c r="B1868" s="17">
        <f t="shared" si="98"/>
        <v>20</v>
      </c>
      <c r="C1868" s="17">
        <f t="shared" si="26"/>
        <v>21</v>
      </c>
      <c r="D1868" s="17"/>
      <c r="E1868" s="17">
        <f t="shared" si="99"/>
        <v>65919</v>
      </c>
      <c r="F1868" s="17">
        <f t="shared" ca="1" si="1"/>
        <v>2017</v>
      </c>
      <c r="G1868" s="17">
        <f t="shared" ca="1" si="100"/>
        <v>10938</v>
      </c>
      <c r="H1868" s="3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</row>
    <row r="1869" spans="1:26" ht="13.5" customHeight="1" x14ac:dyDescent="0.3">
      <c r="A1869" s="17" t="s">
        <v>644</v>
      </c>
      <c r="B1869" s="17">
        <f t="shared" si="98"/>
        <v>20</v>
      </c>
      <c r="C1869" s="17">
        <f t="shared" si="26"/>
        <v>22</v>
      </c>
      <c r="D1869" s="17"/>
      <c r="E1869" s="17">
        <f t="shared" si="99"/>
        <v>65919</v>
      </c>
      <c r="F1869" s="17">
        <f t="shared" ca="1" si="1"/>
        <v>2017</v>
      </c>
      <c r="G1869" s="17">
        <f t="shared" ca="1" si="100"/>
        <v>11007</v>
      </c>
      <c r="H1869" s="29" t="str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Accrued Benefit Formula= 2% x YOS x AFC (Max= 75% AFC)</v>
      </c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</row>
    <row r="1870" spans="1:26" ht="13.5" customHeight="1" x14ac:dyDescent="0.3">
      <c r="A1870" s="17" t="s">
        <v>644</v>
      </c>
      <c r="B1870" s="17">
        <f t="shared" si="98"/>
        <v>20</v>
      </c>
      <c r="C1870" s="17">
        <f t="shared" si="26"/>
        <v>23</v>
      </c>
      <c r="D1870" s="17"/>
      <c r="E1870" s="17">
        <f t="shared" si="99"/>
        <v>65919</v>
      </c>
      <c r="F1870" s="17">
        <f t="shared" ca="1" si="1"/>
        <v>2017</v>
      </c>
      <c r="G1870" s="17">
        <f t="shared" ca="1" si="100"/>
        <v>10941</v>
      </c>
      <c r="H1870" s="29" t="str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COLA</v>
      </c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</row>
    <row r="1871" spans="1:26" ht="13.5" customHeight="1" x14ac:dyDescent="0.3">
      <c r="A1871" s="17" t="s">
        <v>644</v>
      </c>
      <c r="B1871" s="17">
        <f t="shared" si="98"/>
        <v>20</v>
      </c>
      <c r="C1871" s="17">
        <f t="shared" si="26"/>
        <v>24</v>
      </c>
      <c r="D1871" s="17"/>
      <c r="E1871" s="17">
        <f t="shared" si="99"/>
        <v>65919</v>
      </c>
      <c r="F1871" s="17">
        <f t="shared" ca="1" si="1"/>
        <v>2017</v>
      </c>
      <c r="G1871" s="17">
        <f t="shared" ca="1" si="100"/>
        <v>10942</v>
      </c>
      <c r="H1871" s="29" t="str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Percentage</v>
      </c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</row>
    <row r="1872" spans="1:26" ht="13.5" customHeight="1" x14ac:dyDescent="0.3">
      <c r="A1872" s="17" t="s">
        <v>644</v>
      </c>
      <c r="B1872" s="17">
        <f t="shared" si="98"/>
        <v>20</v>
      </c>
      <c r="C1872" s="17">
        <f t="shared" si="26"/>
        <v>25</v>
      </c>
      <c r="D1872" s="17"/>
      <c r="E1872" s="17">
        <f t="shared" si="99"/>
        <v>65919</v>
      </c>
      <c r="F1872" s="17">
        <f t="shared" ca="1" si="1"/>
        <v>2017</v>
      </c>
      <c r="G1872" s="17">
        <f t="shared" ca="1" si="100"/>
        <v>10701</v>
      </c>
      <c r="H1872" s="3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</row>
    <row r="1873" spans="1:26" ht="13.5" customHeight="1" x14ac:dyDescent="0.3">
      <c r="A1873" s="17" t="s">
        <v>644</v>
      </c>
      <c r="B1873" s="17">
        <f t="shared" si="98"/>
        <v>20</v>
      </c>
      <c r="C1873" s="17">
        <f t="shared" si="26"/>
        <v>26</v>
      </c>
      <c r="D1873" s="17"/>
      <c r="E1873" s="17">
        <f t="shared" si="99"/>
        <v>65919</v>
      </c>
      <c r="F1873" s="17">
        <f t="shared" ca="1" si="1"/>
        <v>2017</v>
      </c>
      <c r="G1873" s="17">
        <f t="shared" ca="1" si="100"/>
        <v>10702</v>
      </c>
      <c r="H1873" s="3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</row>
    <row r="1874" spans="1:26" ht="13.5" customHeight="1" x14ac:dyDescent="0.3">
      <c r="A1874" s="17" t="s">
        <v>644</v>
      </c>
      <c r="B1874" s="17">
        <f t="shared" si="98"/>
        <v>20</v>
      </c>
      <c r="C1874" s="17">
        <f t="shared" si="26"/>
        <v>27</v>
      </c>
      <c r="D1874" s="17"/>
      <c r="E1874" s="17">
        <f t="shared" si="99"/>
        <v>65919</v>
      </c>
      <c r="F1874" s="17">
        <f t="shared" ca="1" si="1"/>
        <v>2017</v>
      </c>
      <c r="G1874" s="17">
        <f t="shared" ca="1" si="100"/>
        <v>10943</v>
      </c>
      <c r="H1874" s="31" t="str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Lesser of CPI or 3%</v>
      </c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</row>
    <row r="1875" spans="1:26" ht="13.5" customHeight="1" x14ac:dyDescent="0.3">
      <c r="A1875" s="17" t="s">
        <v>644</v>
      </c>
      <c r="B1875" s="17">
        <f t="shared" si="98"/>
        <v>20</v>
      </c>
      <c r="C1875" s="17">
        <f t="shared" si="26"/>
        <v>28</v>
      </c>
      <c r="D1875" s="17"/>
      <c r="E1875" s="17">
        <f t="shared" si="99"/>
        <v>65919</v>
      </c>
      <c r="F1875" s="17">
        <f t="shared" ca="1" si="1"/>
        <v>2017</v>
      </c>
      <c r="G1875" s="17">
        <f t="shared" ca="1" si="100"/>
        <v>10944</v>
      </c>
      <c r="H1875" s="31" t="str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No</v>
      </c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</row>
    <row r="1876" spans="1:26" ht="13.5" customHeight="1" x14ac:dyDescent="0.3">
      <c r="A1876" s="17" t="s">
        <v>644</v>
      </c>
      <c r="B1876" s="17">
        <f t="shared" si="98"/>
        <v>20</v>
      </c>
      <c r="C1876" s="17">
        <f t="shared" si="26"/>
        <v>29</v>
      </c>
      <c r="D1876" s="17"/>
      <c r="E1876" s="17">
        <f t="shared" si="99"/>
        <v>65919</v>
      </c>
      <c r="F1876" s="17">
        <f t="shared" ca="1" si="1"/>
        <v>2017</v>
      </c>
      <c r="G1876" s="17">
        <f t="shared" ca="1" si="100"/>
        <v>10945</v>
      </c>
      <c r="H1876" s="31" t="str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No</v>
      </c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</row>
    <row r="1877" spans="1:26" ht="13.5" customHeight="1" x14ac:dyDescent="0.3">
      <c r="A1877" s="17" t="s">
        <v>644</v>
      </c>
      <c r="B1877" s="17">
        <f t="shared" si="98"/>
        <v>20</v>
      </c>
      <c r="C1877" s="17">
        <f t="shared" si="26"/>
        <v>30</v>
      </c>
      <c r="D1877" s="17"/>
      <c r="E1877" s="17">
        <f t="shared" si="99"/>
        <v>65919</v>
      </c>
      <c r="F1877" s="17">
        <f t="shared" ca="1" si="1"/>
        <v>2017</v>
      </c>
      <c r="G1877" s="17">
        <f t="shared" ca="1" si="100"/>
        <v>10947</v>
      </c>
      <c r="H1877" s="2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</row>
    <row r="1878" spans="1:26" ht="13.5" customHeight="1" x14ac:dyDescent="0.3">
      <c r="A1878" s="17" t="s">
        <v>644</v>
      </c>
      <c r="B1878" s="17">
        <f t="shared" si="98"/>
        <v>20</v>
      </c>
      <c r="C1878" s="17">
        <f t="shared" si="26"/>
        <v>31</v>
      </c>
      <c r="D1878" s="17"/>
      <c r="E1878" s="17">
        <f t="shared" si="99"/>
        <v>65919</v>
      </c>
      <c r="F1878" s="17">
        <f t="shared" ca="1" si="1"/>
        <v>2017</v>
      </c>
      <c r="G1878" s="17">
        <f t="shared" ca="1" si="100"/>
        <v>10948</v>
      </c>
      <c r="H1878" s="31" t="str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No</v>
      </c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</row>
    <row r="1879" spans="1:26" ht="13.5" customHeight="1" x14ac:dyDescent="0.3">
      <c r="A1879" s="17" t="s">
        <v>644</v>
      </c>
      <c r="B1879" s="17">
        <f t="shared" si="98"/>
        <v>20</v>
      </c>
      <c r="C1879" s="17">
        <f t="shared" si="26"/>
        <v>32</v>
      </c>
      <c r="D1879" s="17"/>
      <c r="E1879" s="17">
        <f t="shared" si="99"/>
        <v>65919</v>
      </c>
      <c r="F1879" s="17">
        <f t="shared" ca="1" si="1"/>
        <v>2017</v>
      </c>
      <c r="G1879" s="17">
        <f t="shared" ca="1" si="100"/>
        <v>10949</v>
      </c>
      <c r="H1879" s="31" t="str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No</v>
      </c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</row>
    <row r="1880" spans="1:26" ht="13.5" customHeight="1" x14ac:dyDescent="0.3">
      <c r="A1880" s="17" t="s">
        <v>644</v>
      </c>
      <c r="B1880" s="17">
        <f t="shared" si="98"/>
        <v>20</v>
      </c>
      <c r="C1880" s="17">
        <f t="shared" si="26"/>
        <v>33</v>
      </c>
      <c r="D1880" s="17"/>
      <c r="E1880" s="17">
        <f t="shared" si="99"/>
        <v>65919</v>
      </c>
      <c r="F1880" s="17">
        <f t="shared" ca="1" si="1"/>
        <v>2017</v>
      </c>
      <c r="G1880" s="17">
        <f t="shared" ca="1" si="100"/>
        <v>10951</v>
      </c>
      <c r="H1880" s="31" t="str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No</v>
      </c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</row>
    <row r="1881" spans="1:26" ht="13.5" customHeight="1" x14ac:dyDescent="0.3">
      <c r="A1881" s="17" t="s">
        <v>644</v>
      </c>
      <c r="B1881" s="17">
        <f t="shared" si="98"/>
        <v>20</v>
      </c>
      <c r="C1881" s="17">
        <f t="shared" si="26"/>
        <v>34</v>
      </c>
      <c r="D1881" s="17"/>
      <c r="E1881" s="17">
        <f t="shared" si="99"/>
        <v>65919</v>
      </c>
      <c r="F1881" s="17">
        <f t="shared" ca="1" si="1"/>
        <v>2017</v>
      </c>
      <c r="G1881" s="17">
        <f t="shared" ca="1" si="100"/>
        <v>10950</v>
      </c>
      <c r="H1881" s="31" t="str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No</v>
      </c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</row>
    <row r="1882" spans="1:26" ht="13.5" customHeight="1" x14ac:dyDescent="0.3">
      <c r="A1882" s="17" t="s">
        <v>644</v>
      </c>
      <c r="B1882" s="17">
        <f t="shared" si="98"/>
        <v>20</v>
      </c>
      <c r="C1882" s="17">
        <f t="shared" si="26"/>
        <v>35</v>
      </c>
      <c r="D1882" s="17"/>
      <c r="E1882" s="17">
        <f t="shared" si="99"/>
        <v>65919</v>
      </c>
      <c r="F1882" s="17">
        <f t="shared" ca="1" si="1"/>
        <v>2017</v>
      </c>
      <c r="G1882" s="17">
        <f t="shared" ca="1" si="100"/>
        <v>10954</v>
      </c>
      <c r="H1882" s="3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2.75E-2</v>
      </c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</row>
    <row r="1883" spans="1:26" ht="13.5" customHeight="1" x14ac:dyDescent="0.3">
      <c r="A1883" s="17" t="s">
        <v>644</v>
      </c>
      <c r="B1883" s="17">
        <f t="shared" si="98"/>
        <v>20</v>
      </c>
      <c r="C1883" s="17">
        <f t="shared" si="26"/>
        <v>36</v>
      </c>
      <c r="D1883" s="17"/>
      <c r="E1883" s="17">
        <f t="shared" si="99"/>
        <v>65919</v>
      </c>
      <c r="F1883" s="17">
        <f t="shared" ca="1" si="1"/>
        <v>2017</v>
      </c>
      <c r="G1883" s="17">
        <f t="shared" ca="1" si="100"/>
        <v>10955</v>
      </c>
      <c r="H1883" s="3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7.4999999999999997E-2</v>
      </c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</row>
    <row r="1884" spans="1:26" ht="13.5" customHeight="1" x14ac:dyDescent="0.3">
      <c r="A1884" s="17" t="s">
        <v>644</v>
      </c>
      <c r="B1884" s="17">
        <f t="shared" si="98"/>
        <v>20</v>
      </c>
      <c r="C1884" s="17">
        <f t="shared" si="26"/>
        <v>37</v>
      </c>
      <c r="D1884" s="17"/>
      <c r="E1884" s="17">
        <f t="shared" si="99"/>
        <v>65919</v>
      </c>
      <c r="F1884" s="17">
        <f t="shared" ca="1" si="1"/>
        <v>2017</v>
      </c>
      <c r="G1884" s="17">
        <f t="shared" ca="1" si="100"/>
        <v>10956</v>
      </c>
      <c r="H1884" s="3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3.325E-4</v>
      </c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</row>
    <row r="1885" spans="1:26" ht="13.5" customHeight="1" x14ac:dyDescent="0.3">
      <c r="A1885" s="17" t="s">
        <v>644</v>
      </c>
      <c r="B1885" s="17">
        <f t="shared" si="98"/>
        <v>20</v>
      </c>
      <c r="C1885" s="17">
        <f t="shared" si="26"/>
        <v>38</v>
      </c>
      <c r="D1885" s="17"/>
      <c r="E1885" s="17">
        <f t="shared" si="99"/>
        <v>65919</v>
      </c>
      <c r="F1885" s="17">
        <f t="shared" ca="1" si="1"/>
        <v>2017</v>
      </c>
      <c r="G1885" s="17">
        <f t="shared" ca="1" si="100"/>
        <v>10959</v>
      </c>
      <c r="H1885" s="3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3.5000000000000003E-2</v>
      </c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</row>
    <row r="1886" spans="1:26" ht="13.5" customHeight="1" x14ac:dyDescent="0.3">
      <c r="A1886" s="17" t="s">
        <v>644</v>
      </c>
      <c r="B1886" s="17">
        <f t="shared" si="98"/>
        <v>20</v>
      </c>
      <c r="C1886" s="17">
        <f t="shared" si="26"/>
        <v>39</v>
      </c>
      <c r="D1886" s="17"/>
      <c r="E1886" s="17">
        <f t="shared" si="99"/>
        <v>65919</v>
      </c>
      <c r="F1886" s="17">
        <f t="shared" ca="1" si="1"/>
        <v>2017</v>
      </c>
      <c r="G1886" s="17">
        <f t="shared" ca="1" si="100"/>
        <v>10962</v>
      </c>
      <c r="H1886" s="29" t="str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CAFR Pg 141</v>
      </c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</row>
    <row r="1887" spans="1:26" ht="13.5" customHeight="1" x14ac:dyDescent="0.3">
      <c r="A1887" s="17" t="s">
        <v>644</v>
      </c>
      <c r="B1887" s="17">
        <f t="shared" si="98"/>
        <v>20</v>
      </c>
      <c r="C1887" s="17">
        <f t="shared" si="26"/>
        <v>40</v>
      </c>
      <c r="D1887" s="17"/>
      <c r="E1887" s="17">
        <f t="shared" si="99"/>
        <v>65919</v>
      </c>
      <c r="F1887" s="17">
        <f t="shared" ca="1" si="1"/>
        <v>2017</v>
      </c>
      <c r="G1887" s="17">
        <f t="shared" ca="1" si="100"/>
        <v>10964</v>
      </c>
      <c r="H1887" s="29" t="str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CAFR Pg 138</v>
      </c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</row>
    <row r="1888" spans="1:26" ht="13.5" customHeight="1" x14ac:dyDescent="0.3">
      <c r="A1888" s="17" t="s">
        <v>644</v>
      </c>
      <c r="B1888" s="17">
        <f t="shared" si="98"/>
        <v>20</v>
      </c>
      <c r="C1888" s="17">
        <f t="shared" si="26"/>
        <v>41</v>
      </c>
      <c r="D1888" s="17"/>
      <c r="E1888" s="17">
        <f t="shared" si="99"/>
        <v>65919</v>
      </c>
      <c r="F1888" s="17">
        <f t="shared" ca="1" si="1"/>
        <v>2017</v>
      </c>
      <c r="G1888" s="17">
        <f t="shared" ca="1" si="100"/>
        <v>10967</v>
      </c>
      <c r="H1888" s="29" t="str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RP-2000 Combined Healthy Table</v>
      </c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</row>
    <row r="1889" spans="1:26" ht="13.5" customHeight="1" x14ac:dyDescent="0.3">
      <c r="A1889" s="17" t="s">
        <v>644</v>
      </c>
      <c r="B1889" s="17">
        <f t="shared" si="98"/>
        <v>20</v>
      </c>
      <c r="C1889" s="17">
        <f t="shared" si="26"/>
        <v>42</v>
      </c>
      <c r="D1889" s="17"/>
      <c r="E1889" s="17">
        <f t="shared" si="99"/>
        <v>65919</v>
      </c>
      <c r="F1889" s="17">
        <f t="shared" ca="1" si="1"/>
        <v>2017</v>
      </c>
      <c r="G1889" s="17">
        <f t="shared" ca="1" si="100"/>
        <v>10968</v>
      </c>
      <c r="H1889" s="2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2000</v>
      </c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</row>
    <row r="1890" spans="1:26" ht="13.5" customHeight="1" x14ac:dyDescent="0.3">
      <c r="A1890" s="17" t="s">
        <v>644</v>
      </c>
      <c r="B1890" s="17">
        <f t="shared" si="98"/>
        <v>20</v>
      </c>
      <c r="C1890" s="17">
        <f t="shared" si="26"/>
        <v>43</v>
      </c>
      <c r="D1890" s="17"/>
      <c r="E1890" s="17">
        <f t="shared" si="99"/>
        <v>65919</v>
      </c>
      <c r="F1890" s="17">
        <f t="shared" ca="1" si="1"/>
        <v>2017</v>
      </c>
      <c r="G1890" s="17">
        <f t="shared" ca="1" si="100"/>
        <v>10969</v>
      </c>
      <c r="H1890" s="2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Scale BB</v>
      </c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</row>
    <row r="1891" spans="1:26" ht="13.5" customHeight="1" x14ac:dyDescent="0.3">
      <c r="A1891" s="17" t="s">
        <v>644</v>
      </c>
      <c r="B1891" s="17">
        <f t="shared" si="98"/>
        <v>20</v>
      </c>
      <c r="C1891" s="17">
        <f t="shared" si="26"/>
        <v>44</v>
      </c>
      <c r="D1891" s="17"/>
      <c r="E1891" s="17">
        <f t="shared" si="99"/>
        <v>65919</v>
      </c>
      <c r="F1891" s="17">
        <f t="shared" ca="1" si="1"/>
        <v>2017</v>
      </c>
      <c r="G1891" s="17">
        <f t="shared" ca="1" si="100"/>
        <v>10970</v>
      </c>
      <c r="H1891" s="2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</row>
    <row r="1892" spans="1:26" ht="13.5" customHeight="1" x14ac:dyDescent="0.3">
      <c r="A1892" s="17" t="s">
        <v>644</v>
      </c>
      <c r="B1892" s="17">
        <f t="shared" si="98"/>
        <v>20</v>
      </c>
      <c r="C1892" s="17">
        <f t="shared" si="26"/>
        <v>45</v>
      </c>
      <c r="D1892" s="17"/>
      <c r="E1892" s="17">
        <f t="shared" si="99"/>
        <v>65919</v>
      </c>
      <c r="F1892" s="17">
        <f t="shared" ca="1" si="1"/>
        <v>2017</v>
      </c>
      <c r="G1892" s="17">
        <f t="shared" ca="1" si="100"/>
        <v>10971</v>
      </c>
      <c r="H1892" s="2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</row>
    <row r="1893" spans="1:26" ht="13.5" customHeight="1" x14ac:dyDescent="0.3">
      <c r="A1893" s="17" t="s">
        <v>644</v>
      </c>
      <c r="B1893" s="17">
        <f t="shared" si="98"/>
        <v>20</v>
      </c>
      <c r="C1893" s="17">
        <f t="shared" si="26"/>
        <v>46</v>
      </c>
      <c r="D1893" s="17"/>
      <c r="E1893" s="17">
        <f t="shared" si="99"/>
        <v>65919</v>
      </c>
      <c r="F1893" s="17">
        <f t="shared" ca="1" si="1"/>
        <v>2017</v>
      </c>
      <c r="G1893" s="17">
        <f t="shared" ca="1" si="100"/>
        <v>10972</v>
      </c>
      <c r="H1893" s="29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N/A</v>
      </c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</row>
    <row r="1894" spans="1:26" ht="13.5" customHeight="1" x14ac:dyDescent="0.3">
      <c r="A1894" s="17" t="s">
        <v>644</v>
      </c>
      <c r="B1894" s="17">
        <f t="shared" si="98"/>
        <v>20</v>
      </c>
      <c r="C1894" s="17">
        <f t="shared" si="26"/>
        <v>47</v>
      </c>
      <c r="D1894" s="17"/>
      <c r="E1894" s="17">
        <f t="shared" si="99"/>
        <v>65919</v>
      </c>
      <c r="F1894" s="17">
        <f t="shared" ca="1" si="1"/>
        <v>2017</v>
      </c>
      <c r="G1894" s="17">
        <f t="shared" ca="1" si="100"/>
        <v>10973</v>
      </c>
      <c r="H1894" s="29" t="str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N/A</v>
      </c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</row>
    <row r="1895" spans="1:26" ht="13.5" customHeight="1" x14ac:dyDescent="0.3">
      <c r="A1895" s="17" t="s">
        <v>644</v>
      </c>
      <c r="B1895" s="17">
        <f t="shared" si="98"/>
        <v>20</v>
      </c>
      <c r="C1895" s="17">
        <f t="shared" si="26"/>
        <v>48</v>
      </c>
      <c r="D1895" s="17"/>
      <c r="E1895" s="17">
        <f t="shared" si="99"/>
        <v>65919</v>
      </c>
      <c r="F1895" s="17">
        <f t="shared" ca="1" si="1"/>
        <v>2017</v>
      </c>
      <c r="G1895" s="17">
        <f t="shared" ca="1" si="100"/>
        <v>10975</v>
      </c>
      <c r="H1895" s="29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 xml:space="preserve">Aggregate   </v>
      </c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</row>
    <row r="1896" spans="1:26" ht="13.5" customHeight="1" x14ac:dyDescent="0.3">
      <c r="A1896" s="17" t="s">
        <v>644</v>
      </c>
      <c r="B1896" s="17">
        <f t="shared" si="98"/>
        <v>20</v>
      </c>
      <c r="C1896" s="17">
        <f t="shared" si="26"/>
        <v>49</v>
      </c>
      <c r="D1896" s="17"/>
      <c r="E1896" s="17">
        <f t="shared" si="99"/>
        <v>65919</v>
      </c>
      <c r="F1896" s="17">
        <f t="shared" ca="1" si="1"/>
        <v>2017</v>
      </c>
      <c r="G1896" s="17">
        <f t="shared" ca="1" si="100"/>
        <v>10976</v>
      </c>
      <c r="H1896" s="3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7.4999999999999997E-2</v>
      </c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</row>
    <row r="1897" spans="1:26" ht="13.5" customHeight="1" x14ac:dyDescent="0.3">
      <c r="A1897" s="17" t="s">
        <v>644</v>
      </c>
      <c r="B1897" s="17">
        <f t="shared" si="98"/>
        <v>20</v>
      </c>
      <c r="C1897" s="17">
        <f t="shared" si="26"/>
        <v>50</v>
      </c>
      <c r="D1897" s="17"/>
      <c r="E1897" s="17">
        <f t="shared" si="99"/>
        <v>65919</v>
      </c>
      <c r="F1897" s="17">
        <f t="shared" ca="1" si="1"/>
        <v>2017</v>
      </c>
      <c r="G1897" s="17">
        <f t="shared" ca="1" si="100"/>
        <v>10977</v>
      </c>
      <c r="H1897" s="31" t="str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No</v>
      </c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</row>
    <row r="1898" spans="1:26" ht="13.5" customHeight="1" x14ac:dyDescent="0.3">
      <c r="A1898" s="17" t="s">
        <v>644</v>
      </c>
      <c r="B1898" s="17">
        <f t="shared" si="98"/>
        <v>20</v>
      </c>
      <c r="C1898" s="17">
        <f t="shared" si="26"/>
        <v>51</v>
      </c>
      <c r="D1898" s="17"/>
      <c r="E1898" s="17">
        <f t="shared" si="99"/>
        <v>65919</v>
      </c>
      <c r="F1898" s="17">
        <f t="shared" ca="1" si="1"/>
        <v>2017</v>
      </c>
      <c r="G1898" s="17">
        <f t="shared" ca="1" si="100"/>
        <v>10978</v>
      </c>
      <c r="H1898" s="3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7.4999999999999997E-2</v>
      </c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</row>
    <row r="1899" spans="1:26" ht="13.5" customHeight="1" x14ac:dyDescent="0.3">
      <c r="A1899" s="17" t="s">
        <v>644</v>
      </c>
      <c r="B1899" s="17">
        <f t="shared" si="98"/>
        <v>20</v>
      </c>
      <c r="C1899" s="17">
        <f t="shared" si="26"/>
        <v>52</v>
      </c>
      <c r="D1899" s="17"/>
      <c r="E1899" s="17">
        <f t="shared" si="99"/>
        <v>65919</v>
      </c>
      <c r="F1899" s="17">
        <f t="shared" ca="1" si="1"/>
        <v>2017</v>
      </c>
      <c r="G1899" s="17">
        <f t="shared" ca="1" si="100"/>
        <v>10979</v>
      </c>
      <c r="H1899" s="29" t="str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8 Years</v>
      </c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</row>
    <row r="1900" spans="1:26" ht="13.5" customHeight="1" x14ac:dyDescent="0.3">
      <c r="A1900" s="17" t="s">
        <v>644</v>
      </c>
      <c r="B1900" s="17">
        <f t="shared" si="98"/>
        <v>20</v>
      </c>
      <c r="C1900" s="17">
        <f t="shared" si="26"/>
        <v>53</v>
      </c>
      <c r="D1900" s="17"/>
      <c r="E1900" s="17">
        <f t="shared" si="99"/>
        <v>65919</v>
      </c>
      <c r="F1900" s="17">
        <f t="shared" ca="1" si="1"/>
        <v>2017</v>
      </c>
      <c r="G1900" s="17">
        <f t="shared" ca="1" si="100"/>
        <v>10980</v>
      </c>
      <c r="H1900" s="3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</row>
    <row r="1901" spans="1:26" ht="13.5" customHeight="1" x14ac:dyDescent="0.3">
      <c r="A1901" s="17" t="s">
        <v>644</v>
      </c>
      <c r="B1901" s="17">
        <f t="shared" si="98"/>
        <v>20</v>
      </c>
      <c r="C1901" s="17">
        <f t="shared" si="26"/>
        <v>54</v>
      </c>
      <c r="D1901" s="17"/>
      <c r="E1901" s="17">
        <f t="shared" si="99"/>
        <v>65919</v>
      </c>
      <c r="F1901" s="17">
        <f t="shared" ca="1" si="1"/>
        <v>2017</v>
      </c>
      <c r="G1901" s="17">
        <f t="shared" ca="1" si="100"/>
        <v>10981</v>
      </c>
      <c r="H1901" s="3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</row>
    <row r="1902" spans="1:26" ht="13.5" customHeight="1" x14ac:dyDescent="0.3">
      <c r="A1902" s="17" t="s">
        <v>644</v>
      </c>
      <c r="B1902" s="17">
        <f t="shared" si="98"/>
        <v>20</v>
      </c>
      <c r="C1902" s="17">
        <f t="shared" si="26"/>
        <v>55</v>
      </c>
      <c r="D1902" s="17"/>
      <c r="E1902" s="17">
        <f t="shared" si="99"/>
        <v>65919</v>
      </c>
      <c r="F1902" s="17">
        <f t="shared" ca="1" si="1"/>
        <v>2017</v>
      </c>
      <c r="G1902" s="17">
        <f t="shared" ca="1" si="100"/>
        <v>10706</v>
      </c>
      <c r="H1902" s="3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4.5502705800645299E-4</v>
      </c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</row>
    <row r="1903" spans="1:26" ht="13.5" customHeight="1" x14ac:dyDescent="0.3">
      <c r="A1903" s="17" t="s">
        <v>644</v>
      </c>
      <c r="B1903" s="17">
        <f t="shared" si="98"/>
        <v>20</v>
      </c>
      <c r="C1903" s="17">
        <f t="shared" si="26"/>
        <v>56</v>
      </c>
      <c r="D1903" s="17"/>
      <c r="E1903" s="17">
        <f t="shared" si="99"/>
        <v>65919</v>
      </c>
      <c r="F1903" s="17">
        <f t="shared" ca="1" si="1"/>
        <v>2017</v>
      </c>
      <c r="G1903" s="17">
        <f t="shared" ca="1" si="100"/>
        <v>10983</v>
      </c>
      <c r="H1903" s="30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No</v>
      </c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</row>
    <row r="1904" spans="1:26" ht="13.5" customHeight="1" x14ac:dyDescent="0.3">
      <c r="A1904" s="17" t="s">
        <v>644</v>
      </c>
      <c r="B1904" s="17">
        <f t="shared" si="98"/>
        <v>20</v>
      </c>
      <c r="C1904" s="17">
        <f t="shared" si="26"/>
        <v>57</v>
      </c>
      <c r="D1904" s="17"/>
      <c r="E1904" s="17">
        <f t="shared" si="99"/>
        <v>65919</v>
      </c>
      <c r="F1904" s="17">
        <f t="shared" ca="1" si="1"/>
        <v>2017</v>
      </c>
      <c r="G1904" s="17">
        <f t="shared" ca="1" si="100"/>
        <v>10989</v>
      </c>
      <c r="H1904" s="3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1144000000</v>
      </c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</row>
    <row r="1905" spans="1:26" ht="13.5" customHeight="1" x14ac:dyDescent="0.3">
      <c r="A1905" s="17" t="s">
        <v>644</v>
      </c>
      <c r="B1905" s="17">
        <f t="shared" si="98"/>
        <v>20</v>
      </c>
      <c r="C1905" s="17">
        <f t="shared" si="26"/>
        <v>58</v>
      </c>
      <c r="D1905" s="17"/>
      <c r="E1905" s="17">
        <f t="shared" si="99"/>
        <v>65919</v>
      </c>
      <c r="F1905" s="17">
        <f t="shared" ca="1" si="1"/>
        <v>2017</v>
      </c>
      <c r="G1905" s="17">
        <f t="shared" ca="1" si="100"/>
        <v>10990</v>
      </c>
      <c r="H1905" s="30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1245000000</v>
      </c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</row>
    <row r="1906" spans="1:26" ht="13.5" customHeight="1" x14ac:dyDescent="0.3">
      <c r="A1906" s="17" t="s">
        <v>644</v>
      </c>
      <c r="B1906" s="17">
        <f t="shared" si="98"/>
        <v>20</v>
      </c>
      <c r="C1906" s="17">
        <f t="shared" si="26"/>
        <v>59</v>
      </c>
      <c r="D1906" s="17"/>
      <c r="E1906" s="17">
        <f t="shared" si="99"/>
        <v>65919</v>
      </c>
      <c r="F1906" s="17">
        <f t="shared" ca="1" si="1"/>
        <v>2017</v>
      </c>
      <c r="G1906" s="17">
        <f t="shared" ca="1" si="100"/>
        <v>10991</v>
      </c>
      <c r="H1906" s="3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100000000</v>
      </c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</row>
    <row r="1907" spans="1:26" ht="13.5" customHeight="1" x14ac:dyDescent="0.3">
      <c r="A1907" s="17" t="s">
        <v>644</v>
      </c>
      <c r="B1907" s="17">
        <f t="shared" si="98"/>
        <v>20</v>
      </c>
      <c r="C1907" s="17">
        <f t="shared" si="26"/>
        <v>60</v>
      </c>
      <c r="D1907" s="17"/>
      <c r="E1907" s="17">
        <f t="shared" si="99"/>
        <v>65919</v>
      </c>
      <c r="F1907" s="17">
        <f t="shared" ca="1" si="1"/>
        <v>2017</v>
      </c>
      <c r="G1907" s="17">
        <f t="shared" ca="1" si="100"/>
        <v>10992</v>
      </c>
      <c r="H1907" s="3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0.92</v>
      </c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</row>
    <row r="1908" spans="1:26" ht="13.5" customHeight="1" x14ac:dyDescent="0.3">
      <c r="A1908" s="17" t="s">
        <v>644</v>
      </c>
      <c r="B1908" s="17">
        <f t="shared" si="98"/>
        <v>20</v>
      </c>
      <c r="C1908" s="17">
        <f t="shared" si="26"/>
        <v>61</v>
      </c>
      <c r="D1908" s="17"/>
      <c r="E1908" s="17">
        <f t="shared" si="99"/>
        <v>65919</v>
      </c>
      <c r="F1908" s="17">
        <f t="shared" ca="1" si="1"/>
        <v>2017</v>
      </c>
      <c r="G1908" s="17">
        <f t="shared" ca="1" si="100"/>
        <v>10993</v>
      </c>
      <c r="H1908" s="30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</row>
    <row r="1909" spans="1:26" ht="13.5" customHeight="1" x14ac:dyDescent="0.3">
      <c r="A1909" s="17" t="s">
        <v>644</v>
      </c>
      <c r="B1909" s="17">
        <f t="shared" si="98"/>
        <v>20</v>
      </c>
      <c r="C1909" s="17">
        <f t="shared" si="26"/>
        <v>62</v>
      </c>
      <c r="D1909" s="17"/>
      <c r="E1909" s="17">
        <f t="shared" si="99"/>
        <v>65919</v>
      </c>
      <c r="F1909" s="17">
        <f t="shared" ca="1" si="1"/>
        <v>2017</v>
      </c>
      <c r="G1909" s="17">
        <f t="shared" ca="1" si="100"/>
        <v>10801</v>
      </c>
      <c r="H1909" s="30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-7700000</v>
      </c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</row>
    <row r="1910" spans="1:26" ht="13.5" customHeight="1" x14ac:dyDescent="0.3">
      <c r="A1910" s="17" t="s">
        <v>644</v>
      </c>
      <c r="B1910" s="17">
        <f t="shared" si="98"/>
        <v>20</v>
      </c>
      <c r="C1910" s="17">
        <f t="shared" si="26"/>
        <v>63</v>
      </c>
      <c r="D1910" s="17"/>
      <c r="E1910" s="17">
        <f t="shared" si="99"/>
        <v>65919</v>
      </c>
      <c r="F1910" s="17">
        <f t="shared" ca="1" si="1"/>
        <v>2017</v>
      </c>
      <c r="G1910" s="17">
        <f t="shared" ca="1" si="100"/>
        <v>10802</v>
      </c>
      <c r="H1910" s="30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</row>
    <row r="1911" spans="1:26" ht="13.5" customHeight="1" x14ac:dyDescent="0.3">
      <c r="A1911" s="17" t="s">
        <v>644</v>
      </c>
      <c r="B1911" s="17">
        <f t="shared" si="98"/>
        <v>20</v>
      </c>
      <c r="C1911" s="17">
        <f t="shared" si="26"/>
        <v>64</v>
      </c>
      <c r="D1911" s="17"/>
      <c r="E1911" s="17">
        <f t="shared" si="99"/>
        <v>65919</v>
      </c>
      <c r="F1911" s="17">
        <f t="shared" ca="1" si="1"/>
        <v>2017</v>
      </c>
      <c r="G1911" s="17">
        <f t="shared" ca="1" si="100"/>
        <v>10803</v>
      </c>
      <c r="H1911" s="3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</row>
    <row r="1912" spans="1:26" ht="13.5" customHeight="1" x14ac:dyDescent="0.3">
      <c r="A1912" s="17" t="s">
        <v>644</v>
      </c>
      <c r="B1912" s="17">
        <f t="shared" si="98"/>
        <v>20</v>
      </c>
      <c r="C1912" s="17">
        <f t="shared" si="26"/>
        <v>65</v>
      </c>
      <c r="D1912" s="17"/>
      <c r="E1912" s="17">
        <f t="shared" si="99"/>
        <v>65919</v>
      </c>
      <c r="F1912" s="17">
        <f t="shared" ca="1" si="1"/>
        <v>2017</v>
      </c>
      <c r="G1912" s="17">
        <f t="shared" ca="1" si="100"/>
        <v>10804</v>
      </c>
      <c r="H1912" s="3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</row>
    <row r="1913" spans="1:26" ht="13.5" customHeight="1" x14ac:dyDescent="0.3">
      <c r="A1913" s="17" t="s">
        <v>644</v>
      </c>
      <c r="B1913" s="17">
        <f t="shared" si="98"/>
        <v>20</v>
      </c>
      <c r="C1913" s="17">
        <f t="shared" si="26"/>
        <v>66</v>
      </c>
      <c r="D1913" s="17"/>
      <c r="E1913" s="17">
        <f t="shared" si="99"/>
        <v>65919</v>
      </c>
      <c r="F1913" s="17">
        <f t="shared" ca="1" si="1"/>
        <v>2017</v>
      </c>
      <c r="G1913" s="17">
        <f t="shared" ca="1" si="100"/>
        <v>10805</v>
      </c>
      <c r="H1913" s="30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</row>
    <row r="1914" spans="1:26" ht="13.5" customHeight="1" x14ac:dyDescent="0.3">
      <c r="A1914" s="17" t="s">
        <v>644</v>
      </c>
      <c r="B1914" s="17">
        <f t="shared" si="98"/>
        <v>20</v>
      </c>
      <c r="C1914" s="17">
        <f t="shared" si="26"/>
        <v>67</v>
      </c>
      <c r="D1914" s="17"/>
      <c r="E1914" s="17">
        <f t="shared" si="99"/>
        <v>65919</v>
      </c>
      <c r="F1914" s="17">
        <f t="shared" ca="1" si="1"/>
        <v>2017</v>
      </c>
      <c r="G1914" s="17">
        <f t="shared" ca="1" si="100"/>
        <v>10806</v>
      </c>
      <c r="H1914" s="30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0</v>
      </c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</row>
    <row r="1915" spans="1:26" ht="13.5" customHeight="1" x14ac:dyDescent="0.3">
      <c r="A1915" s="17" t="s">
        <v>644</v>
      </c>
      <c r="B1915" s="17">
        <f t="shared" ref="B1915:B1940" si="101">B1914</f>
        <v>20</v>
      </c>
      <c r="C1915" s="17">
        <f t="shared" si="26"/>
        <v>68</v>
      </c>
      <c r="D1915" s="17"/>
      <c r="E1915" s="17">
        <f t="shared" si="99"/>
        <v>65919</v>
      </c>
      <c r="F1915" s="17">
        <f t="shared" ca="1" si="1"/>
        <v>2017</v>
      </c>
      <c r="G1915" s="17">
        <f t="shared" ca="1" si="100"/>
        <v>10807</v>
      </c>
      <c r="H1915" s="30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0</v>
      </c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</row>
    <row r="1916" spans="1:26" ht="13.5" customHeight="1" x14ac:dyDescent="0.3">
      <c r="A1916" s="17" t="s">
        <v>644</v>
      </c>
      <c r="B1916" s="17">
        <f t="shared" si="101"/>
        <v>20</v>
      </c>
      <c r="C1916" s="17">
        <f t="shared" si="26"/>
        <v>69</v>
      </c>
      <c r="D1916" s="17"/>
      <c r="E1916" s="17">
        <f t="shared" si="99"/>
        <v>65919</v>
      </c>
      <c r="F1916" s="17">
        <f t="shared" ca="1" si="1"/>
        <v>2017</v>
      </c>
      <c r="G1916" s="17">
        <f t="shared" ca="1" si="100"/>
        <v>10808</v>
      </c>
      <c r="H1916" s="3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</row>
    <row r="1917" spans="1:26" ht="13.5" customHeight="1" x14ac:dyDescent="0.3">
      <c r="A1917" s="17" t="s">
        <v>644</v>
      </c>
      <c r="B1917" s="17">
        <f t="shared" si="101"/>
        <v>20</v>
      </c>
      <c r="C1917" s="17">
        <f t="shared" si="26"/>
        <v>70</v>
      </c>
      <c r="D1917" s="17"/>
      <c r="E1917" s="17">
        <f t="shared" si="99"/>
        <v>65919</v>
      </c>
      <c r="F1917" s="17">
        <f t="shared" ca="1" si="1"/>
        <v>2017</v>
      </c>
      <c r="G1917" s="17">
        <f t="shared" ca="1" si="100"/>
        <v>10809</v>
      </c>
      <c r="H1917" s="30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0</v>
      </c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</row>
    <row r="1918" spans="1:26" ht="13.5" customHeight="1" x14ac:dyDescent="0.3">
      <c r="A1918" s="17" t="s">
        <v>644</v>
      </c>
      <c r="B1918" s="17">
        <f t="shared" si="101"/>
        <v>20</v>
      </c>
      <c r="C1918" s="17">
        <f t="shared" si="26"/>
        <v>71</v>
      </c>
      <c r="D1918" s="17"/>
      <c r="E1918" s="17">
        <f t="shared" si="99"/>
        <v>65919</v>
      </c>
      <c r="F1918" s="17">
        <f t="shared" ca="1" si="1"/>
        <v>2017</v>
      </c>
      <c r="G1918" s="17">
        <f t="shared" ca="1" si="100"/>
        <v>10810</v>
      </c>
      <c r="H1918" s="30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0</v>
      </c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</row>
    <row r="1919" spans="1:26" ht="13.5" customHeight="1" x14ac:dyDescent="0.3">
      <c r="A1919" s="17" t="s">
        <v>644</v>
      </c>
      <c r="B1919" s="17">
        <f t="shared" si="101"/>
        <v>20</v>
      </c>
      <c r="C1919" s="17">
        <f t="shared" si="26"/>
        <v>72</v>
      </c>
      <c r="D1919" s="17"/>
      <c r="E1919" s="17">
        <f t="shared" si="99"/>
        <v>65919</v>
      </c>
      <c r="F1919" s="17">
        <f t="shared" ca="1" si="1"/>
        <v>2017</v>
      </c>
      <c r="G1919" s="17">
        <f t="shared" ca="1" si="100"/>
        <v>10811</v>
      </c>
      <c r="H1919" s="30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0</v>
      </c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</row>
    <row r="1920" spans="1:26" ht="13.5" customHeight="1" x14ac:dyDescent="0.3">
      <c r="A1920" s="17" t="s">
        <v>644</v>
      </c>
      <c r="B1920" s="17">
        <f t="shared" si="101"/>
        <v>20</v>
      </c>
      <c r="C1920" s="17">
        <f t="shared" si="26"/>
        <v>73</v>
      </c>
      <c r="D1920" s="17"/>
      <c r="E1920" s="17">
        <f t="shared" si="99"/>
        <v>65919</v>
      </c>
      <c r="F1920" s="17">
        <f t="shared" ca="1" si="1"/>
        <v>2017</v>
      </c>
      <c r="G1920" s="17">
        <f t="shared" ca="1" si="100"/>
        <v>10812</v>
      </c>
      <c r="H1920" s="30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</row>
    <row r="1921" spans="1:26" ht="13.5" customHeight="1" x14ac:dyDescent="0.3">
      <c r="A1921" s="17" t="s">
        <v>644</v>
      </c>
      <c r="B1921" s="17">
        <f t="shared" si="101"/>
        <v>20</v>
      </c>
      <c r="C1921" s="17">
        <f t="shared" si="26"/>
        <v>74</v>
      </c>
      <c r="D1921" s="17"/>
      <c r="E1921" s="17">
        <f t="shared" si="99"/>
        <v>65919</v>
      </c>
      <c r="F1921" s="17">
        <f t="shared" ca="1" si="1"/>
        <v>2017</v>
      </c>
      <c r="G1921" s="17">
        <f t="shared" ca="1" si="100"/>
        <v>10813</v>
      </c>
      <c r="H1921" s="3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</v>
      </c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</row>
    <row r="1922" spans="1:26" ht="13.5" customHeight="1" x14ac:dyDescent="0.3">
      <c r="A1922" s="17" t="s">
        <v>644</v>
      </c>
      <c r="B1922" s="17">
        <f t="shared" si="101"/>
        <v>20</v>
      </c>
      <c r="C1922" s="17">
        <f t="shared" si="26"/>
        <v>75</v>
      </c>
      <c r="D1922" s="17"/>
      <c r="E1922" s="17">
        <f t="shared" si="99"/>
        <v>65919</v>
      </c>
      <c r="F1922" s="17">
        <f t="shared" ca="1" si="1"/>
        <v>2017</v>
      </c>
      <c r="G1922" s="17">
        <f t="shared" ca="1" si="100"/>
        <v>10814</v>
      </c>
      <c r="H1922" s="3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</v>
      </c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</row>
    <row r="1923" spans="1:26" ht="13.5" customHeight="1" x14ac:dyDescent="0.3">
      <c r="A1923" s="17" t="s">
        <v>644</v>
      </c>
      <c r="B1923" s="17">
        <f t="shared" si="101"/>
        <v>20</v>
      </c>
      <c r="C1923" s="17">
        <f t="shared" si="26"/>
        <v>76</v>
      </c>
      <c r="D1923" s="17"/>
      <c r="E1923" s="17">
        <f t="shared" si="99"/>
        <v>65919</v>
      </c>
      <c r="F1923" s="17">
        <f t="shared" ca="1" si="1"/>
        <v>2017</v>
      </c>
      <c r="G1923" s="17">
        <f t="shared" ca="1" si="100"/>
        <v>10815</v>
      </c>
      <c r="H1923" s="3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500000</v>
      </c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</row>
    <row r="1924" spans="1:26" ht="13.5" customHeight="1" x14ac:dyDescent="0.3">
      <c r="A1924" s="17" t="s">
        <v>644</v>
      </c>
      <c r="B1924" s="17">
        <f t="shared" si="101"/>
        <v>20</v>
      </c>
      <c r="C1924" s="17">
        <f t="shared" si="26"/>
        <v>77</v>
      </c>
      <c r="D1924" s="17"/>
      <c r="E1924" s="17">
        <f t="shared" ref="E1924:E1987" si="102">plan_id</f>
        <v>65919</v>
      </c>
      <c r="F1924" s="17">
        <f t="shared" ca="1" si="1"/>
        <v>2017</v>
      </c>
      <c r="G1924" s="17">
        <f t="shared" ref="G1924:G1987" ca="1" si="103">VLOOKUP(INDIRECT(CHAR(39)&amp;$A1924&amp;CHAR(39)&amp;"!r2c"&amp;$C1924,0),variables,2,0)</f>
        <v>10816</v>
      </c>
      <c r="H1924" s="30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22800000</v>
      </c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</row>
    <row r="1925" spans="1:26" ht="13.5" customHeight="1" x14ac:dyDescent="0.3">
      <c r="A1925" s="17" t="s">
        <v>644</v>
      </c>
      <c r="B1925" s="17">
        <f t="shared" si="101"/>
        <v>20</v>
      </c>
      <c r="C1925" s="17">
        <f t="shared" si="26"/>
        <v>78</v>
      </c>
      <c r="D1925" s="17"/>
      <c r="E1925" s="17">
        <f t="shared" si="102"/>
        <v>65919</v>
      </c>
      <c r="F1925" s="17">
        <f t="shared" ca="1" si="1"/>
        <v>2017</v>
      </c>
      <c r="G1925" s="17">
        <f t="shared" ca="1" si="103"/>
        <v>10817</v>
      </c>
      <c r="H1925" s="30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</row>
    <row r="1926" spans="1:26" ht="13.5" customHeight="1" x14ac:dyDescent="0.3">
      <c r="A1926" s="17" t="s">
        <v>644</v>
      </c>
      <c r="B1926" s="17">
        <f t="shared" si="101"/>
        <v>20</v>
      </c>
      <c r="C1926" s="17">
        <f t="shared" si="26"/>
        <v>79</v>
      </c>
      <c r="D1926" s="17"/>
      <c r="E1926" s="17">
        <f t="shared" si="102"/>
        <v>65919</v>
      </c>
      <c r="F1926" s="17">
        <f t="shared" ca="1" si="1"/>
        <v>2017</v>
      </c>
      <c r="G1926" s="17">
        <f t="shared" ca="1" si="103"/>
        <v>10818</v>
      </c>
      <c r="H1926" s="30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0</v>
      </c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</row>
    <row r="1927" spans="1:26" ht="13.5" customHeight="1" x14ac:dyDescent="0.3">
      <c r="A1927" s="17" t="s">
        <v>644</v>
      </c>
      <c r="B1927" s="17">
        <f t="shared" si="101"/>
        <v>20</v>
      </c>
      <c r="C1927" s="17">
        <f t="shared" si="26"/>
        <v>80</v>
      </c>
      <c r="D1927" s="17"/>
      <c r="E1927" s="17">
        <f t="shared" si="102"/>
        <v>65919</v>
      </c>
      <c r="F1927" s="17">
        <f t="shared" ca="1" si="1"/>
        <v>2017</v>
      </c>
      <c r="G1927" s="17">
        <f t="shared" ca="1" si="103"/>
        <v>10819</v>
      </c>
      <c r="H1927" s="30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0</v>
      </c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</row>
    <row r="1928" spans="1:26" ht="13.5" customHeight="1" x14ac:dyDescent="0.3">
      <c r="A1928" s="17" t="s">
        <v>644</v>
      </c>
      <c r="B1928" s="17">
        <f t="shared" si="101"/>
        <v>20</v>
      </c>
      <c r="C1928" s="17">
        <f t="shared" si="26"/>
        <v>81</v>
      </c>
      <c r="D1928" s="17"/>
      <c r="E1928" s="17">
        <f t="shared" si="102"/>
        <v>65919</v>
      </c>
      <c r="F1928" s="17">
        <f t="shared" ca="1" si="1"/>
        <v>2017</v>
      </c>
      <c r="G1928" s="17">
        <f t="shared" ca="1" si="103"/>
        <v>10820</v>
      </c>
      <c r="H1928" s="3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0</v>
      </c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</row>
    <row r="1929" spans="1:26" ht="13.5" customHeight="1" x14ac:dyDescent="0.3">
      <c r="A1929" s="17" t="s">
        <v>644</v>
      </c>
      <c r="B1929" s="17">
        <f t="shared" si="101"/>
        <v>20</v>
      </c>
      <c r="C1929" s="17">
        <f t="shared" si="26"/>
        <v>82</v>
      </c>
      <c r="D1929" s="17"/>
      <c r="E1929" s="17">
        <f t="shared" si="102"/>
        <v>65919</v>
      </c>
      <c r="F1929" s="17">
        <f t="shared" ca="1" si="1"/>
        <v>2017</v>
      </c>
      <c r="G1929" s="17">
        <f t="shared" ca="1" si="103"/>
        <v>10821</v>
      </c>
      <c r="H1929" s="30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</row>
    <row r="1930" spans="1:26" ht="13.5" customHeight="1" x14ac:dyDescent="0.3">
      <c r="A1930" s="17" t="s">
        <v>644</v>
      </c>
      <c r="B1930" s="17">
        <f t="shared" si="101"/>
        <v>20</v>
      </c>
      <c r="C1930" s="17">
        <f t="shared" si="26"/>
        <v>83</v>
      </c>
      <c r="D1930" s="17"/>
      <c r="E1930" s="17">
        <f t="shared" si="102"/>
        <v>65919</v>
      </c>
      <c r="F1930" s="17">
        <f t="shared" ca="1" si="1"/>
        <v>2017</v>
      </c>
      <c r="G1930" s="17">
        <f t="shared" ca="1" si="103"/>
        <v>10822</v>
      </c>
      <c r="H1930" s="3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</row>
    <row r="1931" spans="1:26" ht="13.5" customHeight="1" x14ac:dyDescent="0.3">
      <c r="A1931" s="17" t="s">
        <v>644</v>
      </c>
      <c r="B1931" s="17">
        <f t="shared" si="101"/>
        <v>20</v>
      </c>
      <c r="C1931" s="17">
        <f t="shared" si="26"/>
        <v>84</v>
      </c>
      <c r="D1931" s="17"/>
      <c r="E1931" s="17">
        <f t="shared" si="102"/>
        <v>65919</v>
      </c>
      <c r="F1931" s="17">
        <f t="shared" ca="1" si="1"/>
        <v>2017</v>
      </c>
      <c r="G1931" s="17">
        <f t="shared" ca="1" si="103"/>
        <v>10829</v>
      </c>
      <c r="H1931" s="3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</row>
    <row r="1932" spans="1:26" ht="13.5" customHeight="1" x14ac:dyDescent="0.3">
      <c r="A1932" s="17" t="s">
        <v>644</v>
      </c>
      <c r="B1932" s="17">
        <f t="shared" si="101"/>
        <v>20</v>
      </c>
      <c r="C1932" s="17">
        <f t="shared" si="26"/>
        <v>85</v>
      </c>
      <c r="D1932" s="17"/>
      <c r="E1932" s="17">
        <f t="shared" si="102"/>
        <v>65919</v>
      </c>
      <c r="F1932" s="17">
        <f t="shared" ca="1" si="1"/>
        <v>2017</v>
      </c>
      <c r="G1932" s="17">
        <f t="shared" ca="1" si="103"/>
        <v>10823</v>
      </c>
      <c r="H1932" s="30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15600000</v>
      </c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</row>
    <row r="1933" spans="1:26" ht="13.5" customHeight="1" x14ac:dyDescent="0.3">
      <c r="A1933" s="17" t="s">
        <v>644</v>
      </c>
      <c r="B1933" s="17">
        <f t="shared" si="101"/>
        <v>20</v>
      </c>
      <c r="C1933" s="17">
        <f t="shared" si="26"/>
        <v>86</v>
      </c>
      <c r="D1933" s="17"/>
      <c r="E1933" s="17">
        <f t="shared" si="102"/>
        <v>65919</v>
      </c>
      <c r="F1933" s="17">
        <f t="shared" ca="1" si="1"/>
        <v>2017</v>
      </c>
      <c r="G1933" s="17">
        <f t="shared" ca="1" si="103"/>
        <v>10798</v>
      </c>
      <c r="H1933" s="30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</row>
    <row r="1934" spans="1:26" ht="13.5" customHeight="1" x14ac:dyDescent="0.3">
      <c r="A1934" s="17" t="s">
        <v>644</v>
      </c>
      <c r="B1934" s="17">
        <f t="shared" si="101"/>
        <v>20</v>
      </c>
      <c r="C1934" s="17">
        <f t="shared" si="26"/>
        <v>87</v>
      </c>
      <c r="D1934" s="17"/>
      <c r="E1934" s="17">
        <f t="shared" si="102"/>
        <v>65919</v>
      </c>
      <c r="F1934" s="17">
        <f t="shared" ca="1" si="1"/>
        <v>2017</v>
      </c>
      <c r="G1934" s="17">
        <f t="shared" ca="1" si="103"/>
        <v>10799</v>
      </c>
      <c r="H1934" s="30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0</v>
      </c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</row>
    <row r="1935" spans="1:26" ht="13.5" customHeight="1" x14ac:dyDescent="0.3">
      <c r="A1935" s="17" t="s">
        <v>644</v>
      </c>
      <c r="B1935" s="17">
        <f t="shared" si="101"/>
        <v>20</v>
      </c>
      <c r="C1935" s="17">
        <f t="shared" si="26"/>
        <v>88</v>
      </c>
      <c r="D1935" s="17"/>
      <c r="E1935" s="17">
        <f t="shared" si="102"/>
        <v>65919</v>
      </c>
      <c r="F1935" s="17">
        <f t="shared" ca="1" si="1"/>
        <v>2017</v>
      </c>
      <c r="G1935" s="17">
        <f t="shared" ca="1" si="103"/>
        <v>10800</v>
      </c>
      <c r="H1935" s="3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</v>
      </c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</row>
    <row r="1936" spans="1:26" ht="13.5" customHeight="1" x14ac:dyDescent="0.3">
      <c r="A1936" s="17" t="s">
        <v>644</v>
      </c>
      <c r="B1936" s="17">
        <f t="shared" si="101"/>
        <v>20</v>
      </c>
      <c r="C1936" s="17">
        <f t="shared" si="26"/>
        <v>89</v>
      </c>
      <c r="D1936" s="17"/>
      <c r="E1936" s="17">
        <f t="shared" si="102"/>
        <v>65919</v>
      </c>
      <c r="F1936" s="17">
        <f t="shared" ca="1" si="1"/>
        <v>2017</v>
      </c>
      <c r="G1936" s="17">
        <f t="shared" ca="1" si="103"/>
        <v>10824</v>
      </c>
      <c r="H1936" s="30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</row>
    <row r="1937" spans="1:26" ht="13.5" customHeight="1" x14ac:dyDescent="0.3">
      <c r="A1937" s="17" t="s">
        <v>644</v>
      </c>
      <c r="B1937" s="17">
        <f t="shared" si="101"/>
        <v>20</v>
      </c>
      <c r="C1937" s="17">
        <f t="shared" si="26"/>
        <v>90</v>
      </c>
      <c r="D1937" s="17"/>
      <c r="E1937" s="17">
        <f t="shared" si="102"/>
        <v>65919</v>
      </c>
      <c r="F1937" s="17">
        <f t="shared" ca="1" si="1"/>
        <v>2017</v>
      </c>
      <c r="G1937" s="17">
        <f t="shared" ca="1" si="103"/>
        <v>10825</v>
      </c>
      <c r="H1937" s="3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</v>
      </c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</row>
    <row r="1938" spans="1:26" ht="13.5" customHeight="1" x14ac:dyDescent="0.3">
      <c r="A1938" s="17" t="s">
        <v>644</v>
      </c>
      <c r="B1938" s="17">
        <f t="shared" si="101"/>
        <v>20</v>
      </c>
      <c r="C1938" s="17">
        <f t="shared" si="26"/>
        <v>91</v>
      </c>
      <c r="D1938" s="17"/>
      <c r="E1938" s="17">
        <f t="shared" si="102"/>
        <v>65919</v>
      </c>
      <c r="F1938" s="17">
        <f t="shared" ca="1" si="1"/>
        <v>2017</v>
      </c>
      <c r="G1938" s="17">
        <f t="shared" ca="1" si="103"/>
        <v>10826</v>
      </c>
      <c r="H1938" s="30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</row>
    <row r="1939" spans="1:26" ht="13.5" customHeight="1" x14ac:dyDescent="0.3">
      <c r="A1939" s="17" t="s">
        <v>644</v>
      </c>
      <c r="B1939" s="17">
        <f t="shared" si="101"/>
        <v>20</v>
      </c>
      <c r="C1939" s="17">
        <f t="shared" si="26"/>
        <v>92</v>
      </c>
      <c r="D1939" s="17"/>
      <c r="E1939" s="17">
        <f t="shared" si="102"/>
        <v>65919</v>
      </c>
      <c r="F1939" s="17">
        <f t="shared" ca="1" si="1"/>
        <v>2017</v>
      </c>
      <c r="G1939" s="17">
        <f t="shared" ca="1" si="103"/>
        <v>10828</v>
      </c>
      <c r="H1939" s="3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</row>
    <row r="1940" spans="1:26" ht="13.5" customHeight="1" x14ac:dyDescent="0.3">
      <c r="A1940" s="17" t="s">
        <v>644</v>
      </c>
      <c r="B1940" s="17">
        <f t="shared" si="101"/>
        <v>20</v>
      </c>
      <c r="C1940" s="17">
        <f t="shared" si="26"/>
        <v>93</v>
      </c>
      <c r="D1940" s="17"/>
      <c r="E1940" s="17">
        <f t="shared" si="102"/>
        <v>65919</v>
      </c>
      <c r="F1940" s="17">
        <f t="shared" ca="1" si="1"/>
        <v>2017</v>
      </c>
      <c r="G1940" s="17">
        <f t="shared" ca="1" si="103"/>
        <v>10827</v>
      </c>
      <c r="H1940" s="2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</row>
    <row r="1941" spans="1:26" ht="13.5" customHeight="1" x14ac:dyDescent="0.3">
      <c r="A1941" s="17" t="s">
        <v>644</v>
      </c>
      <c r="B1941" s="17">
        <f t="shared" ref="B1941:B2005" si="104">B1876+1</f>
        <v>21</v>
      </c>
      <c r="C1941" s="17">
        <f t="shared" si="26"/>
        <v>3</v>
      </c>
      <c r="D1941" s="17"/>
      <c r="E1941" s="17">
        <f t="shared" si="102"/>
        <v>65919</v>
      </c>
      <c r="F1941" s="17">
        <f t="shared" ca="1" si="1"/>
        <v>2018</v>
      </c>
      <c r="G1941" s="17">
        <f t="shared" ca="1" si="103"/>
        <v>10703</v>
      </c>
      <c r="H1941" s="2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2018</v>
      </c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</row>
    <row r="1942" spans="1:26" ht="13.5" customHeight="1" x14ac:dyDescent="0.3">
      <c r="A1942" s="17" t="s">
        <v>644</v>
      </c>
      <c r="B1942" s="17">
        <f t="shared" si="104"/>
        <v>21</v>
      </c>
      <c r="C1942" s="17">
        <f t="shared" si="26"/>
        <v>4</v>
      </c>
      <c r="D1942" s="17"/>
      <c r="E1942" s="17">
        <f t="shared" si="102"/>
        <v>65919</v>
      </c>
      <c r="F1942" s="17">
        <f t="shared" ca="1" si="1"/>
        <v>2018</v>
      </c>
      <c r="G1942" s="17">
        <f t="shared" ca="1" si="103"/>
        <v>10845</v>
      </c>
      <c r="H1942" s="2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The Office Of The State Actuary</v>
      </c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</row>
    <row r="1943" spans="1:26" ht="13.5" customHeight="1" x14ac:dyDescent="0.3">
      <c r="A1943" s="17" t="s">
        <v>644</v>
      </c>
      <c r="B1943" s="17">
        <f t="shared" si="104"/>
        <v>21</v>
      </c>
      <c r="C1943" s="17">
        <f t="shared" si="26"/>
        <v>5</v>
      </c>
      <c r="D1943" s="17"/>
      <c r="E1943" s="17">
        <f t="shared" si="102"/>
        <v>65919</v>
      </c>
      <c r="F1943" s="17">
        <f t="shared" ca="1" si="1"/>
        <v>2018</v>
      </c>
      <c r="G1943" s="17">
        <f t="shared" ca="1" si="103"/>
        <v>10924</v>
      </c>
      <c r="H1943" s="3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0.28860000000000002</v>
      </c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</row>
    <row r="1944" spans="1:26" ht="13.5" customHeight="1" x14ac:dyDescent="0.3">
      <c r="A1944" s="17" t="s">
        <v>644</v>
      </c>
      <c r="B1944" s="17">
        <f t="shared" si="104"/>
        <v>21</v>
      </c>
      <c r="C1944" s="17">
        <f t="shared" si="26"/>
        <v>6</v>
      </c>
      <c r="D1944" s="17"/>
      <c r="E1944" s="17">
        <f t="shared" si="102"/>
        <v>65919</v>
      </c>
      <c r="F1944" s="17">
        <f t="shared" ca="1" si="1"/>
        <v>2018</v>
      </c>
      <c r="G1944" s="17">
        <f t="shared" ca="1" si="103"/>
        <v>10925</v>
      </c>
      <c r="H1944" s="3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0.2041</v>
      </c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</row>
    <row r="1945" spans="1:26" ht="13.5" customHeight="1" x14ac:dyDescent="0.3">
      <c r="A1945" s="17" t="s">
        <v>644</v>
      </c>
      <c r="B1945" s="17">
        <f t="shared" si="104"/>
        <v>21</v>
      </c>
      <c r="C1945" s="17">
        <f t="shared" si="26"/>
        <v>7</v>
      </c>
      <c r="D1945" s="17"/>
      <c r="E1945" s="17">
        <f t="shared" si="102"/>
        <v>65919</v>
      </c>
      <c r="F1945" s="17">
        <f t="shared" ca="1" si="1"/>
        <v>2018</v>
      </c>
      <c r="G1945" s="17">
        <f t="shared" ca="1" si="103"/>
        <v>10926</v>
      </c>
      <c r="H1945" s="3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8.4500000000000006E-2</v>
      </c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</row>
    <row r="1946" spans="1:26" ht="13.5" customHeight="1" x14ac:dyDescent="0.3">
      <c r="A1946" s="17" t="s">
        <v>644</v>
      </c>
      <c r="B1946" s="17">
        <f t="shared" si="104"/>
        <v>21</v>
      </c>
      <c r="C1946" s="17">
        <f t="shared" si="26"/>
        <v>8</v>
      </c>
      <c r="D1946" s="17"/>
      <c r="E1946" s="17">
        <f t="shared" si="102"/>
        <v>65919</v>
      </c>
      <c r="F1946" s="17">
        <f t="shared" ca="1" si="1"/>
        <v>2018</v>
      </c>
      <c r="G1946" s="17">
        <f t="shared" ca="1" si="103"/>
        <v>10704</v>
      </c>
      <c r="H1946" s="3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</v>
      </c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</row>
    <row r="1947" spans="1:26" ht="13.5" customHeight="1" x14ac:dyDescent="0.3">
      <c r="A1947" s="17" t="s">
        <v>644</v>
      </c>
      <c r="B1947" s="17">
        <f t="shared" si="104"/>
        <v>21</v>
      </c>
      <c r="C1947" s="17">
        <f t="shared" si="26"/>
        <v>9</v>
      </c>
      <c r="D1947" s="17"/>
      <c r="E1947" s="17">
        <f t="shared" si="102"/>
        <v>65919</v>
      </c>
      <c r="F1947" s="17">
        <f t="shared" ca="1" si="1"/>
        <v>2018</v>
      </c>
      <c r="G1947" s="17">
        <f t="shared" ca="1" si="103"/>
        <v>10928</v>
      </c>
      <c r="H1947" s="31" t="str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N/A</v>
      </c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</row>
    <row r="1948" spans="1:26" ht="13.5" customHeight="1" x14ac:dyDescent="0.3">
      <c r="A1948" s="17" t="s">
        <v>644</v>
      </c>
      <c r="B1948" s="17">
        <f t="shared" si="104"/>
        <v>21</v>
      </c>
      <c r="C1948" s="17">
        <f t="shared" si="26"/>
        <v>10</v>
      </c>
      <c r="D1948" s="17"/>
      <c r="E1948" s="17">
        <f t="shared" si="102"/>
        <v>65919</v>
      </c>
      <c r="F1948" s="17">
        <f t="shared" ca="1" si="1"/>
        <v>2018</v>
      </c>
      <c r="G1948" s="17">
        <f t="shared" ca="1" si="103"/>
        <v>10929</v>
      </c>
      <c r="H1948" s="31" t="str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N/A</v>
      </c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</row>
    <row r="1949" spans="1:26" ht="13.5" customHeight="1" x14ac:dyDescent="0.3">
      <c r="A1949" s="17" t="s">
        <v>644</v>
      </c>
      <c r="B1949" s="17">
        <f t="shared" si="104"/>
        <v>21</v>
      </c>
      <c r="C1949" s="17">
        <f t="shared" si="26"/>
        <v>11</v>
      </c>
      <c r="D1949" s="17"/>
      <c r="E1949" s="17">
        <f t="shared" si="102"/>
        <v>65919</v>
      </c>
      <c r="F1949" s="17">
        <f t="shared" ca="1" si="1"/>
        <v>2018</v>
      </c>
      <c r="G1949" s="17">
        <f t="shared" ca="1" si="103"/>
        <v>10930</v>
      </c>
      <c r="H1949" s="3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</row>
    <row r="1950" spans="1:26" ht="13.5" customHeight="1" x14ac:dyDescent="0.3">
      <c r="A1950" s="17" t="s">
        <v>644</v>
      </c>
      <c r="B1950" s="17">
        <f t="shared" si="104"/>
        <v>21</v>
      </c>
      <c r="C1950" s="17">
        <f t="shared" si="26"/>
        <v>12</v>
      </c>
      <c r="D1950" s="17"/>
      <c r="E1950" s="17">
        <f t="shared" si="102"/>
        <v>65919</v>
      </c>
      <c r="F1950" s="17">
        <f t="shared" ca="1" si="1"/>
        <v>2018</v>
      </c>
      <c r="G1950" s="17">
        <f t="shared" ca="1" si="103"/>
        <v>10705</v>
      </c>
      <c r="H1950" s="3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8308000</v>
      </c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</row>
    <row r="1951" spans="1:26" ht="13.5" customHeight="1" x14ac:dyDescent="0.3">
      <c r="A1951" s="17" t="s">
        <v>644</v>
      </c>
      <c r="B1951" s="17">
        <f t="shared" si="104"/>
        <v>21</v>
      </c>
      <c r="C1951" s="17">
        <f t="shared" si="26"/>
        <v>13</v>
      </c>
      <c r="D1951" s="17"/>
      <c r="E1951" s="17">
        <f t="shared" si="102"/>
        <v>65919</v>
      </c>
      <c r="F1951" s="17">
        <f t="shared" ca="1" si="1"/>
        <v>2018</v>
      </c>
      <c r="G1951" s="17">
        <f t="shared" ca="1" si="103"/>
        <v>10842</v>
      </c>
      <c r="H1951" s="3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</row>
    <row r="1952" spans="1:26" ht="13.5" customHeight="1" x14ac:dyDescent="0.3">
      <c r="A1952" s="17" t="s">
        <v>644</v>
      </c>
      <c r="B1952" s="17">
        <f t="shared" si="104"/>
        <v>21</v>
      </c>
      <c r="C1952" s="17">
        <f t="shared" si="26"/>
        <v>14</v>
      </c>
      <c r="D1952" s="17"/>
      <c r="E1952" s="17">
        <f t="shared" si="102"/>
        <v>65919</v>
      </c>
      <c r="F1952" s="17">
        <f t="shared" ca="1" si="1"/>
        <v>2018</v>
      </c>
      <c r="G1952" s="17">
        <f t="shared" ca="1" si="103"/>
        <v>10843</v>
      </c>
      <c r="H1952" s="3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</row>
    <row r="1953" spans="1:26" ht="13.5" customHeight="1" x14ac:dyDescent="0.3">
      <c r="A1953" s="17" t="s">
        <v>644</v>
      </c>
      <c r="B1953" s="17">
        <f t="shared" si="104"/>
        <v>21</v>
      </c>
      <c r="C1953" s="17">
        <f t="shared" si="26"/>
        <v>15</v>
      </c>
      <c r="D1953" s="17"/>
      <c r="E1953" s="17">
        <f t="shared" si="102"/>
        <v>65919</v>
      </c>
      <c r="F1953" s="17">
        <f t="shared" ca="1" si="1"/>
        <v>2018</v>
      </c>
      <c r="G1953" s="17">
        <f t="shared" ca="1" si="103"/>
        <v>10931</v>
      </c>
      <c r="H1953" s="3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</row>
    <row r="1954" spans="1:26" ht="13.5" customHeight="1" x14ac:dyDescent="0.3">
      <c r="A1954" s="17" t="s">
        <v>644</v>
      </c>
      <c r="B1954" s="17">
        <f t="shared" si="104"/>
        <v>21</v>
      </c>
      <c r="C1954" s="17">
        <f t="shared" si="26"/>
        <v>16</v>
      </c>
      <c r="D1954" s="17"/>
      <c r="E1954" s="17">
        <f t="shared" si="102"/>
        <v>65919</v>
      </c>
      <c r="F1954" s="17">
        <f t="shared" ca="1" si="1"/>
        <v>2018</v>
      </c>
      <c r="G1954" s="17">
        <f t="shared" ca="1" si="103"/>
        <v>10932</v>
      </c>
      <c r="H1954" s="3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</row>
    <row r="1955" spans="1:26" ht="13.5" customHeight="1" x14ac:dyDescent="0.3">
      <c r="A1955" s="17" t="s">
        <v>644</v>
      </c>
      <c r="B1955" s="17">
        <f t="shared" si="104"/>
        <v>21</v>
      </c>
      <c r="C1955" s="17">
        <f t="shared" si="26"/>
        <v>17</v>
      </c>
      <c r="D1955" s="17"/>
      <c r="E1955" s="17">
        <f t="shared" si="102"/>
        <v>65919</v>
      </c>
      <c r="F1955" s="17">
        <f t="shared" ca="1" si="1"/>
        <v>2018</v>
      </c>
      <c r="G1955" s="17">
        <f t="shared" ca="1" si="103"/>
        <v>10933</v>
      </c>
      <c r="H1955" s="3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0.121</v>
      </c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</row>
    <row r="1956" spans="1:26" ht="13.5" customHeight="1" x14ac:dyDescent="0.3">
      <c r="A1956" s="17" t="s">
        <v>644</v>
      </c>
      <c r="B1956" s="17">
        <f t="shared" si="104"/>
        <v>21</v>
      </c>
      <c r="C1956" s="17">
        <f t="shared" si="26"/>
        <v>18</v>
      </c>
      <c r="D1956" s="17"/>
      <c r="E1956" s="17">
        <f t="shared" si="102"/>
        <v>65919</v>
      </c>
      <c r="F1956" s="17">
        <f t="shared" ca="1" si="1"/>
        <v>2018</v>
      </c>
      <c r="G1956" s="17">
        <f t="shared" ca="1" si="103"/>
        <v>10934</v>
      </c>
      <c r="H1956" s="3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8.4500000000000006E-2</v>
      </c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</row>
    <row r="1957" spans="1:26" ht="13.5" customHeight="1" x14ac:dyDescent="0.3">
      <c r="A1957" s="17" t="s">
        <v>644</v>
      </c>
      <c r="B1957" s="17">
        <f t="shared" si="104"/>
        <v>21</v>
      </c>
      <c r="C1957" s="17">
        <f t="shared" si="26"/>
        <v>19</v>
      </c>
      <c r="D1957" s="17"/>
      <c r="E1957" s="17">
        <f t="shared" si="102"/>
        <v>65919</v>
      </c>
      <c r="F1957" s="17">
        <f t="shared" ca="1" si="1"/>
        <v>2018</v>
      </c>
      <c r="G1957" s="17">
        <f t="shared" ca="1" si="103"/>
        <v>10935</v>
      </c>
      <c r="H1957" s="29" t="str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Single Rate</v>
      </c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</row>
    <row r="1958" spans="1:26" ht="13.5" customHeight="1" x14ac:dyDescent="0.3">
      <c r="A1958" s="17" t="s">
        <v>644</v>
      </c>
      <c r="B1958" s="17">
        <f t="shared" si="104"/>
        <v>21</v>
      </c>
      <c r="C1958" s="17">
        <f t="shared" si="26"/>
        <v>20</v>
      </c>
      <c r="D1958" s="17"/>
      <c r="E1958" s="17">
        <f t="shared" si="102"/>
        <v>65919</v>
      </c>
      <c r="F1958" s="17">
        <f t="shared" ca="1" si="1"/>
        <v>2018</v>
      </c>
      <c r="G1958" s="17">
        <f t="shared" ca="1" si="103"/>
        <v>10937</v>
      </c>
      <c r="H1958" s="3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</row>
    <row r="1959" spans="1:26" ht="13.5" customHeight="1" x14ac:dyDescent="0.3">
      <c r="A1959" s="17" t="s">
        <v>644</v>
      </c>
      <c r="B1959" s="17">
        <f t="shared" si="104"/>
        <v>21</v>
      </c>
      <c r="C1959" s="17">
        <f t="shared" si="26"/>
        <v>21</v>
      </c>
      <c r="D1959" s="17"/>
      <c r="E1959" s="17">
        <f t="shared" si="102"/>
        <v>65919</v>
      </c>
      <c r="F1959" s="17">
        <f t="shared" ca="1" si="1"/>
        <v>2018</v>
      </c>
      <c r="G1959" s="17">
        <f t="shared" ca="1" si="103"/>
        <v>10938</v>
      </c>
      <c r="H1959" s="3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</row>
    <row r="1960" spans="1:26" ht="13.5" customHeight="1" x14ac:dyDescent="0.3">
      <c r="A1960" s="17" t="s">
        <v>644</v>
      </c>
      <c r="B1960" s="17">
        <f t="shared" si="104"/>
        <v>21</v>
      </c>
      <c r="C1960" s="17">
        <f t="shared" si="26"/>
        <v>22</v>
      </c>
      <c r="D1960" s="17"/>
      <c r="E1960" s="17">
        <f t="shared" si="102"/>
        <v>65919</v>
      </c>
      <c r="F1960" s="17">
        <f t="shared" ca="1" si="1"/>
        <v>2018</v>
      </c>
      <c r="G1960" s="17">
        <f t="shared" ca="1" si="103"/>
        <v>11007</v>
      </c>
      <c r="H1960" s="29" t="str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Accrued Benefit Formula= 2% x YOS x AFC (Max= 75% AFC)</v>
      </c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</row>
    <row r="1961" spans="1:26" ht="13.5" customHeight="1" x14ac:dyDescent="0.3">
      <c r="A1961" s="17" t="s">
        <v>644</v>
      </c>
      <c r="B1961" s="17">
        <f t="shared" si="104"/>
        <v>21</v>
      </c>
      <c r="C1961" s="17">
        <f t="shared" si="26"/>
        <v>23</v>
      </c>
      <c r="D1961" s="17"/>
      <c r="E1961" s="17">
        <f t="shared" si="102"/>
        <v>65919</v>
      </c>
      <c r="F1961" s="17">
        <f t="shared" ca="1" si="1"/>
        <v>2018</v>
      </c>
      <c r="G1961" s="17">
        <f t="shared" ca="1" si="103"/>
        <v>10941</v>
      </c>
      <c r="H1961" s="29" t="str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COLA</v>
      </c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</row>
    <row r="1962" spans="1:26" ht="13.5" customHeight="1" x14ac:dyDescent="0.3">
      <c r="A1962" s="17" t="s">
        <v>644</v>
      </c>
      <c r="B1962" s="17">
        <f t="shared" si="104"/>
        <v>21</v>
      </c>
      <c r="C1962" s="17">
        <f t="shared" si="26"/>
        <v>24</v>
      </c>
      <c r="D1962" s="17"/>
      <c r="E1962" s="17">
        <f t="shared" si="102"/>
        <v>65919</v>
      </c>
      <c r="F1962" s="17">
        <f t="shared" ca="1" si="1"/>
        <v>2018</v>
      </c>
      <c r="G1962" s="17">
        <f t="shared" ca="1" si="103"/>
        <v>10942</v>
      </c>
      <c r="H1962" s="29" t="str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Percentage</v>
      </c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</row>
    <row r="1963" spans="1:26" ht="13.5" customHeight="1" x14ac:dyDescent="0.3">
      <c r="A1963" s="17" t="s">
        <v>644</v>
      </c>
      <c r="B1963" s="17">
        <f t="shared" si="104"/>
        <v>21</v>
      </c>
      <c r="C1963" s="17">
        <f t="shared" si="26"/>
        <v>25</v>
      </c>
      <c r="D1963" s="17"/>
      <c r="E1963" s="17">
        <f t="shared" si="102"/>
        <v>65919</v>
      </c>
      <c r="F1963" s="17">
        <f t="shared" ca="1" si="1"/>
        <v>2018</v>
      </c>
      <c r="G1963" s="17">
        <f t="shared" ca="1" si="103"/>
        <v>10701</v>
      </c>
      <c r="H1963" s="3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</row>
    <row r="1964" spans="1:26" ht="13.5" customHeight="1" x14ac:dyDescent="0.3">
      <c r="A1964" s="17" t="s">
        <v>644</v>
      </c>
      <c r="B1964" s="17">
        <f t="shared" si="104"/>
        <v>21</v>
      </c>
      <c r="C1964" s="17">
        <f t="shared" si="26"/>
        <v>26</v>
      </c>
      <c r="D1964" s="17"/>
      <c r="E1964" s="17">
        <f t="shared" si="102"/>
        <v>65919</v>
      </c>
      <c r="F1964" s="17">
        <f t="shared" ca="1" si="1"/>
        <v>2018</v>
      </c>
      <c r="G1964" s="17">
        <f t="shared" ca="1" si="103"/>
        <v>10702</v>
      </c>
      <c r="H1964" s="3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</row>
    <row r="1965" spans="1:26" ht="13.5" customHeight="1" x14ac:dyDescent="0.3">
      <c r="A1965" s="17" t="s">
        <v>644</v>
      </c>
      <c r="B1965" s="17">
        <f t="shared" si="104"/>
        <v>21</v>
      </c>
      <c r="C1965" s="17">
        <f t="shared" si="26"/>
        <v>27</v>
      </c>
      <c r="D1965" s="17"/>
      <c r="E1965" s="17">
        <f t="shared" si="102"/>
        <v>65919</v>
      </c>
      <c r="F1965" s="17">
        <f t="shared" ca="1" si="1"/>
        <v>2018</v>
      </c>
      <c r="G1965" s="17">
        <f t="shared" ca="1" si="103"/>
        <v>10943</v>
      </c>
      <c r="H1965" s="31" t="str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Lesser of CPI or 3%</v>
      </c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</row>
    <row r="1966" spans="1:26" ht="13.5" customHeight="1" x14ac:dyDescent="0.3">
      <c r="A1966" s="17" t="s">
        <v>644</v>
      </c>
      <c r="B1966" s="17">
        <f t="shared" si="104"/>
        <v>21</v>
      </c>
      <c r="C1966" s="17">
        <f t="shared" si="26"/>
        <v>28</v>
      </c>
      <c r="D1966" s="17"/>
      <c r="E1966" s="17">
        <f t="shared" si="102"/>
        <v>65919</v>
      </c>
      <c r="F1966" s="17">
        <f t="shared" ca="1" si="1"/>
        <v>2018</v>
      </c>
      <c r="G1966" s="17">
        <f t="shared" ca="1" si="103"/>
        <v>10944</v>
      </c>
      <c r="H1966" s="31" t="str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No</v>
      </c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</row>
    <row r="1967" spans="1:26" ht="13.5" customHeight="1" x14ac:dyDescent="0.3">
      <c r="A1967" s="17" t="s">
        <v>644</v>
      </c>
      <c r="B1967" s="17">
        <f t="shared" si="104"/>
        <v>21</v>
      </c>
      <c r="C1967" s="17">
        <f t="shared" si="26"/>
        <v>29</v>
      </c>
      <c r="D1967" s="17"/>
      <c r="E1967" s="17">
        <f t="shared" si="102"/>
        <v>65919</v>
      </c>
      <c r="F1967" s="17">
        <f t="shared" ca="1" si="1"/>
        <v>2018</v>
      </c>
      <c r="G1967" s="17">
        <f t="shared" ca="1" si="103"/>
        <v>10945</v>
      </c>
      <c r="H1967" s="31" t="str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No</v>
      </c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</row>
    <row r="1968" spans="1:26" ht="13.5" customHeight="1" x14ac:dyDescent="0.3">
      <c r="A1968" s="17" t="s">
        <v>644</v>
      </c>
      <c r="B1968" s="17">
        <f t="shared" si="104"/>
        <v>21</v>
      </c>
      <c r="C1968" s="17">
        <f t="shared" si="26"/>
        <v>30</v>
      </c>
      <c r="D1968" s="17"/>
      <c r="E1968" s="17">
        <f t="shared" si="102"/>
        <v>65919</v>
      </c>
      <c r="F1968" s="17">
        <f t="shared" ca="1" si="1"/>
        <v>2018</v>
      </c>
      <c r="G1968" s="17">
        <f t="shared" ca="1" si="103"/>
        <v>10947</v>
      </c>
      <c r="H1968" s="2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</row>
    <row r="1969" spans="1:26" ht="13.5" customHeight="1" x14ac:dyDescent="0.3">
      <c r="A1969" s="17" t="s">
        <v>644</v>
      </c>
      <c r="B1969" s="17">
        <f t="shared" si="104"/>
        <v>21</v>
      </c>
      <c r="C1969" s="17">
        <f t="shared" si="26"/>
        <v>31</v>
      </c>
      <c r="D1969" s="17"/>
      <c r="E1969" s="17">
        <f t="shared" si="102"/>
        <v>65919</v>
      </c>
      <c r="F1969" s="17">
        <f t="shared" ca="1" si="1"/>
        <v>2018</v>
      </c>
      <c r="G1969" s="17">
        <f t="shared" ca="1" si="103"/>
        <v>10948</v>
      </c>
      <c r="H1969" s="31" t="str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No</v>
      </c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</row>
    <row r="1970" spans="1:26" ht="13.5" customHeight="1" x14ac:dyDescent="0.3">
      <c r="A1970" s="17" t="s">
        <v>644</v>
      </c>
      <c r="B1970" s="17">
        <f t="shared" si="104"/>
        <v>21</v>
      </c>
      <c r="C1970" s="17">
        <f t="shared" si="26"/>
        <v>32</v>
      </c>
      <c r="D1970" s="17"/>
      <c r="E1970" s="17">
        <f t="shared" si="102"/>
        <v>65919</v>
      </c>
      <c r="F1970" s="17">
        <f t="shared" ca="1" si="1"/>
        <v>2018</v>
      </c>
      <c r="G1970" s="17">
        <f t="shared" ca="1" si="103"/>
        <v>10949</v>
      </c>
      <c r="H1970" s="31" t="str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No</v>
      </c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</row>
    <row r="1971" spans="1:26" ht="13.5" customHeight="1" x14ac:dyDescent="0.3">
      <c r="A1971" s="17" t="s">
        <v>644</v>
      </c>
      <c r="B1971" s="17">
        <f t="shared" si="104"/>
        <v>21</v>
      </c>
      <c r="C1971" s="17">
        <f t="shared" si="26"/>
        <v>33</v>
      </c>
      <c r="D1971" s="17"/>
      <c r="E1971" s="17">
        <f t="shared" si="102"/>
        <v>65919</v>
      </c>
      <c r="F1971" s="17">
        <f t="shared" ca="1" si="1"/>
        <v>2018</v>
      </c>
      <c r="G1971" s="17">
        <f t="shared" ca="1" si="103"/>
        <v>10951</v>
      </c>
      <c r="H1971" s="31" t="str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No</v>
      </c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</row>
    <row r="1972" spans="1:26" ht="13.5" customHeight="1" x14ac:dyDescent="0.3">
      <c r="A1972" s="17" t="s">
        <v>644</v>
      </c>
      <c r="B1972" s="17">
        <f t="shared" si="104"/>
        <v>21</v>
      </c>
      <c r="C1972" s="17">
        <f t="shared" si="26"/>
        <v>34</v>
      </c>
      <c r="D1972" s="17"/>
      <c r="E1972" s="17">
        <f t="shared" si="102"/>
        <v>65919</v>
      </c>
      <c r="F1972" s="17">
        <f t="shared" ca="1" si="1"/>
        <v>2018</v>
      </c>
      <c r="G1972" s="17">
        <f t="shared" ca="1" si="103"/>
        <v>10950</v>
      </c>
      <c r="H1972" s="31" t="str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No</v>
      </c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</row>
    <row r="1973" spans="1:26" ht="13.5" customHeight="1" x14ac:dyDescent="0.3">
      <c r="A1973" s="17" t="s">
        <v>644</v>
      </c>
      <c r="B1973" s="17">
        <f t="shared" si="104"/>
        <v>21</v>
      </c>
      <c r="C1973" s="17">
        <f t="shared" si="26"/>
        <v>35</v>
      </c>
      <c r="D1973" s="17"/>
      <c r="E1973" s="17">
        <f t="shared" si="102"/>
        <v>65919</v>
      </c>
      <c r="F1973" s="17">
        <f t="shared" ca="1" si="1"/>
        <v>2018</v>
      </c>
      <c r="G1973" s="17">
        <f t="shared" ca="1" si="103"/>
        <v>10954</v>
      </c>
      <c r="H1973" s="3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2.75E-2</v>
      </c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</row>
    <row r="1974" spans="1:26" ht="13.5" customHeight="1" x14ac:dyDescent="0.3">
      <c r="A1974" s="17" t="s">
        <v>644</v>
      </c>
      <c r="B1974" s="17">
        <f t="shared" si="104"/>
        <v>21</v>
      </c>
      <c r="C1974" s="17">
        <f t="shared" si="26"/>
        <v>36</v>
      </c>
      <c r="D1974" s="17"/>
      <c r="E1974" s="17">
        <f t="shared" si="102"/>
        <v>65919</v>
      </c>
      <c r="F1974" s="17">
        <f t="shared" ca="1" si="1"/>
        <v>2018</v>
      </c>
      <c r="G1974" s="17">
        <f t="shared" ca="1" si="103"/>
        <v>10955</v>
      </c>
      <c r="H1974" s="3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7.4999999999999997E-2</v>
      </c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</row>
    <row r="1975" spans="1:26" ht="13.5" customHeight="1" x14ac:dyDescent="0.3">
      <c r="A1975" s="17" t="s">
        <v>644</v>
      </c>
      <c r="B1975" s="17">
        <f t="shared" si="104"/>
        <v>21</v>
      </c>
      <c r="C1975" s="17">
        <f t="shared" si="26"/>
        <v>37</v>
      </c>
      <c r="D1975" s="17"/>
      <c r="E1975" s="17">
        <f t="shared" si="102"/>
        <v>65919</v>
      </c>
      <c r="F1975" s="17">
        <f t="shared" ca="1" si="1"/>
        <v>2018</v>
      </c>
      <c r="G1975" s="17">
        <f t="shared" ca="1" si="103"/>
        <v>10956</v>
      </c>
      <c r="H1975" s="3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3.325E-4</v>
      </c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</row>
    <row r="1976" spans="1:26" ht="13.5" customHeight="1" x14ac:dyDescent="0.3">
      <c r="A1976" s="17" t="s">
        <v>644</v>
      </c>
      <c r="B1976" s="17">
        <f t="shared" si="104"/>
        <v>21</v>
      </c>
      <c r="C1976" s="17">
        <f t="shared" si="26"/>
        <v>38</v>
      </c>
      <c r="D1976" s="17"/>
      <c r="E1976" s="17">
        <f t="shared" si="102"/>
        <v>65919</v>
      </c>
      <c r="F1976" s="17">
        <f t="shared" ca="1" si="1"/>
        <v>2018</v>
      </c>
      <c r="G1976" s="17">
        <f t="shared" ca="1" si="103"/>
        <v>10959</v>
      </c>
      <c r="H1976" s="3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3.5000000000000003E-2</v>
      </c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</row>
    <row r="1977" spans="1:26" ht="13.5" customHeight="1" x14ac:dyDescent="0.3">
      <c r="A1977" s="17" t="s">
        <v>644</v>
      </c>
      <c r="B1977" s="17">
        <f t="shared" si="104"/>
        <v>21</v>
      </c>
      <c r="C1977" s="17">
        <f t="shared" si="26"/>
        <v>39</v>
      </c>
      <c r="D1977" s="17"/>
      <c r="E1977" s="17">
        <f t="shared" si="102"/>
        <v>65919</v>
      </c>
      <c r="F1977" s="17">
        <f t="shared" ca="1" si="1"/>
        <v>2018</v>
      </c>
      <c r="G1977" s="17">
        <f t="shared" ca="1" si="103"/>
        <v>10962</v>
      </c>
      <c r="H1977" s="29" t="str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CAFR Pg 158</v>
      </c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</row>
    <row r="1978" spans="1:26" ht="13.5" customHeight="1" x14ac:dyDescent="0.3">
      <c r="A1978" s="17" t="s">
        <v>644</v>
      </c>
      <c r="B1978" s="17">
        <f t="shared" si="104"/>
        <v>21</v>
      </c>
      <c r="C1978" s="17">
        <f t="shared" si="26"/>
        <v>40</v>
      </c>
      <c r="D1978" s="17"/>
      <c r="E1978" s="17">
        <f t="shared" si="102"/>
        <v>65919</v>
      </c>
      <c r="F1978" s="17">
        <f t="shared" ca="1" si="1"/>
        <v>2018</v>
      </c>
      <c r="G1978" s="17">
        <f t="shared" ca="1" si="103"/>
        <v>10964</v>
      </c>
      <c r="H1978" s="29" t="str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CAFR Pg 155</v>
      </c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</row>
    <row r="1979" spans="1:26" ht="13.5" customHeight="1" x14ac:dyDescent="0.3">
      <c r="A1979" s="17" t="s">
        <v>644</v>
      </c>
      <c r="B1979" s="17">
        <f t="shared" si="104"/>
        <v>21</v>
      </c>
      <c r="C1979" s="17">
        <f t="shared" si="26"/>
        <v>41</v>
      </c>
      <c r="D1979" s="17"/>
      <c r="E1979" s="17">
        <f t="shared" si="102"/>
        <v>65919</v>
      </c>
      <c r="F1979" s="17">
        <f t="shared" ca="1" si="1"/>
        <v>2018</v>
      </c>
      <c r="G1979" s="17">
        <f t="shared" ca="1" si="103"/>
        <v>10967</v>
      </c>
      <c r="H1979" s="29" t="str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RP-2000 Combined Healthy Table</v>
      </c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</row>
    <row r="1980" spans="1:26" ht="13.5" customHeight="1" x14ac:dyDescent="0.3">
      <c r="A1980" s="17" t="s">
        <v>644</v>
      </c>
      <c r="B1980" s="17">
        <f t="shared" si="104"/>
        <v>21</v>
      </c>
      <c r="C1980" s="17">
        <f t="shared" si="26"/>
        <v>42</v>
      </c>
      <c r="D1980" s="17"/>
      <c r="E1980" s="17">
        <f t="shared" si="102"/>
        <v>65919</v>
      </c>
      <c r="F1980" s="17">
        <f t="shared" ca="1" si="1"/>
        <v>2018</v>
      </c>
      <c r="G1980" s="17">
        <f t="shared" ca="1" si="103"/>
        <v>10968</v>
      </c>
      <c r="H1980" s="2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2000</v>
      </c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</row>
    <row r="1981" spans="1:26" ht="13.5" customHeight="1" x14ac:dyDescent="0.3">
      <c r="A1981" s="17" t="s">
        <v>644</v>
      </c>
      <c r="B1981" s="17">
        <f t="shared" si="104"/>
        <v>21</v>
      </c>
      <c r="C1981" s="17">
        <f t="shared" si="26"/>
        <v>43</v>
      </c>
      <c r="D1981" s="17"/>
      <c r="E1981" s="17">
        <f t="shared" si="102"/>
        <v>65919</v>
      </c>
      <c r="F1981" s="17">
        <f t="shared" ca="1" si="1"/>
        <v>2018</v>
      </c>
      <c r="G1981" s="17">
        <f t="shared" ca="1" si="103"/>
        <v>10969</v>
      </c>
      <c r="H1981" s="2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Scale BB</v>
      </c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</row>
    <row r="1982" spans="1:26" ht="13.5" customHeight="1" x14ac:dyDescent="0.3">
      <c r="A1982" s="17" t="s">
        <v>644</v>
      </c>
      <c r="B1982" s="17">
        <f t="shared" si="104"/>
        <v>21</v>
      </c>
      <c r="C1982" s="17">
        <f t="shared" si="26"/>
        <v>44</v>
      </c>
      <c r="D1982" s="17"/>
      <c r="E1982" s="17">
        <f t="shared" si="102"/>
        <v>65919</v>
      </c>
      <c r="F1982" s="17">
        <f t="shared" ca="1" si="1"/>
        <v>2018</v>
      </c>
      <c r="G1982" s="17">
        <f t="shared" ca="1" si="103"/>
        <v>10970</v>
      </c>
      <c r="H1982" s="2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</row>
    <row r="1983" spans="1:26" ht="13.5" customHeight="1" x14ac:dyDescent="0.3">
      <c r="A1983" s="17" t="s">
        <v>644</v>
      </c>
      <c r="B1983" s="17">
        <f t="shared" si="104"/>
        <v>21</v>
      </c>
      <c r="C1983" s="17">
        <f t="shared" si="26"/>
        <v>45</v>
      </c>
      <c r="D1983" s="17"/>
      <c r="E1983" s="17">
        <f t="shared" si="102"/>
        <v>65919</v>
      </c>
      <c r="F1983" s="17">
        <f t="shared" ca="1" si="1"/>
        <v>2018</v>
      </c>
      <c r="G1983" s="17">
        <f t="shared" ca="1" si="103"/>
        <v>10971</v>
      </c>
      <c r="H1983" s="2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</row>
    <row r="1984" spans="1:26" ht="13.5" customHeight="1" x14ac:dyDescent="0.3">
      <c r="A1984" s="17" t="s">
        <v>644</v>
      </c>
      <c r="B1984" s="17">
        <f t="shared" si="104"/>
        <v>21</v>
      </c>
      <c r="C1984" s="17">
        <f t="shared" si="26"/>
        <v>46</v>
      </c>
      <c r="D1984" s="17"/>
      <c r="E1984" s="17">
        <f t="shared" si="102"/>
        <v>65919</v>
      </c>
      <c r="F1984" s="17">
        <f t="shared" ca="1" si="1"/>
        <v>2018</v>
      </c>
      <c r="G1984" s="17">
        <f t="shared" ca="1" si="103"/>
        <v>10972</v>
      </c>
      <c r="H1984" s="29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N/A</v>
      </c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</row>
    <row r="1985" spans="1:26" ht="13.5" customHeight="1" x14ac:dyDescent="0.3">
      <c r="A1985" s="17" t="s">
        <v>644</v>
      </c>
      <c r="B1985" s="17">
        <f t="shared" si="104"/>
        <v>21</v>
      </c>
      <c r="C1985" s="17">
        <f t="shared" si="26"/>
        <v>47</v>
      </c>
      <c r="D1985" s="17"/>
      <c r="E1985" s="17">
        <f t="shared" si="102"/>
        <v>65919</v>
      </c>
      <c r="F1985" s="17">
        <f t="shared" ca="1" si="1"/>
        <v>2018</v>
      </c>
      <c r="G1985" s="17">
        <f t="shared" ca="1" si="103"/>
        <v>10973</v>
      </c>
      <c r="H1985" s="29" t="str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N/A</v>
      </c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</row>
    <row r="1986" spans="1:26" ht="13.5" customHeight="1" x14ac:dyDescent="0.3">
      <c r="A1986" s="17" t="s">
        <v>644</v>
      </c>
      <c r="B1986" s="17">
        <f t="shared" si="104"/>
        <v>21</v>
      </c>
      <c r="C1986" s="17">
        <f t="shared" si="26"/>
        <v>48</v>
      </c>
      <c r="D1986" s="17"/>
      <c r="E1986" s="17">
        <f t="shared" si="102"/>
        <v>65919</v>
      </c>
      <c r="F1986" s="17">
        <f t="shared" ca="1" si="1"/>
        <v>2018</v>
      </c>
      <c r="G1986" s="17">
        <f t="shared" ca="1" si="103"/>
        <v>10975</v>
      </c>
      <c r="H1986" s="29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 xml:space="preserve">Aggregate   </v>
      </c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</row>
    <row r="1987" spans="1:26" ht="13.5" customHeight="1" x14ac:dyDescent="0.3">
      <c r="A1987" s="17" t="s">
        <v>644</v>
      </c>
      <c r="B1987" s="17">
        <f t="shared" si="104"/>
        <v>21</v>
      </c>
      <c r="C1987" s="17">
        <f t="shared" si="26"/>
        <v>49</v>
      </c>
      <c r="D1987" s="17"/>
      <c r="E1987" s="17">
        <f t="shared" si="102"/>
        <v>65919</v>
      </c>
      <c r="F1987" s="17">
        <f t="shared" ca="1" si="1"/>
        <v>2018</v>
      </c>
      <c r="G1987" s="17">
        <f t="shared" ca="1" si="103"/>
        <v>10976</v>
      </c>
      <c r="H1987" s="3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7.4999999999999997E-2</v>
      </c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</row>
    <row r="1988" spans="1:26" ht="13.5" customHeight="1" x14ac:dyDescent="0.3">
      <c r="A1988" s="17" t="s">
        <v>644</v>
      </c>
      <c r="B1988" s="17">
        <f t="shared" si="104"/>
        <v>21</v>
      </c>
      <c r="C1988" s="17">
        <f t="shared" si="26"/>
        <v>50</v>
      </c>
      <c r="D1988" s="17"/>
      <c r="E1988" s="17">
        <f t="shared" ref="E1988:E2051" si="105">plan_id</f>
        <v>65919</v>
      </c>
      <c r="F1988" s="17">
        <f t="shared" ca="1" si="1"/>
        <v>2018</v>
      </c>
      <c r="G1988" s="17">
        <f t="shared" ref="G1988:G2051" ca="1" si="106">VLOOKUP(INDIRECT(CHAR(39)&amp;$A1988&amp;CHAR(39)&amp;"!r2c"&amp;$C1988,0),variables,2,0)</f>
        <v>10977</v>
      </c>
      <c r="H1988" s="31" t="str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No</v>
      </c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</row>
    <row r="1989" spans="1:26" ht="13.5" customHeight="1" x14ac:dyDescent="0.3">
      <c r="A1989" s="17" t="s">
        <v>644</v>
      </c>
      <c r="B1989" s="17">
        <f t="shared" si="104"/>
        <v>21</v>
      </c>
      <c r="C1989" s="17">
        <f t="shared" si="26"/>
        <v>51</v>
      </c>
      <c r="D1989" s="17"/>
      <c r="E1989" s="17">
        <f t="shared" si="105"/>
        <v>65919</v>
      </c>
      <c r="F1989" s="17">
        <f t="shared" ca="1" si="1"/>
        <v>2018</v>
      </c>
      <c r="G1989" s="17">
        <f t="shared" ca="1" si="106"/>
        <v>10978</v>
      </c>
      <c r="H1989" s="3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7.4999999999999997E-2</v>
      </c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</row>
    <row r="1990" spans="1:26" ht="13.5" customHeight="1" x14ac:dyDescent="0.3">
      <c r="A1990" s="17" t="s">
        <v>644</v>
      </c>
      <c r="B1990" s="17">
        <f t="shared" si="104"/>
        <v>21</v>
      </c>
      <c r="C1990" s="17">
        <f t="shared" si="26"/>
        <v>52</v>
      </c>
      <c r="D1990" s="17"/>
      <c r="E1990" s="17">
        <f t="shared" si="105"/>
        <v>65919</v>
      </c>
      <c r="F1990" s="17">
        <f t="shared" ca="1" si="1"/>
        <v>2018</v>
      </c>
      <c r="G1990" s="17">
        <f t="shared" ca="1" si="106"/>
        <v>10979</v>
      </c>
      <c r="H1990" s="29" t="str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8 Years</v>
      </c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</row>
    <row r="1991" spans="1:26" ht="13.5" customHeight="1" x14ac:dyDescent="0.3">
      <c r="A1991" s="17" t="s">
        <v>644</v>
      </c>
      <c r="B1991" s="17">
        <f t="shared" si="104"/>
        <v>21</v>
      </c>
      <c r="C1991" s="17">
        <f t="shared" si="26"/>
        <v>53</v>
      </c>
      <c r="D1991" s="17"/>
      <c r="E1991" s="17">
        <f t="shared" si="105"/>
        <v>65919</v>
      </c>
      <c r="F1991" s="17">
        <f t="shared" ca="1" si="1"/>
        <v>2018</v>
      </c>
      <c r="G1991" s="17">
        <f t="shared" ca="1" si="106"/>
        <v>10980</v>
      </c>
      <c r="H1991" s="3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</row>
    <row r="1992" spans="1:26" ht="13.5" customHeight="1" x14ac:dyDescent="0.3">
      <c r="A1992" s="17" t="s">
        <v>644</v>
      </c>
      <c r="B1992" s="17">
        <f t="shared" si="104"/>
        <v>21</v>
      </c>
      <c r="C1992" s="17">
        <f t="shared" si="26"/>
        <v>54</v>
      </c>
      <c r="D1992" s="17"/>
      <c r="E1992" s="17">
        <f t="shared" si="105"/>
        <v>65919</v>
      </c>
      <c r="F1992" s="17">
        <f t="shared" ca="1" si="1"/>
        <v>2018</v>
      </c>
      <c r="G1992" s="17">
        <f t="shared" ca="1" si="106"/>
        <v>10981</v>
      </c>
      <c r="H1992" s="3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</row>
    <row r="1993" spans="1:26" ht="13.5" customHeight="1" x14ac:dyDescent="0.3">
      <c r="A1993" s="17" t="s">
        <v>644</v>
      </c>
      <c r="B1993" s="17">
        <f t="shared" si="104"/>
        <v>21</v>
      </c>
      <c r="C1993" s="17">
        <f t="shared" si="26"/>
        <v>55</v>
      </c>
      <c r="D1993" s="17"/>
      <c r="E1993" s="17">
        <f t="shared" si="105"/>
        <v>65919</v>
      </c>
      <c r="F1993" s="17">
        <f t="shared" ca="1" si="1"/>
        <v>2018</v>
      </c>
      <c r="G1993" s="17">
        <f t="shared" ca="1" si="106"/>
        <v>10706</v>
      </c>
      <c r="H1993" s="3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4.5905778389854825E-4</v>
      </c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</row>
    <row r="1994" spans="1:26" ht="13.5" customHeight="1" x14ac:dyDescent="0.3">
      <c r="A1994" s="17" t="s">
        <v>644</v>
      </c>
      <c r="B1994" s="17">
        <f t="shared" si="104"/>
        <v>21</v>
      </c>
      <c r="C1994" s="17">
        <f t="shared" si="26"/>
        <v>56</v>
      </c>
      <c r="D1994" s="17"/>
      <c r="E1994" s="17">
        <f t="shared" si="105"/>
        <v>65919</v>
      </c>
      <c r="F1994" s="17">
        <f t="shared" ca="1" si="1"/>
        <v>2018</v>
      </c>
      <c r="G1994" s="17">
        <f t="shared" ca="1" si="106"/>
        <v>10983</v>
      </c>
      <c r="H1994" s="30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No</v>
      </c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</row>
    <row r="1995" spans="1:26" ht="13.5" customHeight="1" x14ac:dyDescent="0.3">
      <c r="A1995" s="17" t="s">
        <v>644</v>
      </c>
      <c r="B1995" s="17">
        <f t="shared" si="104"/>
        <v>21</v>
      </c>
      <c r="C1995" s="17">
        <f t="shared" si="26"/>
        <v>57</v>
      </c>
      <c r="D1995" s="17"/>
      <c r="E1995" s="17">
        <f t="shared" si="105"/>
        <v>65919</v>
      </c>
      <c r="F1995" s="17">
        <f t="shared" ca="1" si="1"/>
        <v>2018</v>
      </c>
      <c r="G1995" s="17">
        <f t="shared" ca="1" si="106"/>
        <v>10989</v>
      </c>
      <c r="H1995" s="3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1215000000</v>
      </c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</row>
    <row r="1996" spans="1:26" ht="13.5" customHeight="1" x14ac:dyDescent="0.3">
      <c r="A1996" s="17" t="s">
        <v>644</v>
      </c>
      <c r="B1996" s="17">
        <f t="shared" si="104"/>
        <v>21</v>
      </c>
      <c r="C1996" s="17">
        <f t="shared" si="26"/>
        <v>58</v>
      </c>
      <c r="D1996" s="17"/>
      <c r="E1996" s="17">
        <f t="shared" si="105"/>
        <v>65919</v>
      </c>
      <c r="F1996" s="17">
        <f t="shared" ca="1" si="1"/>
        <v>2018</v>
      </c>
      <c r="G1996" s="17">
        <f t="shared" ca="1" si="106"/>
        <v>10990</v>
      </c>
      <c r="H1996" s="30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1302000000</v>
      </c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</row>
    <row r="1997" spans="1:26" ht="13.5" customHeight="1" x14ac:dyDescent="0.3">
      <c r="A1997" s="17" t="s">
        <v>644</v>
      </c>
      <c r="B1997" s="17">
        <f t="shared" si="104"/>
        <v>21</v>
      </c>
      <c r="C1997" s="17">
        <f t="shared" si="26"/>
        <v>59</v>
      </c>
      <c r="D1997" s="17"/>
      <c r="E1997" s="17">
        <f t="shared" si="105"/>
        <v>65919</v>
      </c>
      <c r="F1997" s="17">
        <f t="shared" ca="1" si="1"/>
        <v>2018</v>
      </c>
      <c r="G1997" s="17">
        <f t="shared" ca="1" si="106"/>
        <v>10991</v>
      </c>
      <c r="H1997" s="3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87000000</v>
      </c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</row>
    <row r="1998" spans="1:26" ht="13.5" customHeight="1" x14ac:dyDescent="0.3">
      <c r="A1998" s="17" t="s">
        <v>644</v>
      </c>
      <c r="B1998" s="17">
        <f t="shared" si="104"/>
        <v>21</v>
      </c>
      <c r="C1998" s="17">
        <f t="shared" si="26"/>
        <v>60</v>
      </c>
      <c r="D1998" s="17"/>
      <c r="E1998" s="17">
        <f t="shared" si="105"/>
        <v>65919</v>
      </c>
      <c r="F1998" s="17">
        <f t="shared" ca="1" si="1"/>
        <v>2018</v>
      </c>
      <c r="G1998" s="17">
        <f t="shared" ca="1" si="106"/>
        <v>10992</v>
      </c>
      <c r="H1998" s="3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0.93</v>
      </c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</row>
    <row r="1999" spans="1:26" ht="13.5" customHeight="1" x14ac:dyDescent="0.3">
      <c r="A1999" s="17" t="s">
        <v>644</v>
      </c>
      <c r="B1999" s="17">
        <f t="shared" si="104"/>
        <v>21</v>
      </c>
      <c r="C1999" s="17">
        <f t="shared" si="26"/>
        <v>61</v>
      </c>
      <c r="D1999" s="17"/>
      <c r="E1999" s="17">
        <f t="shared" si="105"/>
        <v>65919</v>
      </c>
      <c r="F1999" s="17">
        <f t="shared" ca="1" si="1"/>
        <v>2018</v>
      </c>
      <c r="G1999" s="17">
        <f t="shared" ca="1" si="106"/>
        <v>10993</v>
      </c>
      <c r="H1999" s="30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</row>
    <row r="2000" spans="1:26" ht="13.5" customHeight="1" x14ac:dyDescent="0.3">
      <c r="A2000" s="17" t="s">
        <v>644</v>
      </c>
      <c r="B2000" s="17">
        <f t="shared" si="104"/>
        <v>21</v>
      </c>
      <c r="C2000" s="17">
        <f t="shared" si="26"/>
        <v>62</v>
      </c>
      <c r="D2000" s="17"/>
      <c r="E2000" s="17">
        <f t="shared" si="105"/>
        <v>65919</v>
      </c>
      <c r="F2000" s="17">
        <f t="shared" ca="1" si="1"/>
        <v>2018</v>
      </c>
      <c r="G2000" s="17">
        <f t="shared" ca="1" si="106"/>
        <v>10801</v>
      </c>
      <c r="H2000" s="30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-13900000</v>
      </c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</row>
    <row r="2001" spans="1:26" ht="13.5" customHeight="1" x14ac:dyDescent="0.3">
      <c r="A2001" s="17" t="s">
        <v>644</v>
      </c>
      <c r="B2001" s="17">
        <f t="shared" si="104"/>
        <v>21</v>
      </c>
      <c r="C2001" s="17">
        <f t="shared" si="26"/>
        <v>63</v>
      </c>
      <c r="D2001" s="17"/>
      <c r="E2001" s="17">
        <f t="shared" si="105"/>
        <v>65919</v>
      </c>
      <c r="F2001" s="17">
        <f t="shared" ca="1" si="1"/>
        <v>2018</v>
      </c>
      <c r="G2001" s="17">
        <f t="shared" ca="1" si="106"/>
        <v>10802</v>
      </c>
      <c r="H2001" s="30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</row>
    <row r="2002" spans="1:26" ht="13.5" customHeight="1" x14ac:dyDescent="0.3">
      <c r="A2002" s="17" t="s">
        <v>644</v>
      </c>
      <c r="B2002" s="17">
        <f t="shared" si="104"/>
        <v>21</v>
      </c>
      <c r="C2002" s="17">
        <f t="shared" si="26"/>
        <v>64</v>
      </c>
      <c r="D2002" s="17"/>
      <c r="E2002" s="17">
        <f t="shared" si="105"/>
        <v>65919</v>
      </c>
      <c r="F2002" s="17">
        <f t="shared" ca="1" si="1"/>
        <v>2018</v>
      </c>
      <c r="G2002" s="17">
        <f t="shared" ca="1" si="106"/>
        <v>10803</v>
      </c>
      <c r="H2002" s="3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</row>
    <row r="2003" spans="1:26" ht="13.5" customHeight="1" x14ac:dyDescent="0.3">
      <c r="A2003" s="17" t="s">
        <v>644</v>
      </c>
      <c r="B2003" s="17">
        <f t="shared" si="104"/>
        <v>21</v>
      </c>
      <c r="C2003" s="17">
        <f t="shared" si="26"/>
        <v>65</v>
      </c>
      <c r="D2003" s="17"/>
      <c r="E2003" s="17">
        <f t="shared" si="105"/>
        <v>65919</v>
      </c>
      <c r="F2003" s="17">
        <f t="shared" ca="1" si="1"/>
        <v>2018</v>
      </c>
      <c r="G2003" s="17">
        <f t="shared" ca="1" si="106"/>
        <v>10804</v>
      </c>
      <c r="H2003" s="3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</row>
    <row r="2004" spans="1:26" ht="13.5" customHeight="1" x14ac:dyDescent="0.3">
      <c r="A2004" s="17" t="s">
        <v>644</v>
      </c>
      <c r="B2004" s="17">
        <f t="shared" si="104"/>
        <v>21</v>
      </c>
      <c r="C2004" s="17">
        <f t="shared" si="26"/>
        <v>66</v>
      </c>
      <c r="D2004" s="17"/>
      <c r="E2004" s="17">
        <f t="shared" si="105"/>
        <v>65919</v>
      </c>
      <c r="F2004" s="17">
        <f t="shared" ca="1" si="1"/>
        <v>2018</v>
      </c>
      <c r="G2004" s="17">
        <f t="shared" ca="1" si="106"/>
        <v>10805</v>
      </c>
      <c r="H2004" s="3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</row>
    <row r="2005" spans="1:26" ht="13.5" customHeight="1" x14ac:dyDescent="0.3">
      <c r="A2005" s="17" t="s">
        <v>644</v>
      </c>
      <c r="B2005" s="17">
        <f t="shared" si="104"/>
        <v>21</v>
      </c>
      <c r="C2005" s="17">
        <f t="shared" si="26"/>
        <v>67</v>
      </c>
      <c r="D2005" s="17"/>
      <c r="E2005" s="17">
        <f t="shared" si="105"/>
        <v>65919</v>
      </c>
      <c r="F2005" s="17">
        <f t="shared" ca="1" si="1"/>
        <v>2018</v>
      </c>
      <c r="G2005" s="17">
        <f t="shared" ca="1" si="106"/>
        <v>10806</v>
      </c>
      <c r="H2005" s="30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0</v>
      </c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</row>
    <row r="2006" spans="1:26" ht="13.5" customHeight="1" x14ac:dyDescent="0.3">
      <c r="A2006" s="17" t="s">
        <v>644</v>
      </c>
      <c r="B2006" s="17">
        <f t="shared" ref="B2006:B2031" si="107">B2005</f>
        <v>21</v>
      </c>
      <c r="C2006" s="17">
        <f t="shared" si="26"/>
        <v>68</v>
      </c>
      <c r="D2006" s="17"/>
      <c r="E2006" s="17">
        <f t="shared" si="105"/>
        <v>65919</v>
      </c>
      <c r="F2006" s="17">
        <f t="shared" ca="1" si="1"/>
        <v>2018</v>
      </c>
      <c r="G2006" s="17">
        <f t="shared" ca="1" si="106"/>
        <v>10807</v>
      </c>
      <c r="H2006" s="30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</row>
    <row r="2007" spans="1:26" ht="13.5" customHeight="1" x14ac:dyDescent="0.3">
      <c r="A2007" s="17" t="s">
        <v>644</v>
      </c>
      <c r="B2007" s="17">
        <f t="shared" si="107"/>
        <v>21</v>
      </c>
      <c r="C2007" s="17">
        <f t="shared" si="26"/>
        <v>69</v>
      </c>
      <c r="D2007" s="17"/>
      <c r="E2007" s="17">
        <f t="shared" si="105"/>
        <v>65919</v>
      </c>
      <c r="F2007" s="17">
        <f t="shared" ca="1" si="1"/>
        <v>2018</v>
      </c>
      <c r="G2007" s="17">
        <f t="shared" ca="1" si="106"/>
        <v>10808</v>
      </c>
      <c r="H2007" s="3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</row>
    <row r="2008" spans="1:26" ht="13.5" customHeight="1" x14ac:dyDescent="0.3">
      <c r="A2008" s="17" t="s">
        <v>644</v>
      </c>
      <c r="B2008" s="17">
        <f t="shared" si="107"/>
        <v>21</v>
      </c>
      <c r="C2008" s="17">
        <f t="shared" si="26"/>
        <v>70</v>
      </c>
      <c r="D2008" s="17"/>
      <c r="E2008" s="17">
        <f t="shared" si="105"/>
        <v>65919</v>
      </c>
      <c r="F2008" s="17">
        <f t="shared" ca="1" si="1"/>
        <v>2018</v>
      </c>
      <c r="G2008" s="17">
        <f t="shared" ca="1" si="106"/>
        <v>10809</v>
      </c>
      <c r="H2008" s="30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</v>
      </c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</row>
    <row r="2009" spans="1:26" ht="13.5" customHeight="1" x14ac:dyDescent="0.3">
      <c r="A2009" s="17" t="s">
        <v>644</v>
      </c>
      <c r="B2009" s="17">
        <f t="shared" si="107"/>
        <v>21</v>
      </c>
      <c r="C2009" s="17">
        <f t="shared" si="26"/>
        <v>71</v>
      </c>
      <c r="D2009" s="17"/>
      <c r="E2009" s="17">
        <f t="shared" si="105"/>
        <v>65919</v>
      </c>
      <c r="F2009" s="17">
        <f t="shared" ca="1" si="1"/>
        <v>2018</v>
      </c>
      <c r="G2009" s="17">
        <f t="shared" ca="1" si="106"/>
        <v>10810</v>
      </c>
      <c r="H2009" s="30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</row>
    <row r="2010" spans="1:26" ht="13.5" customHeight="1" x14ac:dyDescent="0.3">
      <c r="A2010" s="17" t="s">
        <v>644</v>
      </c>
      <c r="B2010" s="17">
        <f t="shared" si="107"/>
        <v>21</v>
      </c>
      <c r="C2010" s="17">
        <f t="shared" si="26"/>
        <v>72</v>
      </c>
      <c r="D2010" s="17"/>
      <c r="E2010" s="17">
        <f t="shared" si="105"/>
        <v>65919</v>
      </c>
      <c r="F2010" s="17">
        <f t="shared" ca="1" si="1"/>
        <v>2018</v>
      </c>
      <c r="G2010" s="17">
        <f t="shared" ca="1" si="106"/>
        <v>10811</v>
      </c>
      <c r="H2010" s="30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</row>
    <row r="2011" spans="1:26" ht="13.5" customHeight="1" x14ac:dyDescent="0.3">
      <c r="A2011" s="17" t="s">
        <v>644</v>
      </c>
      <c r="B2011" s="17">
        <f t="shared" si="107"/>
        <v>21</v>
      </c>
      <c r="C2011" s="17">
        <f t="shared" si="26"/>
        <v>73</v>
      </c>
      <c r="D2011" s="17"/>
      <c r="E2011" s="17">
        <f t="shared" si="105"/>
        <v>65919</v>
      </c>
      <c r="F2011" s="17">
        <f t="shared" ca="1" si="1"/>
        <v>2018</v>
      </c>
      <c r="G2011" s="17">
        <f t="shared" ca="1" si="106"/>
        <v>10812</v>
      </c>
      <c r="H2011" s="30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</row>
    <row r="2012" spans="1:26" ht="13.5" customHeight="1" x14ac:dyDescent="0.3">
      <c r="A2012" s="17" t="s">
        <v>644</v>
      </c>
      <c r="B2012" s="17">
        <f t="shared" si="107"/>
        <v>21</v>
      </c>
      <c r="C2012" s="17">
        <f t="shared" si="26"/>
        <v>74</v>
      </c>
      <c r="D2012" s="17"/>
      <c r="E2012" s="17">
        <f t="shared" si="105"/>
        <v>65919</v>
      </c>
      <c r="F2012" s="17">
        <f t="shared" ca="1" si="1"/>
        <v>2018</v>
      </c>
      <c r="G2012" s="17">
        <f t="shared" ca="1" si="106"/>
        <v>10813</v>
      </c>
      <c r="H2012" s="3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</row>
    <row r="2013" spans="1:26" ht="13.5" customHeight="1" x14ac:dyDescent="0.3">
      <c r="A2013" s="17" t="s">
        <v>644</v>
      </c>
      <c r="B2013" s="17">
        <f t="shared" si="107"/>
        <v>21</v>
      </c>
      <c r="C2013" s="17">
        <f t="shared" si="26"/>
        <v>75</v>
      </c>
      <c r="D2013" s="17"/>
      <c r="E2013" s="17">
        <f t="shared" si="105"/>
        <v>65919</v>
      </c>
      <c r="F2013" s="17">
        <f t="shared" ca="1" si="1"/>
        <v>2018</v>
      </c>
      <c r="G2013" s="17">
        <f t="shared" ca="1" si="106"/>
        <v>10814</v>
      </c>
      <c r="H2013" s="3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</v>
      </c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</row>
    <row r="2014" spans="1:26" ht="13.5" customHeight="1" x14ac:dyDescent="0.3">
      <c r="A2014" s="17" t="s">
        <v>644</v>
      </c>
      <c r="B2014" s="17">
        <f t="shared" si="107"/>
        <v>21</v>
      </c>
      <c r="C2014" s="17">
        <f t="shared" si="26"/>
        <v>76</v>
      </c>
      <c r="D2014" s="17"/>
      <c r="E2014" s="17">
        <f t="shared" si="105"/>
        <v>65919</v>
      </c>
      <c r="F2014" s="17">
        <f t="shared" ca="1" si="1"/>
        <v>2018</v>
      </c>
      <c r="G2014" s="17">
        <f t="shared" ca="1" si="106"/>
        <v>10815</v>
      </c>
      <c r="H2014" s="3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-900000</v>
      </c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</row>
    <row r="2015" spans="1:26" ht="13.5" customHeight="1" x14ac:dyDescent="0.3">
      <c r="A2015" s="17" t="s">
        <v>644</v>
      </c>
      <c r="B2015" s="17">
        <f t="shared" si="107"/>
        <v>21</v>
      </c>
      <c r="C2015" s="17">
        <f t="shared" si="26"/>
        <v>77</v>
      </c>
      <c r="D2015" s="17"/>
      <c r="E2015" s="17">
        <f t="shared" si="105"/>
        <v>65919</v>
      </c>
      <c r="F2015" s="17">
        <f t="shared" ca="1" si="1"/>
        <v>2018</v>
      </c>
      <c r="G2015" s="17">
        <f t="shared" ca="1" si="106"/>
        <v>10816</v>
      </c>
      <c r="H2015" s="30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-1500000</v>
      </c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</row>
    <row r="2016" spans="1:26" ht="13.5" customHeight="1" x14ac:dyDescent="0.3">
      <c r="A2016" s="17" t="s">
        <v>644</v>
      </c>
      <c r="B2016" s="17">
        <f t="shared" si="107"/>
        <v>21</v>
      </c>
      <c r="C2016" s="17">
        <f t="shared" si="26"/>
        <v>78</v>
      </c>
      <c r="D2016" s="17"/>
      <c r="E2016" s="17">
        <f t="shared" si="105"/>
        <v>65919</v>
      </c>
      <c r="F2016" s="17">
        <f t="shared" ca="1" si="1"/>
        <v>2018</v>
      </c>
      <c r="G2016" s="17">
        <f t="shared" ca="1" si="106"/>
        <v>10817</v>
      </c>
      <c r="H2016" s="30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</row>
    <row r="2017" spans="1:26" ht="13.5" customHeight="1" x14ac:dyDescent="0.3">
      <c r="A2017" s="17" t="s">
        <v>644</v>
      </c>
      <c r="B2017" s="17">
        <f t="shared" si="107"/>
        <v>21</v>
      </c>
      <c r="C2017" s="17">
        <f t="shared" si="26"/>
        <v>79</v>
      </c>
      <c r="D2017" s="17"/>
      <c r="E2017" s="17">
        <f t="shared" si="105"/>
        <v>65919</v>
      </c>
      <c r="F2017" s="17">
        <f t="shared" ca="1" si="1"/>
        <v>2018</v>
      </c>
      <c r="G2017" s="17">
        <f t="shared" ca="1" si="106"/>
        <v>10818</v>
      </c>
      <c r="H2017" s="30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0</v>
      </c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</row>
    <row r="2018" spans="1:26" ht="13.5" customHeight="1" x14ac:dyDescent="0.3">
      <c r="A2018" s="17" t="s">
        <v>644</v>
      </c>
      <c r="B2018" s="17">
        <f t="shared" si="107"/>
        <v>21</v>
      </c>
      <c r="C2018" s="17">
        <f t="shared" si="26"/>
        <v>80</v>
      </c>
      <c r="D2018" s="17"/>
      <c r="E2018" s="17">
        <f t="shared" si="105"/>
        <v>65919</v>
      </c>
      <c r="F2018" s="17">
        <f t="shared" ca="1" si="1"/>
        <v>2018</v>
      </c>
      <c r="G2018" s="17">
        <f t="shared" ca="1" si="106"/>
        <v>10819</v>
      </c>
      <c r="H2018" s="30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0</v>
      </c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</row>
    <row r="2019" spans="1:26" ht="13.5" customHeight="1" x14ac:dyDescent="0.3">
      <c r="A2019" s="17" t="s">
        <v>644</v>
      </c>
      <c r="B2019" s="17">
        <f t="shared" si="107"/>
        <v>21</v>
      </c>
      <c r="C2019" s="17">
        <f t="shared" si="26"/>
        <v>81</v>
      </c>
      <c r="D2019" s="17"/>
      <c r="E2019" s="17">
        <f t="shared" si="105"/>
        <v>65919</v>
      </c>
      <c r="F2019" s="17">
        <f t="shared" ca="1" si="1"/>
        <v>2018</v>
      </c>
      <c r="G2019" s="17">
        <f t="shared" ca="1" si="106"/>
        <v>10820</v>
      </c>
      <c r="H2019" s="3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0</v>
      </c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</row>
    <row r="2020" spans="1:26" ht="13.5" customHeight="1" x14ac:dyDescent="0.3">
      <c r="A2020" s="17" t="s">
        <v>644</v>
      </c>
      <c r="B2020" s="17">
        <f t="shared" si="107"/>
        <v>21</v>
      </c>
      <c r="C2020" s="17">
        <f t="shared" si="26"/>
        <v>82</v>
      </c>
      <c r="D2020" s="17"/>
      <c r="E2020" s="17">
        <f t="shared" si="105"/>
        <v>65919</v>
      </c>
      <c r="F2020" s="17">
        <f t="shared" ca="1" si="1"/>
        <v>2018</v>
      </c>
      <c r="G2020" s="17">
        <f t="shared" ca="1" si="106"/>
        <v>10821</v>
      </c>
      <c r="H2020" s="30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</row>
    <row r="2021" spans="1:26" ht="13.5" customHeight="1" x14ac:dyDescent="0.3">
      <c r="A2021" s="17" t="s">
        <v>644</v>
      </c>
      <c r="B2021" s="17">
        <f t="shared" si="107"/>
        <v>21</v>
      </c>
      <c r="C2021" s="17">
        <f t="shared" si="26"/>
        <v>83</v>
      </c>
      <c r="D2021" s="17"/>
      <c r="E2021" s="17">
        <f t="shared" si="105"/>
        <v>65919</v>
      </c>
      <c r="F2021" s="17">
        <f t="shared" ca="1" si="1"/>
        <v>2018</v>
      </c>
      <c r="G2021" s="17">
        <f t="shared" ca="1" si="106"/>
        <v>10822</v>
      </c>
      <c r="H2021" s="3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</row>
    <row r="2022" spans="1:26" ht="13.5" customHeight="1" x14ac:dyDescent="0.3">
      <c r="A2022" s="17" t="s">
        <v>644</v>
      </c>
      <c r="B2022" s="17">
        <f t="shared" si="107"/>
        <v>21</v>
      </c>
      <c r="C2022" s="17">
        <f t="shared" si="26"/>
        <v>84</v>
      </c>
      <c r="D2022" s="17"/>
      <c r="E2022" s="17">
        <f t="shared" si="105"/>
        <v>65919</v>
      </c>
      <c r="F2022" s="17">
        <f t="shared" ca="1" si="1"/>
        <v>2018</v>
      </c>
      <c r="G2022" s="17">
        <f t="shared" ca="1" si="106"/>
        <v>10829</v>
      </c>
      <c r="H2022" s="3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</row>
    <row r="2023" spans="1:26" ht="13.5" customHeight="1" x14ac:dyDescent="0.3">
      <c r="A2023" s="17" t="s">
        <v>644</v>
      </c>
      <c r="B2023" s="17">
        <f t="shared" si="107"/>
        <v>21</v>
      </c>
      <c r="C2023" s="17">
        <f t="shared" si="26"/>
        <v>85</v>
      </c>
      <c r="D2023" s="17"/>
      <c r="E2023" s="17">
        <f t="shared" si="105"/>
        <v>65919</v>
      </c>
      <c r="F2023" s="17">
        <f t="shared" ca="1" si="1"/>
        <v>2018</v>
      </c>
      <c r="G2023" s="17">
        <f t="shared" ca="1" si="106"/>
        <v>10823</v>
      </c>
      <c r="H2023" s="30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-16300000</v>
      </c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</row>
    <row r="2024" spans="1:26" ht="13.5" customHeight="1" x14ac:dyDescent="0.3">
      <c r="A2024" s="17" t="s">
        <v>644</v>
      </c>
      <c r="B2024" s="17">
        <f t="shared" si="107"/>
        <v>21</v>
      </c>
      <c r="C2024" s="17">
        <f t="shared" si="26"/>
        <v>86</v>
      </c>
      <c r="D2024" s="17"/>
      <c r="E2024" s="17">
        <f t="shared" si="105"/>
        <v>65919</v>
      </c>
      <c r="F2024" s="17">
        <f t="shared" ca="1" si="1"/>
        <v>2018</v>
      </c>
      <c r="G2024" s="17">
        <f t="shared" ca="1" si="106"/>
        <v>10798</v>
      </c>
      <c r="H2024" s="30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</row>
    <row r="2025" spans="1:26" ht="13.5" customHeight="1" x14ac:dyDescent="0.3">
      <c r="A2025" s="17" t="s">
        <v>644</v>
      </c>
      <c r="B2025" s="17">
        <f t="shared" si="107"/>
        <v>21</v>
      </c>
      <c r="C2025" s="17">
        <f t="shared" si="26"/>
        <v>87</v>
      </c>
      <c r="D2025" s="17"/>
      <c r="E2025" s="17">
        <f t="shared" si="105"/>
        <v>65919</v>
      </c>
      <c r="F2025" s="17">
        <f t="shared" ca="1" si="1"/>
        <v>2018</v>
      </c>
      <c r="G2025" s="17">
        <f t="shared" ca="1" si="106"/>
        <v>10799</v>
      </c>
      <c r="H2025" s="30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0</v>
      </c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</row>
    <row r="2026" spans="1:26" ht="13.5" customHeight="1" x14ac:dyDescent="0.3">
      <c r="A2026" s="17" t="s">
        <v>644</v>
      </c>
      <c r="B2026" s="17">
        <f t="shared" si="107"/>
        <v>21</v>
      </c>
      <c r="C2026" s="17">
        <f t="shared" si="26"/>
        <v>88</v>
      </c>
      <c r="D2026" s="17"/>
      <c r="E2026" s="17">
        <f t="shared" si="105"/>
        <v>65919</v>
      </c>
      <c r="F2026" s="17">
        <f t="shared" ca="1" si="1"/>
        <v>2018</v>
      </c>
      <c r="G2026" s="17">
        <f t="shared" ca="1" si="106"/>
        <v>10800</v>
      </c>
      <c r="H2026" s="3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</v>
      </c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</row>
    <row r="2027" spans="1:26" ht="13.5" customHeight="1" x14ac:dyDescent="0.3">
      <c r="A2027" s="17" t="s">
        <v>644</v>
      </c>
      <c r="B2027" s="17">
        <f t="shared" si="107"/>
        <v>21</v>
      </c>
      <c r="C2027" s="17">
        <f t="shared" si="26"/>
        <v>89</v>
      </c>
      <c r="D2027" s="17"/>
      <c r="E2027" s="17">
        <f t="shared" si="105"/>
        <v>65919</v>
      </c>
      <c r="F2027" s="17">
        <f t="shared" ca="1" si="1"/>
        <v>2018</v>
      </c>
      <c r="G2027" s="17">
        <f t="shared" ca="1" si="106"/>
        <v>10824</v>
      </c>
      <c r="H2027" s="30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</row>
    <row r="2028" spans="1:26" ht="13.5" customHeight="1" x14ac:dyDescent="0.3">
      <c r="A2028" s="17" t="s">
        <v>644</v>
      </c>
      <c r="B2028" s="17">
        <f t="shared" si="107"/>
        <v>21</v>
      </c>
      <c r="C2028" s="17">
        <f t="shared" si="26"/>
        <v>90</v>
      </c>
      <c r="D2028" s="17"/>
      <c r="E2028" s="17">
        <f t="shared" si="105"/>
        <v>65919</v>
      </c>
      <c r="F2028" s="17">
        <f t="shared" ca="1" si="1"/>
        <v>2018</v>
      </c>
      <c r="G2028" s="17">
        <f t="shared" ca="1" si="106"/>
        <v>10825</v>
      </c>
      <c r="H2028" s="3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</v>
      </c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</row>
    <row r="2029" spans="1:26" ht="13.5" customHeight="1" x14ac:dyDescent="0.3">
      <c r="A2029" s="17" t="s">
        <v>644</v>
      </c>
      <c r="B2029" s="17">
        <f t="shared" si="107"/>
        <v>21</v>
      </c>
      <c r="C2029" s="17">
        <f t="shared" si="26"/>
        <v>91</v>
      </c>
      <c r="D2029" s="17"/>
      <c r="E2029" s="17">
        <f t="shared" si="105"/>
        <v>65919</v>
      </c>
      <c r="F2029" s="17">
        <f t="shared" ca="1" si="1"/>
        <v>2018</v>
      </c>
      <c r="G2029" s="17">
        <f t="shared" ca="1" si="106"/>
        <v>10826</v>
      </c>
      <c r="H2029" s="30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</row>
    <row r="2030" spans="1:26" ht="13.5" customHeight="1" x14ac:dyDescent="0.3">
      <c r="A2030" s="17" t="s">
        <v>644</v>
      </c>
      <c r="B2030" s="17">
        <f t="shared" si="107"/>
        <v>21</v>
      </c>
      <c r="C2030" s="17">
        <f t="shared" si="26"/>
        <v>92</v>
      </c>
      <c r="D2030" s="17"/>
      <c r="E2030" s="17">
        <f t="shared" si="105"/>
        <v>65919</v>
      </c>
      <c r="F2030" s="17">
        <f t="shared" ca="1" si="1"/>
        <v>2018</v>
      </c>
      <c r="G2030" s="17">
        <f t="shared" ca="1" si="106"/>
        <v>10828</v>
      </c>
      <c r="H2030" s="3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</row>
    <row r="2031" spans="1:26" ht="13.5" customHeight="1" x14ac:dyDescent="0.3">
      <c r="A2031" s="17" t="s">
        <v>644</v>
      </c>
      <c r="B2031" s="17">
        <f t="shared" si="107"/>
        <v>21</v>
      </c>
      <c r="C2031" s="17">
        <f t="shared" si="26"/>
        <v>93</v>
      </c>
      <c r="D2031" s="17"/>
      <c r="E2031" s="17">
        <f t="shared" si="105"/>
        <v>65919</v>
      </c>
      <c r="F2031" s="17">
        <f t="shared" ca="1" si="1"/>
        <v>2018</v>
      </c>
      <c r="G2031" s="17">
        <f t="shared" ca="1" si="106"/>
        <v>10827</v>
      </c>
      <c r="H2031" s="2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</row>
    <row r="2032" spans="1:26" ht="13.5" customHeight="1" x14ac:dyDescent="0.3">
      <c r="A2032" s="17" t="s">
        <v>644</v>
      </c>
      <c r="B2032" s="17">
        <f t="shared" ref="B2032:B2096" si="108">B1967+1</f>
        <v>22</v>
      </c>
      <c r="C2032" s="17">
        <f t="shared" si="26"/>
        <v>3</v>
      </c>
      <c r="D2032" s="17"/>
      <c r="E2032" s="17">
        <f t="shared" si="105"/>
        <v>65919</v>
      </c>
      <c r="F2032" s="17">
        <f t="shared" ca="1" si="1"/>
        <v>2019</v>
      </c>
      <c r="G2032" s="17">
        <f t="shared" ca="1" si="106"/>
        <v>10703</v>
      </c>
      <c r="H2032" s="2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2019</v>
      </c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</row>
    <row r="2033" spans="1:26" ht="13.5" customHeight="1" x14ac:dyDescent="0.3">
      <c r="A2033" s="17" t="s">
        <v>644</v>
      </c>
      <c r="B2033" s="17">
        <f t="shared" si="108"/>
        <v>22</v>
      </c>
      <c r="C2033" s="17">
        <f t="shared" si="26"/>
        <v>4</v>
      </c>
      <c r="D2033" s="17"/>
      <c r="E2033" s="17">
        <f t="shared" si="105"/>
        <v>65919</v>
      </c>
      <c r="F2033" s="17">
        <f t="shared" ca="1" si="1"/>
        <v>2019</v>
      </c>
      <c r="G2033" s="17">
        <f t="shared" ca="1" si="106"/>
        <v>10845</v>
      </c>
      <c r="H2033" s="2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The Office Of The State Actuary</v>
      </c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</row>
    <row r="2034" spans="1:26" ht="13.5" customHeight="1" x14ac:dyDescent="0.3">
      <c r="A2034" s="17" t="s">
        <v>644</v>
      </c>
      <c r="B2034" s="17">
        <f t="shared" si="108"/>
        <v>22</v>
      </c>
      <c r="C2034" s="17">
        <f t="shared" si="26"/>
        <v>5</v>
      </c>
      <c r="D2034" s="17"/>
      <c r="E2034" s="17">
        <f t="shared" si="105"/>
        <v>65919</v>
      </c>
      <c r="F2034" s="17">
        <f t="shared" ca="1" si="1"/>
        <v>2019</v>
      </c>
      <c r="G2034" s="17">
        <f t="shared" ca="1" si="106"/>
        <v>10924</v>
      </c>
      <c r="H2034" s="3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0.27179999999999999</v>
      </c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</row>
    <row r="2035" spans="1:26" ht="13.5" customHeight="1" x14ac:dyDescent="0.3">
      <c r="A2035" s="17" t="s">
        <v>644</v>
      </c>
      <c r="B2035" s="17">
        <f t="shared" si="108"/>
        <v>22</v>
      </c>
      <c r="C2035" s="17">
        <f t="shared" si="26"/>
        <v>6</v>
      </c>
      <c r="D2035" s="17"/>
      <c r="E2035" s="17">
        <f t="shared" si="105"/>
        <v>65919</v>
      </c>
      <c r="F2035" s="17">
        <f t="shared" ca="1" si="1"/>
        <v>2019</v>
      </c>
      <c r="G2035" s="17">
        <f t="shared" ca="1" si="106"/>
        <v>10925</v>
      </c>
      <c r="H2035" s="3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0.1857</v>
      </c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</row>
    <row r="2036" spans="1:26" ht="13.5" customHeight="1" x14ac:dyDescent="0.3">
      <c r="A2036" s="17" t="s">
        <v>644</v>
      </c>
      <c r="B2036" s="17">
        <f t="shared" si="108"/>
        <v>22</v>
      </c>
      <c r="C2036" s="17">
        <f t="shared" si="26"/>
        <v>7</v>
      </c>
      <c r="D2036" s="17"/>
      <c r="E2036" s="17">
        <f t="shared" si="105"/>
        <v>65919</v>
      </c>
      <c r="F2036" s="17">
        <f t="shared" ca="1" si="1"/>
        <v>2019</v>
      </c>
      <c r="G2036" s="17">
        <f t="shared" ca="1" si="106"/>
        <v>10926</v>
      </c>
      <c r="H2036" s="3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8.6099999999999996E-2</v>
      </c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</row>
    <row r="2037" spans="1:26" ht="13.5" customHeight="1" x14ac:dyDescent="0.3">
      <c r="A2037" s="17" t="s">
        <v>644</v>
      </c>
      <c r="B2037" s="17">
        <f t="shared" si="108"/>
        <v>22</v>
      </c>
      <c r="C2037" s="17">
        <f t="shared" si="26"/>
        <v>8</v>
      </c>
      <c r="D2037" s="17"/>
      <c r="E2037" s="17">
        <f t="shared" si="105"/>
        <v>65919</v>
      </c>
      <c r="F2037" s="17">
        <f t="shared" ca="1" si="1"/>
        <v>2019</v>
      </c>
      <c r="G2037" s="17">
        <f t="shared" ca="1" si="106"/>
        <v>10704</v>
      </c>
      <c r="H2037" s="3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</row>
    <row r="2038" spans="1:26" ht="13.5" customHeight="1" x14ac:dyDescent="0.3">
      <c r="A2038" s="17" t="s">
        <v>644</v>
      </c>
      <c r="B2038" s="17">
        <f t="shared" si="108"/>
        <v>22</v>
      </c>
      <c r="C2038" s="17">
        <f t="shared" si="26"/>
        <v>9</v>
      </c>
      <c r="D2038" s="17"/>
      <c r="E2038" s="17">
        <f t="shared" si="105"/>
        <v>65919</v>
      </c>
      <c r="F2038" s="17">
        <f t="shared" ca="1" si="1"/>
        <v>2019</v>
      </c>
      <c r="G2038" s="17">
        <f t="shared" ca="1" si="106"/>
        <v>10928</v>
      </c>
      <c r="H2038" s="31" t="str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N/A</v>
      </c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</row>
    <row r="2039" spans="1:26" ht="13.5" customHeight="1" x14ac:dyDescent="0.3">
      <c r="A2039" s="17" t="s">
        <v>644</v>
      </c>
      <c r="B2039" s="17">
        <f t="shared" si="108"/>
        <v>22</v>
      </c>
      <c r="C2039" s="17">
        <f t="shared" si="26"/>
        <v>10</v>
      </c>
      <c r="D2039" s="17"/>
      <c r="E2039" s="17">
        <f t="shared" si="105"/>
        <v>65919</v>
      </c>
      <c r="F2039" s="17">
        <f t="shared" ca="1" si="1"/>
        <v>2019</v>
      </c>
      <c r="G2039" s="17">
        <f t="shared" ca="1" si="106"/>
        <v>10929</v>
      </c>
      <c r="H2039" s="31" t="str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N/A</v>
      </c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</row>
    <row r="2040" spans="1:26" ht="13.5" customHeight="1" x14ac:dyDescent="0.3">
      <c r="A2040" s="17" t="s">
        <v>644</v>
      </c>
      <c r="B2040" s="17">
        <f t="shared" si="108"/>
        <v>22</v>
      </c>
      <c r="C2040" s="17">
        <f t="shared" si="26"/>
        <v>11</v>
      </c>
      <c r="D2040" s="17"/>
      <c r="E2040" s="17">
        <f t="shared" si="105"/>
        <v>65919</v>
      </c>
      <c r="F2040" s="17">
        <f t="shared" ca="1" si="1"/>
        <v>2019</v>
      </c>
      <c r="G2040" s="17">
        <f t="shared" ca="1" si="106"/>
        <v>10930</v>
      </c>
      <c r="H2040" s="3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</row>
    <row r="2041" spans="1:26" ht="13.5" customHeight="1" x14ac:dyDescent="0.3">
      <c r="A2041" s="17" t="s">
        <v>644</v>
      </c>
      <c r="B2041" s="17">
        <f t="shared" si="108"/>
        <v>22</v>
      </c>
      <c r="C2041" s="17">
        <f t="shared" si="26"/>
        <v>12</v>
      </c>
      <c r="D2041" s="17"/>
      <c r="E2041" s="17">
        <f t="shared" si="105"/>
        <v>65919</v>
      </c>
      <c r="F2041" s="17">
        <f t="shared" ca="1" si="1"/>
        <v>2019</v>
      </c>
      <c r="G2041" s="17">
        <f t="shared" ca="1" si="106"/>
        <v>10705</v>
      </c>
      <c r="H2041" s="3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8581000</v>
      </c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</row>
    <row r="2042" spans="1:26" ht="13.5" customHeight="1" x14ac:dyDescent="0.3">
      <c r="A2042" s="17" t="s">
        <v>644</v>
      </c>
      <c r="B2042" s="17">
        <f t="shared" si="108"/>
        <v>22</v>
      </c>
      <c r="C2042" s="17">
        <f t="shared" si="26"/>
        <v>13</v>
      </c>
      <c r="D2042" s="17"/>
      <c r="E2042" s="17">
        <f t="shared" si="105"/>
        <v>65919</v>
      </c>
      <c r="F2042" s="17">
        <f t="shared" ca="1" si="1"/>
        <v>2019</v>
      </c>
      <c r="G2042" s="17">
        <f t="shared" ca="1" si="106"/>
        <v>10842</v>
      </c>
      <c r="H2042" s="3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</row>
    <row r="2043" spans="1:26" ht="13.5" customHeight="1" x14ac:dyDescent="0.3">
      <c r="A2043" s="17" t="s">
        <v>644</v>
      </c>
      <c r="B2043" s="17">
        <f t="shared" si="108"/>
        <v>22</v>
      </c>
      <c r="C2043" s="17">
        <f t="shared" si="26"/>
        <v>14</v>
      </c>
      <c r="D2043" s="17"/>
      <c r="E2043" s="17">
        <f t="shared" si="105"/>
        <v>65919</v>
      </c>
      <c r="F2043" s="17">
        <f t="shared" ca="1" si="1"/>
        <v>2019</v>
      </c>
      <c r="G2043" s="17">
        <f t="shared" ca="1" si="106"/>
        <v>10843</v>
      </c>
      <c r="H2043" s="3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</row>
    <row r="2044" spans="1:26" ht="13.5" customHeight="1" x14ac:dyDescent="0.3">
      <c r="A2044" s="17" t="s">
        <v>644</v>
      </c>
      <c r="B2044" s="17">
        <f t="shared" si="108"/>
        <v>22</v>
      </c>
      <c r="C2044" s="17">
        <f t="shared" si="26"/>
        <v>15</v>
      </c>
      <c r="D2044" s="17"/>
      <c r="E2044" s="17">
        <f t="shared" si="105"/>
        <v>65919</v>
      </c>
      <c r="F2044" s="17">
        <f t="shared" ca="1" si="1"/>
        <v>2019</v>
      </c>
      <c r="G2044" s="17">
        <f t="shared" ca="1" si="106"/>
        <v>10931</v>
      </c>
      <c r="H2044" s="3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</row>
    <row r="2045" spans="1:26" ht="13.5" customHeight="1" x14ac:dyDescent="0.3">
      <c r="A2045" s="17" t="s">
        <v>644</v>
      </c>
      <c r="B2045" s="17">
        <f t="shared" si="108"/>
        <v>22</v>
      </c>
      <c r="C2045" s="17">
        <f t="shared" si="26"/>
        <v>16</v>
      </c>
      <c r="D2045" s="17"/>
      <c r="E2045" s="17">
        <f t="shared" si="105"/>
        <v>65919</v>
      </c>
      <c r="F2045" s="17">
        <f t="shared" ca="1" si="1"/>
        <v>2019</v>
      </c>
      <c r="G2045" s="17">
        <f t="shared" ca="1" si="106"/>
        <v>10932</v>
      </c>
      <c r="H2045" s="3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</row>
    <row r="2046" spans="1:26" ht="13.5" customHeight="1" x14ac:dyDescent="0.3">
      <c r="A2046" s="17" t="s">
        <v>644</v>
      </c>
      <c r="B2046" s="17">
        <f t="shared" si="108"/>
        <v>22</v>
      </c>
      <c r="C2046" s="17">
        <f t="shared" si="26"/>
        <v>17</v>
      </c>
      <c r="D2046" s="17"/>
      <c r="E2046" s="17">
        <f t="shared" si="105"/>
        <v>65919</v>
      </c>
      <c r="F2046" s="17">
        <f t="shared" ca="1" si="1"/>
        <v>2019</v>
      </c>
      <c r="G2046" s="17">
        <f t="shared" ca="1" si="106"/>
        <v>10933</v>
      </c>
      <c r="H2046" s="3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0.1857</v>
      </c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</row>
    <row r="2047" spans="1:26" ht="13.5" customHeight="1" x14ac:dyDescent="0.3">
      <c r="A2047" s="17" t="s">
        <v>644</v>
      </c>
      <c r="B2047" s="17">
        <f t="shared" si="108"/>
        <v>22</v>
      </c>
      <c r="C2047" s="17">
        <f t="shared" si="26"/>
        <v>18</v>
      </c>
      <c r="D2047" s="17"/>
      <c r="E2047" s="17">
        <f t="shared" si="105"/>
        <v>65919</v>
      </c>
      <c r="F2047" s="17">
        <f t="shared" ca="1" si="1"/>
        <v>2019</v>
      </c>
      <c r="G2047" s="17">
        <f t="shared" ca="1" si="106"/>
        <v>10934</v>
      </c>
      <c r="H2047" s="3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8.6099999999999996E-2</v>
      </c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</row>
    <row r="2048" spans="1:26" ht="13.5" customHeight="1" x14ac:dyDescent="0.3">
      <c r="A2048" s="17" t="s">
        <v>644</v>
      </c>
      <c r="B2048" s="17">
        <f t="shared" si="108"/>
        <v>22</v>
      </c>
      <c r="C2048" s="17">
        <f t="shared" si="26"/>
        <v>19</v>
      </c>
      <c r="D2048" s="17"/>
      <c r="E2048" s="17">
        <f t="shared" si="105"/>
        <v>65919</v>
      </c>
      <c r="F2048" s="17">
        <f t="shared" ca="1" si="1"/>
        <v>2019</v>
      </c>
      <c r="G2048" s="17">
        <f t="shared" ca="1" si="106"/>
        <v>10935</v>
      </c>
      <c r="H2048" s="29" t="str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Single Rate</v>
      </c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</row>
    <row r="2049" spans="1:26" ht="13.5" customHeight="1" x14ac:dyDescent="0.3">
      <c r="A2049" s="17" t="s">
        <v>644</v>
      </c>
      <c r="B2049" s="17">
        <f t="shared" si="108"/>
        <v>22</v>
      </c>
      <c r="C2049" s="17">
        <f t="shared" si="26"/>
        <v>20</v>
      </c>
      <c r="D2049" s="17"/>
      <c r="E2049" s="17">
        <f t="shared" si="105"/>
        <v>65919</v>
      </c>
      <c r="F2049" s="17">
        <f t="shared" ca="1" si="1"/>
        <v>2019</v>
      </c>
      <c r="G2049" s="17">
        <f t="shared" ca="1" si="106"/>
        <v>10937</v>
      </c>
      <c r="H2049" s="3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</row>
    <row r="2050" spans="1:26" ht="13.5" customHeight="1" x14ac:dyDescent="0.3">
      <c r="A2050" s="17" t="s">
        <v>644</v>
      </c>
      <c r="B2050" s="17">
        <f t="shared" si="108"/>
        <v>22</v>
      </c>
      <c r="C2050" s="17">
        <f t="shared" si="26"/>
        <v>21</v>
      </c>
      <c r="D2050" s="17"/>
      <c r="E2050" s="17">
        <f t="shared" si="105"/>
        <v>65919</v>
      </c>
      <c r="F2050" s="17">
        <f t="shared" ca="1" si="1"/>
        <v>2019</v>
      </c>
      <c r="G2050" s="17">
        <f t="shared" ca="1" si="106"/>
        <v>10938</v>
      </c>
      <c r="H2050" s="3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</row>
    <row r="2051" spans="1:26" ht="13.5" customHeight="1" x14ac:dyDescent="0.3">
      <c r="A2051" s="17" t="s">
        <v>644</v>
      </c>
      <c r="B2051" s="17">
        <f t="shared" si="108"/>
        <v>22</v>
      </c>
      <c r="C2051" s="17">
        <f t="shared" si="26"/>
        <v>22</v>
      </c>
      <c r="D2051" s="17"/>
      <c r="E2051" s="17">
        <f t="shared" si="105"/>
        <v>65919</v>
      </c>
      <c r="F2051" s="17">
        <f t="shared" ca="1" si="1"/>
        <v>2019</v>
      </c>
      <c r="G2051" s="17">
        <f t="shared" ca="1" si="106"/>
        <v>11007</v>
      </c>
      <c r="H2051" s="29" t="str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Accrued Benefit Formula= 2% x YOS x AFC (Max= 75% AFC)</v>
      </c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</row>
    <row r="2052" spans="1:26" ht="13.5" customHeight="1" x14ac:dyDescent="0.3">
      <c r="A2052" s="17" t="s">
        <v>644</v>
      </c>
      <c r="B2052" s="17">
        <f t="shared" si="108"/>
        <v>22</v>
      </c>
      <c r="C2052" s="17">
        <f t="shared" si="26"/>
        <v>23</v>
      </c>
      <c r="D2052" s="17"/>
      <c r="E2052" s="17">
        <f t="shared" ref="E2052:E2115" si="109">plan_id</f>
        <v>65919</v>
      </c>
      <c r="F2052" s="17">
        <f t="shared" ca="1" si="1"/>
        <v>2019</v>
      </c>
      <c r="G2052" s="17">
        <f t="shared" ref="G2052:G2115" ca="1" si="110">VLOOKUP(INDIRECT(CHAR(39)&amp;$A2052&amp;CHAR(39)&amp;"!r2c"&amp;$C2052,0),variables,2,0)</f>
        <v>10941</v>
      </c>
      <c r="H2052" s="29" t="str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COLA</v>
      </c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</row>
    <row r="2053" spans="1:26" ht="13.5" customHeight="1" x14ac:dyDescent="0.3">
      <c r="A2053" s="17" t="s">
        <v>644</v>
      </c>
      <c r="B2053" s="17">
        <f t="shared" si="108"/>
        <v>22</v>
      </c>
      <c r="C2053" s="17">
        <f t="shared" si="26"/>
        <v>24</v>
      </c>
      <c r="D2053" s="17"/>
      <c r="E2053" s="17">
        <f t="shared" si="109"/>
        <v>65919</v>
      </c>
      <c r="F2053" s="17">
        <f t="shared" ca="1" si="1"/>
        <v>2019</v>
      </c>
      <c r="G2053" s="17">
        <f t="shared" ca="1" si="110"/>
        <v>10942</v>
      </c>
      <c r="H2053" s="29" t="str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Percentage</v>
      </c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</row>
    <row r="2054" spans="1:26" ht="13.5" customHeight="1" x14ac:dyDescent="0.3">
      <c r="A2054" s="17" t="s">
        <v>644</v>
      </c>
      <c r="B2054" s="17">
        <f t="shared" si="108"/>
        <v>22</v>
      </c>
      <c r="C2054" s="17">
        <f t="shared" si="26"/>
        <v>25</v>
      </c>
      <c r="D2054" s="17"/>
      <c r="E2054" s="17">
        <f t="shared" si="109"/>
        <v>65919</v>
      </c>
      <c r="F2054" s="17">
        <f t="shared" ca="1" si="1"/>
        <v>2019</v>
      </c>
      <c r="G2054" s="17">
        <f t="shared" ca="1" si="110"/>
        <v>10701</v>
      </c>
      <c r="H2054" s="3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</row>
    <row r="2055" spans="1:26" ht="13.5" customHeight="1" x14ac:dyDescent="0.3">
      <c r="A2055" s="17" t="s">
        <v>644</v>
      </c>
      <c r="B2055" s="17">
        <f t="shared" si="108"/>
        <v>22</v>
      </c>
      <c r="C2055" s="17">
        <f t="shared" si="26"/>
        <v>26</v>
      </c>
      <c r="D2055" s="17"/>
      <c r="E2055" s="17">
        <f t="shared" si="109"/>
        <v>65919</v>
      </c>
      <c r="F2055" s="17">
        <f t="shared" ca="1" si="1"/>
        <v>2019</v>
      </c>
      <c r="G2055" s="17">
        <f t="shared" ca="1" si="110"/>
        <v>10702</v>
      </c>
      <c r="H2055" s="3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</row>
    <row r="2056" spans="1:26" ht="13.5" customHeight="1" x14ac:dyDescent="0.3">
      <c r="A2056" s="17" t="s">
        <v>644</v>
      </c>
      <c r="B2056" s="17">
        <f t="shared" si="108"/>
        <v>22</v>
      </c>
      <c r="C2056" s="17">
        <f t="shared" si="26"/>
        <v>27</v>
      </c>
      <c r="D2056" s="17"/>
      <c r="E2056" s="17">
        <f t="shared" si="109"/>
        <v>65919</v>
      </c>
      <c r="F2056" s="17">
        <f t="shared" ca="1" si="1"/>
        <v>2019</v>
      </c>
      <c r="G2056" s="17">
        <f t="shared" ca="1" si="110"/>
        <v>10943</v>
      </c>
      <c r="H2056" s="31" t="str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Lesser of CPI or 3%</v>
      </c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</row>
    <row r="2057" spans="1:26" ht="13.5" customHeight="1" x14ac:dyDescent="0.3">
      <c r="A2057" s="17" t="s">
        <v>644</v>
      </c>
      <c r="B2057" s="17">
        <f t="shared" si="108"/>
        <v>22</v>
      </c>
      <c r="C2057" s="17">
        <f t="shared" si="26"/>
        <v>28</v>
      </c>
      <c r="D2057" s="17"/>
      <c r="E2057" s="17">
        <f t="shared" si="109"/>
        <v>65919</v>
      </c>
      <c r="F2057" s="17">
        <f t="shared" ca="1" si="1"/>
        <v>2019</v>
      </c>
      <c r="G2057" s="17">
        <f t="shared" ca="1" si="110"/>
        <v>10944</v>
      </c>
      <c r="H2057" s="2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</row>
    <row r="2058" spans="1:26" ht="13.5" customHeight="1" x14ac:dyDescent="0.3">
      <c r="A2058" s="17" t="s">
        <v>644</v>
      </c>
      <c r="B2058" s="17">
        <f t="shared" si="108"/>
        <v>22</v>
      </c>
      <c r="C2058" s="17">
        <f t="shared" si="26"/>
        <v>29</v>
      </c>
      <c r="D2058" s="17"/>
      <c r="E2058" s="17">
        <f t="shared" si="109"/>
        <v>65919</v>
      </c>
      <c r="F2058" s="17">
        <f t="shared" ca="1" si="1"/>
        <v>2019</v>
      </c>
      <c r="G2058" s="17">
        <f t="shared" ca="1" si="110"/>
        <v>10945</v>
      </c>
      <c r="H2058" s="2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</row>
    <row r="2059" spans="1:26" ht="13.5" customHeight="1" x14ac:dyDescent="0.3">
      <c r="A2059" s="17" t="s">
        <v>644</v>
      </c>
      <c r="B2059" s="17">
        <f t="shared" si="108"/>
        <v>22</v>
      </c>
      <c r="C2059" s="17">
        <f t="shared" si="26"/>
        <v>30</v>
      </c>
      <c r="D2059" s="17"/>
      <c r="E2059" s="17">
        <f t="shared" si="109"/>
        <v>65919</v>
      </c>
      <c r="F2059" s="17">
        <f t="shared" ca="1" si="1"/>
        <v>2019</v>
      </c>
      <c r="G2059" s="17">
        <f t="shared" ca="1" si="110"/>
        <v>10947</v>
      </c>
      <c r="H2059" s="2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</row>
    <row r="2060" spans="1:26" ht="13.5" customHeight="1" x14ac:dyDescent="0.3">
      <c r="A2060" s="17" t="s">
        <v>644</v>
      </c>
      <c r="B2060" s="17">
        <f t="shared" si="108"/>
        <v>22</v>
      </c>
      <c r="C2060" s="17">
        <f t="shared" si="26"/>
        <v>31</v>
      </c>
      <c r="D2060" s="17"/>
      <c r="E2060" s="17">
        <f t="shared" si="109"/>
        <v>65919</v>
      </c>
      <c r="F2060" s="17">
        <f t="shared" ca="1" si="1"/>
        <v>2019</v>
      </c>
      <c r="G2060" s="17">
        <f t="shared" ca="1" si="110"/>
        <v>10948</v>
      </c>
      <c r="H2060" s="2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</row>
    <row r="2061" spans="1:26" ht="13.5" customHeight="1" x14ac:dyDescent="0.3">
      <c r="A2061" s="17" t="s">
        <v>644</v>
      </c>
      <c r="B2061" s="17">
        <f t="shared" si="108"/>
        <v>22</v>
      </c>
      <c r="C2061" s="17">
        <f t="shared" si="26"/>
        <v>32</v>
      </c>
      <c r="D2061" s="17"/>
      <c r="E2061" s="17">
        <f t="shared" si="109"/>
        <v>65919</v>
      </c>
      <c r="F2061" s="17">
        <f t="shared" ca="1" si="1"/>
        <v>2019</v>
      </c>
      <c r="G2061" s="17">
        <f t="shared" ca="1" si="110"/>
        <v>10949</v>
      </c>
      <c r="H2061" s="2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</row>
    <row r="2062" spans="1:26" ht="13.5" customHeight="1" x14ac:dyDescent="0.3">
      <c r="A2062" s="17" t="s">
        <v>644</v>
      </c>
      <c r="B2062" s="17">
        <f t="shared" si="108"/>
        <v>22</v>
      </c>
      <c r="C2062" s="17">
        <f t="shared" si="26"/>
        <v>33</v>
      </c>
      <c r="D2062" s="17"/>
      <c r="E2062" s="17">
        <f t="shared" si="109"/>
        <v>65919</v>
      </c>
      <c r="F2062" s="17">
        <f t="shared" ca="1" si="1"/>
        <v>2019</v>
      </c>
      <c r="G2062" s="17">
        <f t="shared" ca="1" si="110"/>
        <v>10951</v>
      </c>
      <c r="H2062" s="2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</row>
    <row r="2063" spans="1:26" ht="13.5" customHeight="1" x14ac:dyDescent="0.3">
      <c r="A2063" s="17" t="s">
        <v>644</v>
      </c>
      <c r="B2063" s="17">
        <f t="shared" si="108"/>
        <v>22</v>
      </c>
      <c r="C2063" s="17">
        <f t="shared" si="26"/>
        <v>34</v>
      </c>
      <c r="D2063" s="17"/>
      <c r="E2063" s="17">
        <f t="shared" si="109"/>
        <v>65919</v>
      </c>
      <c r="F2063" s="17">
        <f t="shared" ca="1" si="1"/>
        <v>2019</v>
      </c>
      <c r="G2063" s="17">
        <f t="shared" ca="1" si="110"/>
        <v>10950</v>
      </c>
      <c r="H2063" s="2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</row>
    <row r="2064" spans="1:26" ht="13.5" customHeight="1" x14ac:dyDescent="0.3">
      <c r="A2064" s="17" t="s">
        <v>644</v>
      </c>
      <c r="B2064" s="17">
        <f t="shared" si="108"/>
        <v>22</v>
      </c>
      <c r="C2064" s="17">
        <f t="shared" si="26"/>
        <v>35</v>
      </c>
      <c r="D2064" s="17"/>
      <c r="E2064" s="17">
        <f t="shared" si="109"/>
        <v>65919</v>
      </c>
      <c r="F2064" s="17">
        <f t="shared" ca="1" si="1"/>
        <v>2019</v>
      </c>
      <c r="G2064" s="17">
        <f t="shared" ca="1" si="110"/>
        <v>10954</v>
      </c>
      <c r="H2064" s="3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2.75E-2</v>
      </c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</row>
    <row r="2065" spans="1:26" ht="13.5" customHeight="1" x14ac:dyDescent="0.3">
      <c r="A2065" s="17" t="s">
        <v>644</v>
      </c>
      <c r="B2065" s="17">
        <f t="shared" si="108"/>
        <v>22</v>
      </c>
      <c r="C2065" s="17">
        <f t="shared" si="26"/>
        <v>36</v>
      </c>
      <c r="D2065" s="17"/>
      <c r="E2065" s="17">
        <f t="shared" si="109"/>
        <v>65919</v>
      </c>
      <c r="F2065" s="17">
        <f t="shared" ca="1" si="1"/>
        <v>2019</v>
      </c>
      <c r="G2065" s="17">
        <f t="shared" ca="1" si="110"/>
        <v>10955</v>
      </c>
      <c r="H2065" s="3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7.4999999999999997E-2</v>
      </c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</row>
    <row r="2066" spans="1:26" ht="13.5" customHeight="1" x14ac:dyDescent="0.3">
      <c r="A2066" s="17" t="s">
        <v>644</v>
      </c>
      <c r="B2066" s="17">
        <f t="shared" si="108"/>
        <v>22</v>
      </c>
      <c r="C2066" s="17">
        <f t="shared" si="26"/>
        <v>37</v>
      </c>
      <c r="D2066" s="17"/>
      <c r="E2066" s="17">
        <f t="shared" si="109"/>
        <v>65919</v>
      </c>
      <c r="F2066" s="17">
        <f t="shared" ca="1" si="1"/>
        <v>2019</v>
      </c>
      <c r="G2066" s="17">
        <f t="shared" ca="1" si="110"/>
        <v>10956</v>
      </c>
      <c r="H2066" s="3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3.325E-4</v>
      </c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</row>
    <row r="2067" spans="1:26" ht="13.5" customHeight="1" x14ac:dyDescent="0.3">
      <c r="A2067" s="17" t="s">
        <v>644</v>
      </c>
      <c r="B2067" s="17">
        <f t="shared" si="108"/>
        <v>22</v>
      </c>
      <c r="C2067" s="17">
        <f t="shared" si="26"/>
        <v>38</v>
      </c>
      <c r="D2067" s="17"/>
      <c r="E2067" s="17">
        <f t="shared" si="109"/>
        <v>65919</v>
      </c>
      <c r="F2067" s="17">
        <f t="shared" ca="1" si="1"/>
        <v>2019</v>
      </c>
      <c r="G2067" s="17">
        <f t="shared" ca="1" si="110"/>
        <v>10959</v>
      </c>
      <c r="H2067" s="3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3.5000000000000003E-2</v>
      </c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</row>
    <row r="2068" spans="1:26" ht="13.5" customHeight="1" x14ac:dyDescent="0.3">
      <c r="A2068" s="17" t="s">
        <v>644</v>
      </c>
      <c r="B2068" s="17">
        <f t="shared" si="108"/>
        <v>22</v>
      </c>
      <c r="C2068" s="17">
        <f t="shared" si="26"/>
        <v>39</v>
      </c>
      <c r="D2068" s="17"/>
      <c r="E2068" s="17">
        <f t="shared" si="109"/>
        <v>65919</v>
      </c>
      <c r="F2068" s="17">
        <f t="shared" ca="1" si="1"/>
        <v>2019</v>
      </c>
      <c r="G2068" s="17">
        <f t="shared" ca="1" si="110"/>
        <v>10962</v>
      </c>
      <c r="H2068" s="29" t="str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CAFR Pg 161</v>
      </c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</row>
    <row r="2069" spans="1:26" ht="13.5" customHeight="1" x14ac:dyDescent="0.3">
      <c r="A2069" s="17" t="s">
        <v>644</v>
      </c>
      <c r="B2069" s="17">
        <f t="shared" si="108"/>
        <v>22</v>
      </c>
      <c r="C2069" s="17">
        <f t="shared" si="26"/>
        <v>40</v>
      </c>
      <c r="D2069" s="17"/>
      <c r="E2069" s="17">
        <f t="shared" si="109"/>
        <v>65919</v>
      </c>
      <c r="F2069" s="17">
        <f t="shared" ca="1" si="1"/>
        <v>2019</v>
      </c>
      <c r="G2069" s="17">
        <f t="shared" ca="1" si="110"/>
        <v>10964</v>
      </c>
      <c r="H2069" s="29" t="str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CAFR Pg 158</v>
      </c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</row>
    <row r="2070" spans="1:26" ht="13.5" customHeight="1" x14ac:dyDescent="0.3">
      <c r="A2070" s="17" t="s">
        <v>644</v>
      </c>
      <c r="B2070" s="17">
        <f t="shared" si="108"/>
        <v>22</v>
      </c>
      <c r="C2070" s="17">
        <f t="shared" si="26"/>
        <v>41</v>
      </c>
      <c r="D2070" s="17"/>
      <c r="E2070" s="17">
        <f t="shared" si="109"/>
        <v>65919</v>
      </c>
      <c r="F2070" s="17">
        <f t="shared" ca="1" si="1"/>
        <v>2019</v>
      </c>
      <c r="G2070" s="17">
        <f t="shared" ca="1" si="110"/>
        <v>10967</v>
      </c>
      <c r="H2070" s="29" t="str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RP-2000 Combined Healthy Table</v>
      </c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</row>
    <row r="2071" spans="1:26" ht="13.5" customHeight="1" x14ac:dyDescent="0.3">
      <c r="A2071" s="17" t="s">
        <v>644</v>
      </c>
      <c r="B2071" s="17">
        <f t="shared" si="108"/>
        <v>22</v>
      </c>
      <c r="C2071" s="17">
        <f t="shared" si="26"/>
        <v>42</v>
      </c>
      <c r="D2071" s="17"/>
      <c r="E2071" s="17">
        <f t="shared" si="109"/>
        <v>65919</v>
      </c>
      <c r="F2071" s="17">
        <f t="shared" ca="1" si="1"/>
        <v>2019</v>
      </c>
      <c r="G2071" s="17">
        <f t="shared" ca="1" si="110"/>
        <v>10968</v>
      </c>
      <c r="H2071" s="2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2000</v>
      </c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</row>
    <row r="2072" spans="1:26" ht="13.5" customHeight="1" x14ac:dyDescent="0.3">
      <c r="A2072" s="17" t="s">
        <v>644</v>
      </c>
      <c r="B2072" s="17">
        <f t="shared" si="108"/>
        <v>22</v>
      </c>
      <c r="C2072" s="17">
        <f t="shared" si="26"/>
        <v>43</v>
      </c>
      <c r="D2072" s="17"/>
      <c r="E2072" s="17">
        <f t="shared" si="109"/>
        <v>65919</v>
      </c>
      <c r="F2072" s="17">
        <f t="shared" ca="1" si="1"/>
        <v>2019</v>
      </c>
      <c r="G2072" s="17">
        <f t="shared" ca="1" si="110"/>
        <v>10969</v>
      </c>
      <c r="H2072" s="2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Scale BB</v>
      </c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</row>
    <row r="2073" spans="1:26" ht="13.5" customHeight="1" x14ac:dyDescent="0.3">
      <c r="A2073" s="17" t="s">
        <v>644</v>
      </c>
      <c r="B2073" s="17">
        <f t="shared" si="108"/>
        <v>22</v>
      </c>
      <c r="C2073" s="17">
        <f t="shared" si="26"/>
        <v>44</v>
      </c>
      <c r="D2073" s="17"/>
      <c r="E2073" s="17">
        <f t="shared" si="109"/>
        <v>65919</v>
      </c>
      <c r="F2073" s="17">
        <f t="shared" ca="1" si="1"/>
        <v>2019</v>
      </c>
      <c r="G2073" s="17">
        <f t="shared" ca="1" si="110"/>
        <v>10970</v>
      </c>
      <c r="H2073" s="2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</row>
    <row r="2074" spans="1:26" ht="13.5" customHeight="1" x14ac:dyDescent="0.3">
      <c r="A2074" s="17" t="s">
        <v>644</v>
      </c>
      <c r="B2074" s="17">
        <f t="shared" si="108"/>
        <v>22</v>
      </c>
      <c r="C2074" s="17">
        <f t="shared" si="26"/>
        <v>45</v>
      </c>
      <c r="D2074" s="17"/>
      <c r="E2074" s="17">
        <f t="shared" si="109"/>
        <v>65919</v>
      </c>
      <c r="F2074" s="17">
        <f t="shared" ca="1" si="1"/>
        <v>2019</v>
      </c>
      <c r="G2074" s="17">
        <f t="shared" ca="1" si="110"/>
        <v>10971</v>
      </c>
      <c r="H2074" s="2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</row>
    <row r="2075" spans="1:26" ht="13.5" customHeight="1" x14ac:dyDescent="0.3">
      <c r="A2075" s="17" t="s">
        <v>644</v>
      </c>
      <c r="B2075" s="17">
        <f t="shared" si="108"/>
        <v>22</v>
      </c>
      <c r="C2075" s="17">
        <f t="shared" si="26"/>
        <v>46</v>
      </c>
      <c r="D2075" s="17"/>
      <c r="E2075" s="17">
        <f t="shared" si="109"/>
        <v>65919</v>
      </c>
      <c r="F2075" s="17">
        <f t="shared" ca="1" si="1"/>
        <v>2019</v>
      </c>
      <c r="G2075" s="17">
        <f t="shared" ca="1" si="110"/>
        <v>10972</v>
      </c>
      <c r="H2075" s="29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N/A</v>
      </c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</row>
    <row r="2076" spans="1:26" ht="13.5" customHeight="1" x14ac:dyDescent="0.3">
      <c r="A2076" s="17" t="s">
        <v>644</v>
      </c>
      <c r="B2076" s="17">
        <f t="shared" si="108"/>
        <v>22</v>
      </c>
      <c r="C2076" s="17">
        <f t="shared" si="26"/>
        <v>47</v>
      </c>
      <c r="D2076" s="17"/>
      <c r="E2076" s="17">
        <f t="shared" si="109"/>
        <v>65919</v>
      </c>
      <c r="F2076" s="17">
        <f t="shared" ca="1" si="1"/>
        <v>2019</v>
      </c>
      <c r="G2076" s="17">
        <f t="shared" ca="1" si="110"/>
        <v>10973</v>
      </c>
      <c r="H2076" s="29" t="str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N/A</v>
      </c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</row>
    <row r="2077" spans="1:26" ht="13.5" customHeight="1" x14ac:dyDescent="0.3">
      <c r="A2077" s="17" t="s">
        <v>644</v>
      </c>
      <c r="B2077" s="17">
        <f t="shared" si="108"/>
        <v>22</v>
      </c>
      <c r="C2077" s="17">
        <f t="shared" si="26"/>
        <v>48</v>
      </c>
      <c r="D2077" s="17"/>
      <c r="E2077" s="17">
        <f t="shared" si="109"/>
        <v>65919</v>
      </c>
      <c r="F2077" s="17">
        <f t="shared" ca="1" si="1"/>
        <v>2019</v>
      </c>
      <c r="G2077" s="17">
        <f t="shared" ca="1" si="110"/>
        <v>10975</v>
      </c>
      <c r="H2077" s="29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 xml:space="preserve">Aggregate   </v>
      </c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</row>
    <row r="2078" spans="1:26" ht="13.5" customHeight="1" x14ac:dyDescent="0.3">
      <c r="A2078" s="17" t="s">
        <v>644</v>
      </c>
      <c r="B2078" s="17">
        <f t="shared" si="108"/>
        <v>22</v>
      </c>
      <c r="C2078" s="17">
        <f t="shared" si="26"/>
        <v>49</v>
      </c>
      <c r="D2078" s="17"/>
      <c r="E2078" s="17">
        <f t="shared" si="109"/>
        <v>65919</v>
      </c>
      <c r="F2078" s="17">
        <f t="shared" ca="1" si="1"/>
        <v>2019</v>
      </c>
      <c r="G2078" s="17">
        <f t="shared" ca="1" si="110"/>
        <v>10976</v>
      </c>
      <c r="H2078" s="3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7.4999999999999997E-2</v>
      </c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</row>
    <row r="2079" spans="1:26" ht="13.5" customHeight="1" x14ac:dyDescent="0.3">
      <c r="A2079" s="17" t="s">
        <v>644</v>
      </c>
      <c r="B2079" s="17">
        <f t="shared" si="108"/>
        <v>22</v>
      </c>
      <c r="C2079" s="17">
        <f t="shared" si="26"/>
        <v>50</v>
      </c>
      <c r="D2079" s="17"/>
      <c r="E2079" s="17">
        <f t="shared" si="109"/>
        <v>65919</v>
      </c>
      <c r="F2079" s="17">
        <f t="shared" ca="1" si="1"/>
        <v>2019</v>
      </c>
      <c r="G2079" s="17">
        <f t="shared" ca="1" si="110"/>
        <v>10977</v>
      </c>
      <c r="H2079" s="31" t="str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No</v>
      </c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</row>
    <row r="2080" spans="1:26" ht="13.5" customHeight="1" x14ac:dyDescent="0.3">
      <c r="A2080" s="17" t="s">
        <v>644</v>
      </c>
      <c r="B2080" s="17">
        <f t="shared" si="108"/>
        <v>22</v>
      </c>
      <c r="C2080" s="17">
        <f t="shared" si="26"/>
        <v>51</v>
      </c>
      <c r="D2080" s="17"/>
      <c r="E2080" s="17">
        <f t="shared" si="109"/>
        <v>65919</v>
      </c>
      <c r="F2080" s="17">
        <f t="shared" ca="1" si="1"/>
        <v>2019</v>
      </c>
      <c r="G2080" s="17">
        <f t="shared" ca="1" si="110"/>
        <v>10978</v>
      </c>
      <c r="H2080" s="3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7.4999999999999997E-2</v>
      </c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</row>
    <row r="2081" spans="1:26" ht="13.5" customHeight="1" x14ac:dyDescent="0.3">
      <c r="A2081" s="17" t="s">
        <v>644</v>
      </c>
      <c r="B2081" s="17">
        <f t="shared" si="108"/>
        <v>22</v>
      </c>
      <c r="C2081" s="17">
        <f t="shared" si="26"/>
        <v>52</v>
      </c>
      <c r="D2081" s="17"/>
      <c r="E2081" s="17">
        <f t="shared" si="109"/>
        <v>65919</v>
      </c>
      <c r="F2081" s="17">
        <f t="shared" ca="1" si="1"/>
        <v>2019</v>
      </c>
      <c r="G2081" s="17">
        <f t="shared" ca="1" si="110"/>
        <v>10979</v>
      </c>
      <c r="H2081" s="29" t="str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8 Years</v>
      </c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</row>
    <row r="2082" spans="1:26" ht="13.5" customHeight="1" x14ac:dyDescent="0.3">
      <c r="A2082" s="17" t="s">
        <v>644</v>
      </c>
      <c r="B2082" s="17">
        <f t="shared" si="108"/>
        <v>22</v>
      </c>
      <c r="C2082" s="17">
        <f t="shared" si="26"/>
        <v>53</v>
      </c>
      <c r="D2082" s="17"/>
      <c r="E2082" s="17">
        <f t="shared" si="109"/>
        <v>65919</v>
      </c>
      <c r="F2082" s="17">
        <f t="shared" ca="1" si="1"/>
        <v>2019</v>
      </c>
      <c r="G2082" s="17">
        <f t="shared" ca="1" si="110"/>
        <v>10980</v>
      </c>
      <c r="H2082" s="3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</row>
    <row r="2083" spans="1:26" ht="13.5" customHeight="1" x14ac:dyDescent="0.3">
      <c r="A2083" s="17" t="s">
        <v>644</v>
      </c>
      <c r="B2083" s="17">
        <f t="shared" si="108"/>
        <v>22</v>
      </c>
      <c r="C2083" s="17">
        <f t="shared" si="26"/>
        <v>54</v>
      </c>
      <c r="D2083" s="17"/>
      <c r="E2083" s="17">
        <f t="shared" si="109"/>
        <v>65919</v>
      </c>
      <c r="F2083" s="17">
        <f t="shared" ca="1" si="1"/>
        <v>2019</v>
      </c>
      <c r="G2083" s="17">
        <f t="shared" ca="1" si="110"/>
        <v>10981</v>
      </c>
      <c r="H2083" s="3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</row>
    <row r="2084" spans="1:26" ht="13.5" customHeight="1" x14ac:dyDescent="0.3">
      <c r="A2084" s="17" t="s">
        <v>644</v>
      </c>
      <c r="B2084" s="17">
        <f t="shared" si="108"/>
        <v>22</v>
      </c>
      <c r="C2084" s="17">
        <f t="shared" si="26"/>
        <v>55</v>
      </c>
      <c r="D2084" s="17"/>
      <c r="E2084" s="17">
        <f t="shared" si="109"/>
        <v>65919</v>
      </c>
      <c r="F2084" s="17">
        <f t="shared" ca="1" si="1"/>
        <v>2019</v>
      </c>
      <c r="G2084" s="17">
        <f t="shared" ca="1" si="110"/>
        <v>10706</v>
      </c>
      <c r="H2084" s="3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4.5430959253787322E-4</v>
      </c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</row>
    <row r="2085" spans="1:26" ht="13.5" customHeight="1" x14ac:dyDescent="0.3">
      <c r="A2085" s="17" t="s">
        <v>644</v>
      </c>
      <c r="B2085" s="17">
        <f t="shared" si="108"/>
        <v>22</v>
      </c>
      <c r="C2085" s="17">
        <f t="shared" si="26"/>
        <v>56</v>
      </c>
      <c r="D2085" s="17"/>
      <c r="E2085" s="17">
        <f t="shared" si="109"/>
        <v>65919</v>
      </c>
      <c r="F2085" s="17">
        <f t="shared" ca="1" si="1"/>
        <v>2019</v>
      </c>
      <c r="G2085" s="17">
        <f t="shared" ca="1" si="110"/>
        <v>10983</v>
      </c>
      <c r="H2085" s="30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No</v>
      </c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</row>
    <row r="2086" spans="1:26" ht="13.5" customHeight="1" x14ac:dyDescent="0.3">
      <c r="A2086" s="17" t="s">
        <v>644</v>
      </c>
      <c r="B2086" s="17">
        <f t="shared" si="108"/>
        <v>22</v>
      </c>
      <c r="C2086" s="17">
        <f t="shared" si="26"/>
        <v>57</v>
      </c>
      <c r="D2086" s="17"/>
      <c r="E2086" s="17">
        <f t="shared" si="109"/>
        <v>65919</v>
      </c>
      <c r="F2086" s="17">
        <f t="shared" ca="1" si="1"/>
        <v>2019</v>
      </c>
      <c r="G2086" s="17">
        <f t="shared" ca="1" si="110"/>
        <v>10989</v>
      </c>
      <c r="H2086" s="3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1301000000</v>
      </c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</row>
    <row r="2087" spans="1:26" ht="13.5" customHeight="1" x14ac:dyDescent="0.3">
      <c r="A2087" s="17" t="s">
        <v>644</v>
      </c>
      <c r="B2087" s="17">
        <f t="shared" si="108"/>
        <v>22</v>
      </c>
      <c r="C2087" s="17">
        <f t="shared" si="26"/>
        <v>58</v>
      </c>
      <c r="D2087" s="17"/>
      <c r="E2087" s="17">
        <f t="shared" si="109"/>
        <v>65919</v>
      </c>
      <c r="F2087" s="17">
        <f t="shared" ca="1" si="1"/>
        <v>2019</v>
      </c>
      <c r="G2087" s="17">
        <f t="shared" ca="1" si="110"/>
        <v>10990</v>
      </c>
      <c r="H2087" s="30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1370000000</v>
      </c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</row>
    <row r="2088" spans="1:26" ht="13.5" customHeight="1" x14ac:dyDescent="0.3">
      <c r="A2088" s="17" t="s">
        <v>644</v>
      </c>
      <c r="B2088" s="17">
        <f t="shared" si="108"/>
        <v>22</v>
      </c>
      <c r="C2088" s="17">
        <f t="shared" si="26"/>
        <v>59</v>
      </c>
      <c r="D2088" s="17"/>
      <c r="E2088" s="17">
        <f t="shared" si="109"/>
        <v>65919</v>
      </c>
      <c r="F2088" s="17">
        <f t="shared" ca="1" si="1"/>
        <v>2019</v>
      </c>
      <c r="G2088" s="17">
        <f t="shared" ca="1" si="110"/>
        <v>10991</v>
      </c>
      <c r="H2088" s="3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70000000</v>
      </c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</row>
    <row r="2089" spans="1:26" ht="13.5" customHeight="1" x14ac:dyDescent="0.3">
      <c r="A2089" s="17" t="s">
        <v>644</v>
      </c>
      <c r="B2089" s="17">
        <f t="shared" si="108"/>
        <v>22</v>
      </c>
      <c r="C2089" s="17">
        <f t="shared" si="26"/>
        <v>60</v>
      </c>
      <c r="D2089" s="17"/>
      <c r="E2089" s="17">
        <f t="shared" si="109"/>
        <v>65919</v>
      </c>
      <c r="F2089" s="17">
        <f t="shared" ca="1" si="1"/>
        <v>2019</v>
      </c>
      <c r="G2089" s="17">
        <f t="shared" ca="1" si="110"/>
        <v>10992</v>
      </c>
      <c r="H2089" s="3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0.95</v>
      </c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</row>
    <row r="2090" spans="1:26" ht="13.5" customHeight="1" x14ac:dyDescent="0.3">
      <c r="A2090" s="17" t="s">
        <v>644</v>
      </c>
      <c r="B2090" s="17">
        <f t="shared" si="108"/>
        <v>22</v>
      </c>
      <c r="C2090" s="17">
        <f t="shared" si="26"/>
        <v>61</v>
      </c>
      <c r="D2090" s="17"/>
      <c r="E2090" s="17">
        <f t="shared" si="109"/>
        <v>65919</v>
      </c>
      <c r="F2090" s="17">
        <f t="shared" ca="1" si="1"/>
        <v>2019</v>
      </c>
      <c r="G2090" s="17">
        <f t="shared" ca="1" si="110"/>
        <v>10993</v>
      </c>
      <c r="H2090" s="30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</row>
    <row r="2091" spans="1:26" ht="13.5" customHeight="1" x14ac:dyDescent="0.3">
      <c r="A2091" s="17" t="s">
        <v>644</v>
      </c>
      <c r="B2091" s="17">
        <f t="shared" si="108"/>
        <v>22</v>
      </c>
      <c r="C2091" s="17">
        <f t="shared" si="26"/>
        <v>62</v>
      </c>
      <c r="D2091" s="17"/>
      <c r="E2091" s="17">
        <f t="shared" si="109"/>
        <v>65919</v>
      </c>
      <c r="F2091" s="17">
        <f t="shared" ca="1" si="1"/>
        <v>2019</v>
      </c>
      <c r="G2091" s="17">
        <f t="shared" ca="1" si="110"/>
        <v>10801</v>
      </c>
      <c r="H2091" s="30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0</v>
      </c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</row>
    <row r="2092" spans="1:26" ht="13.5" customHeight="1" x14ac:dyDescent="0.3">
      <c r="A2092" s="17" t="s">
        <v>644</v>
      </c>
      <c r="B2092" s="17">
        <f t="shared" si="108"/>
        <v>22</v>
      </c>
      <c r="C2092" s="17">
        <f t="shared" si="26"/>
        <v>63</v>
      </c>
      <c r="D2092" s="17"/>
      <c r="E2092" s="17">
        <f t="shared" si="109"/>
        <v>65919</v>
      </c>
      <c r="F2092" s="17">
        <f t="shared" ca="1" si="1"/>
        <v>2019</v>
      </c>
      <c r="G2092" s="17">
        <f t="shared" ca="1" si="110"/>
        <v>10802</v>
      </c>
      <c r="H2092" s="30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</row>
    <row r="2093" spans="1:26" ht="13.5" customHeight="1" x14ac:dyDescent="0.3">
      <c r="A2093" s="17" t="s">
        <v>644</v>
      </c>
      <c r="B2093" s="17">
        <f t="shared" si="108"/>
        <v>22</v>
      </c>
      <c r="C2093" s="17">
        <f t="shared" si="26"/>
        <v>64</v>
      </c>
      <c r="D2093" s="17"/>
      <c r="E2093" s="17">
        <f t="shared" si="109"/>
        <v>65919</v>
      </c>
      <c r="F2093" s="17">
        <f t="shared" ca="1" si="1"/>
        <v>2019</v>
      </c>
      <c r="G2093" s="17">
        <f t="shared" ca="1" si="110"/>
        <v>10803</v>
      </c>
      <c r="H2093" s="3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</row>
    <row r="2094" spans="1:26" ht="13.5" customHeight="1" x14ac:dyDescent="0.3">
      <c r="A2094" s="17" t="s">
        <v>644</v>
      </c>
      <c r="B2094" s="17">
        <f t="shared" si="108"/>
        <v>22</v>
      </c>
      <c r="C2094" s="17">
        <f t="shared" si="26"/>
        <v>65</v>
      </c>
      <c r="D2094" s="17"/>
      <c r="E2094" s="17">
        <f t="shared" si="109"/>
        <v>65919</v>
      </c>
      <c r="F2094" s="17">
        <f t="shared" ca="1" si="1"/>
        <v>2019</v>
      </c>
      <c r="G2094" s="17">
        <f t="shared" ca="1" si="110"/>
        <v>10804</v>
      </c>
      <c r="H2094" s="3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</row>
    <row r="2095" spans="1:26" ht="13.5" customHeight="1" x14ac:dyDescent="0.3">
      <c r="A2095" s="17" t="s">
        <v>644</v>
      </c>
      <c r="B2095" s="17">
        <f t="shared" si="108"/>
        <v>22</v>
      </c>
      <c r="C2095" s="17">
        <f t="shared" si="26"/>
        <v>66</v>
      </c>
      <c r="D2095" s="17"/>
      <c r="E2095" s="17">
        <f t="shared" si="109"/>
        <v>65919</v>
      </c>
      <c r="F2095" s="17">
        <f t="shared" ca="1" si="1"/>
        <v>2019</v>
      </c>
      <c r="G2095" s="17">
        <f t="shared" ca="1" si="110"/>
        <v>10805</v>
      </c>
      <c r="H2095" s="3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</row>
    <row r="2096" spans="1:26" ht="13.5" customHeight="1" x14ac:dyDescent="0.3">
      <c r="A2096" s="17" t="s">
        <v>644</v>
      </c>
      <c r="B2096" s="17">
        <f t="shared" si="108"/>
        <v>22</v>
      </c>
      <c r="C2096" s="17">
        <f t="shared" si="26"/>
        <v>67</v>
      </c>
      <c r="D2096" s="17"/>
      <c r="E2096" s="17">
        <f t="shared" si="109"/>
        <v>65919</v>
      </c>
      <c r="F2096" s="17">
        <f t="shared" ca="1" si="1"/>
        <v>2019</v>
      </c>
      <c r="G2096" s="17">
        <f t="shared" ca="1" si="110"/>
        <v>10806</v>
      </c>
      <c r="H2096" s="30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0</v>
      </c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</row>
    <row r="2097" spans="1:26" ht="13.5" customHeight="1" x14ac:dyDescent="0.3">
      <c r="A2097" s="17" t="s">
        <v>644</v>
      </c>
      <c r="B2097" s="17">
        <f t="shared" ref="B2097:B2122" si="111">B2096</f>
        <v>22</v>
      </c>
      <c r="C2097" s="17">
        <f t="shared" si="26"/>
        <v>68</v>
      </c>
      <c r="D2097" s="17"/>
      <c r="E2097" s="17">
        <f t="shared" si="109"/>
        <v>65919</v>
      </c>
      <c r="F2097" s="17">
        <f t="shared" ca="1" si="1"/>
        <v>2019</v>
      </c>
      <c r="G2097" s="17">
        <f t="shared" ca="1" si="110"/>
        <v>10807</v>
      </c>
      <c r="H2097" s="30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0</v>
      </c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</row>
    <row r="2098" spans="1:26" ht="13.5" customHeight="1" x14ac:dyDescent="0.3">
      <c r="A2098" s="17" t="s">
        <v>644</v>
      </c>
      <c r="B2098" s="17">
        <f t="shared" si="111"/>
        <v>22</v>
      </c>
      <c r="C2098" s="17">
        <f t="shared" si="26"/>
        <v>69</v>
      </c>
      <c r="D2098" s="17"/>
      <c r="E2098" s="17">
        <f t="shared" si="109"/>
        <v>65919</v>
      </c>
      <c r="F2098" s="17">
        <f t="shared" ca="1" si="1"/>
        <v>2019</v>
      </c>
      <c r="G2098" s="17">
        <f t="shared" ca="1" si="110"/>
        <v>10808</v>
      </c>
      <c r="H2098" s="3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</row>
    <row r="2099" spans="1:26" ht="13.5" customHeight="1" x14ac:dyDescent="0.3">
      <c r="A2099" s="17" t="s">
        <v>644</v>
      </c>
      <c r="B2099" s="17">
        <f t="shared" si="111"/>
        <v>22</v>
      </c>
      <c r="C2099" s="17">
        <f t="shared" si="26"/>
        <v>70</v>
      </c>
      <c r="D2099" s="17"/>
      <c r="E2099" s="17">
        <f t="shared" si="109"/>
        <v>65919</v>
      </c>
      <c r="F2099" s="17">
        <f t="shared" ca="1" si="1"/>
        <v>2019</v>
      </c>
      <c r="G2099" s="17">
        <f t="shared" ca="1" si="110"/>
        <v>10809</v>
      </c>
      <c r="H2099" s="30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0</v>
      </c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</row>
    <row r="2100" spans="1:26" ht="13.5" customHeight="1" x14ac:dyDescent="0.3">
      <c r="A2100" s="17" t="s">
        <v>644</v>
      </c>
      <c r="B2100" s="17">
        <f t="shared" si="111"/>
        <v>22</v>
      </c>
      <c r="C2100" s="17">
        <f t="shared" si="26"/>
        <v>71</v>
      </c>
      <c r="D2100" s="17"/>
      <c r="E2100" s="17">
        <f t="shared" si="109"/>
        <v>65919</v>
      </c>
      <c r="F2100" s="17">
        <f t="shared" ca="1" si="1"/>
        <v>2019</v>
      </c>
      <c r="G2100" s="17">
        <f t="shared" ca="1" si="110"/>
        <v>10810</v>
      </c>
      <c r="H2100" s="30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0</v>
      </c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</row>
    <row r="2101" spans="1:26" ht="13.5" customHeight="1" x14ac:dyDescent="0.3">
      <c r="A2101" s="17" t="s">
        <v>644</v>
      </c>
      <c r="B2101" s="17">
        <f t="shared" si="111"/>
        <v>22</v>
      </c>
      <c r="C2101" s="17">
        <f t="shared" si="26"/>
        <v>72</v>
      </c>
      <c r="D2101" s="17"/>
      <c r="E2101" s="17">
        <f t="shared" si="109"/>
        <v>65919</v>
      </c>
      <c r="F2101" s="17">
        <f t="shared" ca="1" si="1"/>
        <v>2019</v>
      </c>
      <c r="G2101" s="17">
        <f t="shared" ca="1" si="110"/>
        <v>10811</v>
      </c>
      <c r="H2101" s="30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0</v>
      </c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</row>
    <row r="2102" spans="1:26" ht="13.5" customHeight="1" x14ac:dyDescent="0.3">
      <c r="A2102" s="17" t="s">
        <v>644</v>
      </c>
      <c r="B2102" s="17">
        <f t="shared" si="111"/>
        <v>22</v>
      </c>
      <c r="C2102" s="17">
        <f t="shared" si="26"/>
        <v>73</v>
      </c>
      <c r="D2102" s="17"/>
      <c r="E2102" s="17">
        <f t="shared" si="109"/>
        <v>65919</v>
      </c>
      <c r="F2102" s="17">
        <f t="shared" ca="1" si="1"/>
        <v>2019</v>
      </c>
      <c r="G2102" s="17">
        <f t="shared" ca="1" si="110"/>
        <v>10812</v>
      </c>
      <c r="H2102" s="30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</row>
    <row r="2103" spans="1:26" ht="13.5" customHeight="1" x14ac:dyDescent="0.3">
      <c r="A2103" s="17" t="s">
        <v>644</v>
      </c>
      <c r="B2103" s="17">
        <f t="shared" si="111"/>
        <v>22</v>
      </c>
      <c r="C2103" s="17">
        <f t="shared" si="26"/>
        <v>74</v>
      </c>
      <c r="D2103" s="17"/>
      <c r="E2103" s="17">
        <f t="shared" si="109"/>
        <v>65919</v>
      </c>
      <c r="F2103" s="17">
        <f t="shared" ca="1" si="1"/>
        <v>2019</v>
      </c>
      <c r="G2103" s="17">
        <f t="shared" ca="1" si="110"/>
        <v>10813</v>
      </c>
      <c r="H2103" s="3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</v>
      </c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</row>
    <row r="2104" spans="1:26" ht="13.5" customHeight="1" x14ac:dyDescent="0.3">
      <c r="A2104" s="17" t="s">
        <v>644</v>
      </c>
      <c r="B2104" s="17">
        <f t="shared" si="111"/>
        <v>22</v>
      </c>
      <c r="C2104" s="17">
        <f t="shared" si="26"/>
        <v>75</v>
      </c>
      <c r="D2104" s="17"/>
      <c r="E2104" s="17">
        <f t="shared" si="109"/>
        <v>65919</v>
      </c>
      <c r="F2104" s="17">
        <f t="shared" ca="1" si="1"/>
        <v>2019</v>
      </c>
      <c r="G2104" s="17">
        <f t="shared" ca="1" si="110"/>
        <v>10814</v>
      </c>
      <c r="H2104" s="3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0</v>
      </c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</row>
    <row r="2105" spans="1:26" ht="13.5" customHeight="1" x14ac:dyDescent="0.3">
      <c r="A2105" s="17" t="s">
        <v>644</v>
      </c>
      <c r="B2105" s="17">
        <f t="shared" si="111"/>
        <v>22</v>
      </c>
      <c r="C2105" s="17">
        <f t="shared" si="26"/>
        <v>76</v>
      </c>
      <c r="D2105" s="17"/>
      <c r="E2105" s="17">
        <f t="shared" si="109"/>
        <v>65919</v>
      </c>
      <c r="F2105" s="17">
        <f t="shared" ca="1" si="1"/>
        <v>2019</v>
      </c>
      <c r="G2105" s="17">
        <f t="shared" ca="1" si="110"/>
        <v>10815</v>
      </c>
      <c r="H2105" s="3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</row>
    <row r="2106" spans="1:26" ht="13.5" customHeight="1" x14ac:dyDescent="0.3">
      <c r="A2106" s="17" t="s">
        <v>644</v>
      </c>
      <c r="B2106" s="17">
        <f t="shared" si="111"/>
        <v>22</v>
      </c>
      <c r="C2106" s="17">
        <f t="shared" si="26"/>
        <v>77</v>
      </c>
      <c r="D2106" s="17"/>
      <c r="E2106" s="17">
        <f t="shared" si="109"/>
        <v>65919</v>
      </c>
      <c r="F2106" s="17">
        <f t="shared" ca="1" si="1"/>
        <v>2019</v>
      </c>
      <c r="G2106" s="17">
        <f t="shared" ca="1" si="110"/>
        <v>10816</v>
      </c>
      <c r="H2106" s="30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</v>
      </c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</row>
    <row r="2107" spans="1:26" ht="13.5" customHeight="1" x14ac:dyDescent="0.3">
      <c r="A2107" s="17" t="s">
        <v>644</v>
      </c>
      <c r="B2107" s="17">
        <f t="shared" si="111"/>
        <v>22</v>
      </c>
      <c r="C2107" s="17">
        <f t="shared" si="26"/>
        <v>78</v>
      </c>
      <c r="D2107" s="17"/>
      <c r="E2107" s="17">
        <f t="shared" si="109"/>
        <v>65919</v>
      </c>
      <c r="F2107" s="17">
        <f t="shared" ca="1" si="1"/>
        <v>2019</v>
      </c>
      <c r="G2107" s="17">
        <f t="shared" ca="1" si="110"/>
        <v>10817</v>
      </c>
      <c r="H2107" s="30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</row>
    <row r="2108" spans="1:26" ht="13.5" customHeight="1" x14ac:dyDescent="0.3">
      <c r="A2108" s="17" t="s">
        <v>644</v>
      </c>
      <c r="B2108" s="17">
        <f t="shared" si="111"/>
        <v>22</v>
      </c>
      <c r="C2108" s="17">
        <f t="shared" si="26"/>
        <v>79</v>
      </c>
      <c r="D2108" s="17"/>
      <c r="E2108" s="17">
        <f t="shared" si="109"/>
        <v>65919</v>
      </c>
      <c r="F2108" s="17">
        <f t="shared" ca="1" si="1"/>
        <v>2019</v>
      </c>
      <c r="G2108" s="17">
        <f t="shared" ca="1" si="110"/>
        <v>10818</v>
      </c>
      <c r="H2108" s="30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0</v>
      </c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</row>
    <row r="2109" spans="1:26" ht="13.5" customHeight="1" x14ac:dyDescent="0.3">
      <c r="A2109" s="17" t="s">
        <v>644</v>
      </c>
      <c r="B2109" s="17">
        <f t="shared" si="111"/>
        <v>22</v>
      </c>
      <c r="C2109" s="17">
        <f t="shared" si="26"/>
        <v>80</v>
      </c>
      <c r="D2109" s="17"/>
      <c r="E2109" s="17">
        <f t="shared" si="109"/>
        <v>65919</v>
      </c>
      <c r="F2109" s="17">
        <f t="shared" ca="1" si="1"/>
        <v>2019</v>
      </c>
      <c r="G2109" s="17">
        <f t="shared" ca="1" si="110"/>
        <v>10819</v>
      </c>
      <c r="H2109" s="30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0</v>
      </c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</row>
    <row r="2110" spans="1:26" ht="13.5" customHeight="1" x14ac:dyDescent="0.3">
      <c r="A2110" s="17" t="s">
        <v>644</v>
      </c>
      <c r="B2110" s="17">
        <f t="shared" si="111"/>
        <v>22</v>
      </c>
      <c r="C2110" s="17">
        <f t="shared" si="26"/>
        <v>81</v>
      </c>
      <c r="D2110" s="17"/>
      <c r="E2110" s="17">
        <f t="shared" si="109"/>
        <v>65919</v>
      </c>
      <c r="F2110" s="17">
        <f t="shared" ca="1" si="1"/>
        <v>2019</v>
      </c>
      <c r="G2110" s="17">
        <f t="shared" ca="1" si="110"/>
        <v>10820</v>
      </c>
      <c r="H2110" s="3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0</v>
      </c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</row>
    <row r="2111" spans="1:26" ht="13.5" customHeight="1" x14ac:dyDescent="0.3">
      <c r="A2111" s="17" t="s">
        <v>644</v>
      </c>
      <c r="B2111" s="17">
        <f t="shared" si="111"/>
        <v>22</v>
      </c>
      <c r="C2111" s="17">
        <f t="shared" si="26"/>
        <v>82</v>
      </c>
      <c r="D2111" s="17"/>
      <c r="E2111" s="17">
        <f t="shared" si="109"/>
        <v>65919</v>
      </c>
      <c r="F2111" s="17">
        <f t="shared" ca="1" si="1"/>
        <v>2019</v>
      </c>
      <c r="G2111" s="17">
        <f t="shared" ca="1" si="110"/>
        <v>10821</v>
      </c>
      <c r="H2111" s="30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</row>
    <row r="2112" spans="1:26" ht="13.5" customHeight="1" x14ac:dyDescent="0.3">
      <c r="A2112" s="17" t="s">
        <v>644</v>
      </c>
      <c r="B2112" s="17">
        <f t="shared" si="111"/>
        <v>22</v>
      </c>
      <c r="C2112" s="17">
        <f t="shared" si="26"/>
        <v>83</v>
      </c>
      <c r="D2112" s="17"/>
      <c r="E2112" s="17">
        <f t="shared" si="109"/>
        <v>65919</v>
      </c>
      <c r="F2112" s="17">
        <f t="shared" ca="1" si="1"/>
        <v>2019</v>
      </c>
      <c r="G2112" s="17">
        <f t="shared" ca="1" si="110"/>
        <v>10822</v>
      </c>
      <c r="H2112" s="3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</row>
    <row r="2113" spans="1:26" ht="13.5" customHeight="1" x14ac:dyDescent="0.3">
      <c r="A2113" s="17" t="s">
        <v>644</v>
      </c>
      <c r="B2113" s="17">
        <f t="shared" si="111"/>
        <v>22</v>
      </c>
      <c r="C2113" s="17">
        <f t="shared" si="26"/>
        <v>84</v>
      </c>
      <c r="D2113" s="17"/>
      <c r="E2113" s="17">
        <f t="shared" si="109"/>
        <v>65919</v>
      </c>
      <c r="F2113" s="17">
        <f t="shared" ca="1" si="1"/>
        <v>2019</v>
      </c>
      <c r="G2113" s="17">
        <f t="shared" ca="1" si="110"/>
        <v>10829</v>
      </c>
      <c r="H2113" s="3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</row>
    <row r="2114" spans="1:26" ht="13.5" customHeight="1" x14ac:dyDescent="0.3">
      <c r="A2114" s="17" t="s">
        <v>644</v>
      </c>
      <c r="B2114" s="17">
        <f t="shared" si="111"/>
        <v>22</v>
      </c>
      <c r="C2114" s="17">
        <f t="shared" si="26"/>
        <v>85</v>
      </c>
      <c r="D2114" s="17"/>
      <c r="E2114" s="17">
        <f t="shared" si="109"/>
        <v>65919</v>
      </c>
      <c r="F2114" s="17">
        <f t="shared" ca="1" si="1"/>
        <v>2019</v>
      </c>
      <c r="G2114" s="17">
        <f t="shared" ca="1" si="110"/>
        <v>10823</v>
      </c>
      <c r="H2114" s="30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0</v>
      </c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</row>
    <row r="2115" spans="1:26" ht="13.5" customHeight="1" x14ac:dyDescent="0.3">
      <c r="A2115" s="17" t="s">
        <v>644</v>
      </c>
      <c r="B2115" s="17">
        <f t="shared" si="111"/>
        <v>22</v>
      </c>
      <c r="C2115" s="17">
        <f t="shared" si="26"/>
        <v>86</v>
      </c>
      <c r="D2115" s="17"/>
      <c r="E2115" s="17">
        <f t="shared" si="109"/>
        <v>65919</v>
      </c>
      <c r="F2115" s="17">
        <f t="shared" ca="1" si="1"/>
        <v>2019</v>
      </c>
      <c r="G2115" s="17">
        <f t="shared" ca="1" si="110"/>
        <v>10798</v>
      </c>
      <c r="H2115" s="30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</row>
    <row r="2116" spans="1:26" ht="13.5" customHeight="1" x14ac:dyDescent="0.3">
      <c r="A2116" s="17" t="s">
        <v>644</v>
      </c>
      <c r="B2116" s="17">
        <f t="shared" si="111"/>
        <v>22</v>
      </c>
      <c r="C2116" s="17">
        <f t="shared" si="26"/>
        <v>87</v>
      </c>
      <c r="D2116" s="17"/>
      <c r="E2116" s="17">
        <f t="shared" ref="E2116:E2179" si="112">plan_id</f>
        <v>65919</v>
      </c>
      <c r="F2116" s="17">
        <f t="shared" ca="1" si="1"/>
        <v>2019</v>
      </c>
      <c r="G2116" s="17">
        <f t="shared" ref="G2116:G2179" ca="1" si="113">VLOOKUP(INDIRECT(CHAR(39)&amp;$A2116&amp;CHAR(39)&amp;"!r2c"&amp;$C2116,0),variables,2,0)</f>
        <v>10799</v>
      </c>
      <c r="H2116" s="30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0</v>
      </c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</row>
    <row r="2117" spans="1:26" ht="13.5" customHeight="1" x14ac:dyDescent="0.3">
      <c r="A2117" s="17" t="s">
        <v>644</v>
      </c>
      <c r="B2117" s="17">
        <f t="shared" si="111"/>
        <v>22</v>
      </c>
      <c r="C2117" s="17">
        <f t="shared" si="26"/>
        <v>88</v>
      </c>
      <c r="D2117" s="17"/>
      <c r="E2117" s="17">
        <f t="shared" si="112"/>
        <v>65919</v>
      </c>
      <c r="F2117" s="17">
        <f t="shared" ca="1" si="1"/>
        <v>2019</v>
      </c>
      <c r="G2117" s="17">
        <f t="shared" ca="1" si="113"/>
        <v>10800</v>
      </c>
      <c r="H2117" s="3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0</v>
      </c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</row>
    <row r="2118" spans="1:26" ht="13.5" customHeight="1" x14ac:dyDescent="0.3">
      <c r="A2118" s="17" t="s">
        <v>644</v>
      </c>
      <c r="B2118" s="17">
        <f t="shared" si="111"/>
        <v>22</v>
      </c>
      <c r="C2118" s="17">
        <f t="shared" si="26"/>
        <v>89</v>
      </c>
      <c r="D2118" s="17"/>
      <c r="E2118" s="17">
        <f t="shared" si="112"/>
        <v>65919</v>
      </c>
      <c r="F2118" s="17">
        <f t="shared" ca="1" si="1"/>
        <v>2019</v>
      </c>
      <c r="G2118" s="17">
        <f t="shared" ca="1" si="113"/>
        <v>10824</v>
      </c>
      <c r="H2118" s="30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</row>
    <row r="2119" spans="1:26" ht="13.5" customHeight="1" x14ac:dyDescent="0.3">
      <c r="A2119" s="17" t="s">
        <v>644</v>
      </c>
      <c r="B2119" s="17">
        <f t="shared" si="111"/>
        <v>22</v>
      </c>
      <c r="C2119" s="17">
        <f t="shared" si="26"/>
        <v>90</v>
      </c>
      <c r="D2119" s="17"/>
      <c r="E2119" s="17">
        <f t="shared" si="112"/>
        <v>65919</v>
      </c>
      <c r="F2119" s="17">
        <f t="shared" ca="1" si="1"/>
        <v>2019</v>
      </c>
      <c r="G2119" s="17">
        <f t="shared" ca="1" si="113"/>
        <v>10825</v>
      </c>
      <c r="H2119" s="3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0</v>
      </c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</row>
    <row r="2120" spans="1:26" ht="13.5" customHeight="1" x14ac:dyDescent="0.3">
      <c r="A2120" s="17" t="s">
        <v>644</v>
      </c>
      <c r="B2120" s="17">
        <f t="shared" si="111"/>
        <v>22</v>
      </c>
      <c r="C2120" s="17">
        <f t="shared" si="26"/>
        <v>91</v>
      </c>
      <c r="D2120" s="17"/>
      <c r="E2120" s="17">
        <f t="shared" si="112"/>
        <v>65919</v>
      </c>
      <c r="F2120" s="17">
        <f t="shared" ca="1" si="1"/>
        <v>2019</v>
      </c>
      <c r="G2120" s="17">
        <f t="shared" ca="1" si="113"/>
        <v>10826</v>
      </c>
      <c r="H2120" s="30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</row>
    <row r="2121" spans="1:26" ht="13.5" customHeight="1" x14ac:dyDescent="0.3">
      <c r="A2121" s="17" t="s">
        <v>644</v>
      </c>
      <c r="B2121" s="17">
        <f t="shared" si="111"/>
        <v>22</v>
      </c>
      <c r="C2121" s="17">
        <f t="shared" si="26"/>
        <v>92</v>
      </c>
      <c r="D2121" s="17"/>
      <c r="E2121" s="17">
        <f t="shared" si="112"/>
        <v>65919</v>
      </c>
      <c r="F2121" s="17">
        <f t="shared" ca="1" si="1"/>
        <v>2019</v>
      </c>
      <c r="G2121" s="17">
        <f t="shared" ca="1" si="113"/>
        <v>10828</v>
      </c>
      <c r="H2121" s="3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</row>
    <row r="2122" spans="1:26" ht="13.5" customHeight="1" x14ac:dyDescent="0.3">
      <c r="A2122" s="17" t="s">
        <v>644</v>
      </c>
      <c r="B2122" s="17">
        <f t="shared" si="111"/>
        <v>22</v>
      </c>
      <c r="C2122" s="17">
        <f t="shared" si="26"/>
        <v>93</v>
      </c>
      <c r="D2122" s="17"/>
      <c r="E2122" s="17">
        <f t="shared" si="112"/>
        <v>65919</v>
      </c>
      <c r="F2122" s="17">
        <f t="shared" ca="1" si="1"/>
        <v>2019</v>
      </c>
      <c r="G2122" s="17">
        <f t="shared" ca="1" si="113"/>
        <v>10827</v>
      </c>
      <c r="H2122" s="2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</row>
    <row r="2123" spans="1:26" ht="13.5" customHeight="1" x14ac:dyDescent="0.3">
      <c r="A2123" s="17" t="s">
        <v>652</v>
      </c>
      <c r="B2123" s="17">
        <v>3</v>
      </c>
      <c r="C2123" s="17">
        <v>3</v>
      </c>
      <c r="D2123" s="17"/>
      <c r="E2123" s="17">
        <f t="shared" si="112"/>
        <v>65919</v>
      </c>
      <c r="F2123" s="17">
        <f t="shared" ca="1" si="1"/>
        <v>2001</v>
      </c>
      <c r="G2123" s="17">
        <f t="shared" ca="1" si="113"/>
        <v>10982</v>
      </c>
      <c r="H2123" s="2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0</v>
      </c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</row>
    <row r="2124" spans="1:26" ht="13.5" customHeight="1" x14ac:dyDescent="0.3">
      <c r="A2124" s="17" t="s">
        <v>652</v>
      </c>
      <c r="B2124" s="17">
        <f t="shared" ref="B2124:B2149" si="114">B2123</f>
        <v>3</v>
      </c>
      <c r="C2124" s="17">
        <f t="shared" ref="C2124:C2149" si="115">C2123+1</f>
        <v>4</v>
      </c>
      <c r="D2124" s="17"/>
      <c r="E2124" s="17">
        <f t="shared" si="112"/>
        <v>65919</v>
      </c>
      <c r="F2124" s="17">
        <f t="shared" ca="1" si="1"/>
        <v>2001</v>
      </c>
      <c r="G2124" s="17">
        <f t="shared" ca="1" si="113"/>
        <v>10984</v>
      </c>
      <c r="H2124" s="3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-</v>
      </c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</row>
    <row r="2125" spans="1:26" ht="13.5" customHeight="1" x14ac:dyDescent="0.3">
      <c r="A2125" s="17" t="s">
        <v>652</v>
      </c>
      <c r="B2125" s="17">
        <f t="shared" si="114"/>
        <v>3</v>
      </c>
      <c r="C2125" s="17">
        <f t="shared" si="115"/>
        <v>5</v>
      </c>
      <c r="D2125" s="17"/>
      <c r="E2125" s="17">
        <f t="shared" si="112"/>
        <v>65919</v>
      </c>
      <c r="F2125" s="17">
        <f t="shared" ca="1" si="1"/>
        <v>2001</v>
      </c>
      <c r="G2125" s="17">
        <f t="shared" ca="1" si="113"/>
        <v>10985</v>
      </c>
      <c r="H2125" s="30" t="str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n/a</v>
      </c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</row>
    <row r="2126" spans="1:26" ht="13.5" customHeight="1" x14ac:dyDescent="0.3">
      <c r="A2126" s="17" t="s">
        <v>652</v>
      </c>
      <c r="B2126" s="17">
        <f t="shared" si="114"/>
        <v>3</v>
      </c>
      <c r="C2126" s="17">
        <f t="shared" si="115"/>
        <v>6</v>
      </c>
      <c r="D2126" s="17"/>
      <c r="E2126" s="17">
        <f t="shared" si="112"/>
        <v>65919</v>
      </c>
      <c r="F2126" s="17">
        <f t="shared" ca="1" si="1"/>
        <v>2001</v>
      </c>
      <c r="G2126" s="17">
        <f t="shared" ca="1" si="113"/>
        <v>10986</v>
      </c>
      <c r="H2126" s="31" t="str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n/a</v>
      </c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</row>
    <row r="2127" spans="1:26" ht="13.5" customHeight="1" x14ac:dyDescent="0.3">
      <c r="A2127" s="17" t="s">
        <v>652</v>
      </c>
      <c r="B2127" s="17">
        <f t="shared" si="114"/>
        <v>3</v>
      </c>
      <c r="C2127" s="17">
        <f t="shared" si="115"/>
        <v>7</v>
      </c>
      <c r="D2127" s="17"/>
      <c r="E2127" s="17">
        <f t="shared" si="112"/>
        <v>65919</v>
      </c>
      <c r="F2127" s="17">
        <f t="shared" ca="1" si="1"/>
        <v>2001</v>
      </c>
      <c r="G2127" s="17">
        <f t="shared" ca="1" si="113"/>
        <v>10974</v>
      </c>
      <c r="H2127" s="2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0</v>
      </c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</row>
    <row r="2128" spans="1:26" ht="13.5" customHeight="1" x14ac:dyDescent="0.3">
      <c r="A2128" s="17" t="s">
        <v>652</v>
      </c>
      <c r="B2128" s="17">
        <f t="shared" si="114"/>
        <v>3</v>
      </c>
      <c r="C2128" s="17">
        <f t="shared" si="115"/>
        <v>8</v>
      </c>
      <c r="D2128" s="17"/>
      <c r="E2128" s="17">
        <f t="shared" si="112"/>
        <v>65919</v>
      </c>
      <c r="F2128" s="17">
        <f t="shared" ca="1" si="1"/>
        <v>2001</v>
      </c>
      <c r="G2128" s="17">
        <f t="shared" ca="1" si="113"/>
        <v>10987</v>
      </c>
      <c r="H2128" s="31" t="str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n/a</v>
      </c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</row>
    <row r="2129" spans="1:26" ht="13.5" customHeight="1" x14ac:dyDescent="0.3">
      <c r="A2129" s="17" t="s">
        <v>652</v>
      </c>
      <c r="B2129" s="17">
        <f t="shared" si="114"/>
        <v>3</v>
      </c>
      <c r="C2129" s="17">
        <f t="shared" si="115"/>
        <v>9</v>
      </c>
      <c r="D2129" s="17"/>
      <c r="E2129" s="17">
        <f t="shared" si="112"/>
        <v>65919</v>
      </c>
      <c r="F2129" s="17">
        <f t="shared" ca="1" si="1"/>
        <v>2001</v>
      </c>
      <c r="G2129" s="17">
        <f t="shared" ca="1" si="113"/>
        <v>10885</v>
      </c>
      <c r="H2129" s="29" t="str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NA</v>
      </c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</row>
    <row r="2130" spans="1:26" ht="13.5" customHeight="1" x14ac:dyDescent="0.3">
      <c r="A2130" s="17" t="s">
        <v>652</v>
      </c>
      <c r="B2130" s="17">
        <f t="shared" si="114"/>
        <v>3</v>
      </c>
      <c r="C2130" s="17">
        <f t="shared" si="115"/>
        <v>10</v>
      </c>
      <c r="D2130" s="17"/>
      <c r="E2130" s="17">
        <f t="shared" si="112"/>
        <v>65919</v>
      </c>
      <c r="F2130" s="17">
        <f t="shared" ca="1" si="1"/>
        <v>2001</v>
      </c>
      <c r="G2130" s="17">
        <f t="shared" ca="1" si="113"/>
        <v>10886</v>
      </c>
      <c r="H2130" s="29" t="str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NA</v>
      </c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</row>
    <row r="2131" spans="1:26" ht="13.5" customHeight="1" x14ac:dyDescent="0.3">
      <c r="A2131" s="17" t="s">
        <v>652</v>
      </c>
      <c r="B2131" s="17">
        <f t="shared" si="114"/>
        <v>3</v>
      </c>
      <c r="C2131" s="17">
        <f t="shared" si="115"/>
        <v>11</v>
      </c>
      <c r="D2131" s="17"/>
      <c r="E2131" s="17">
        <f t="shared" si="112"/>
        <v>65919</v>
      </c>
      <c r="F2131" s="17">
        <f t="shared" ca="1" si="1"/>
        <v>2001</v>
      </c>
      <c r="G2131" s="17">
        <f t="shared" ca="1" si="113"/>
        <v>10887</v>
      </c>
      <c r="H2131" s="29" t="str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NA</v>
      </c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</row>
    <row r="2132" spans="1:26" ht="13.5" customHeight="1" x14ac:dyDescent="0.3">
      <c r="A2132" s="17" t="s">
        <v>652</v>
      </c>
      <c r="B2132" s="17">
        <f t="shared" si="114"/>
        <v>3</v>
      </c>
      <c r="C2132" s="17">
        <f t="shared" si="115"/>
        <v>12</v>
      </c>
      <c r="D2132" s="17"/>
      <c r="E2132" s="17">
        <f t="shared" si="112"/>
        <v>65919</v>
      </c>
      <c r="F2132" s="17">
        <f t="shared" ca="1" si="1"/>
        <v>2001</v>
      </c>
      <c r="G2132" s="17">
        <f t="shared" ca="1" si="113"/>
        <v>10883</v>
      </c>
      <c r="H2132" s="29" t="str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NA</v>
      </c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</row>
    <row r="2133" spans="1:26" ht="13.5" customHeight="1" x14ac:dyDescent="0.3">
      <c r="A2133" s="17" t="s">
        <v>652</v>
      </c>
      <c r="B2133" s="17">
        <f t="shared" si="114"/>
        <v>3</v>
      </c>
      <c r="C2133" s="17">
        <f t="shared" si="115"/>
        <v>13</v>
      </c>
      <c r="D2133" s="17"/>
      <c r="E2133" s="17">
        <f t="shared" si="112"/>
        <v>65919</v>
      </c>
      <c r="F2133" s="17">
        <f t="shared" ca="1" si="1"/>
        <v>2001</v>
      </c>
      <c r="G2133" s="17">
        <f t="shared" ca="1" si="113"/>
        <v>10989</v>
      </c>
      <c r="H2133" s="3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</row>
    <row r="2134" spans="1:26" ht="13.5" customHeight="1" x14ac:dyDescent="0.3">
      <c r="A2134" s="17" t="s">
        <v>652</v>
      </c>
      <c r="B2134" s="17">
        <f t="shared" si="114"/>
        <v>3</v>
      </c>
      <c r="C2134" s="17">
        <f t="shared" si="115"/>
        <v>14</v>
      </c>
      <c r="D2134" s="17"/>
      <c r="E2134" s="17">
        <f t="shared" si="112"/>
        <v>65919</v>
      </c>
      <c r="F2134" s="17">
        <f t="shared" ca="1" si="1"/>
        <v>2001</v>
      </c>
      <c r="G2134" s="17">
        <f t="shared" ca="1" si="113"/>
        <v>10990</v>
      </c>
      <c r="H2134" s="3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</row>
    <row r="2135" spans="1:26" ht="13.5" customHeight="1" x14ac:dyDescent="0.3">
      <c r="A2135" s="17" t="s">
        <v>652</v>
      </c>
      <c r="B2135" s="17">
        <f t="shared" si="114"/>
        <v>3</v>
      </c>
      <c r="C2135" s="17">
        <f t="shared" si="115"/>
        <v>15</v>
      </c>
      <c r="D2135" s="17"/>
      <c r="E2135" s="17">
        <f t="shared" si="112"/>
        <v>65919</v>
      </c>
      <c r="F2135" s="17">
        <f t="shared" ca="1" si="1"/>
        <v>2001</v>
      </c>
      <c r="G2135" s="17">
        <f t="shared" ca="1" si="113"/>
        <v>10991</v>
      </c>
      <c r="H2135" s="3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</row>
    <row r="2136" spans="1:26" ht="13.5" customHeight="1" x14ac:dyDescent="0.3">
      <c r="A2136" s="17" t="s">
        <v>652</v>
      </c>
      <c r="B2136" s="17">
        <f t="shared" si="114"/>
        <v>3</v>
      </c>
      <c r="C2136" s="17">
        <f t="shared" si="115"/>
        <v>16</v>
      </c>
      <c r="D2136" s="17"/>
      <c r="E2136" s="17">
        <f t="shared" si="112"/>
        <v>65919</v>
      </c>
      <c r="F2136" s="17">
        <f t="shared" ca="1" si="1"/>
        <v>2001</v>
      </c>
      <c r="G2136" s="17">
        <f t="shared" ca="1" si="113"/>
        <v>10992</v>
      </c>
      <c r="H2136" s="3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</row>
    <row r="2137" spans="1:26" ht="13.5" customHeight="1" x14ac:dyDescent="0.3">
      <c r="A2137" s="17" t="s">
        <v>652</v>
      </c>
      <c r="B2137" s="17">
        <f t="shared" si="114"/>
        <v>3</v>
      </c>
      <c r="C2137" s="17">
        <f t="shared" si="115"/>
        <v>17</v>
      </c>
      <c r="D2137" s="17"/>
      <c r="E2137" s="17">
        <f t="shared" si="112"/>
        <v>65919</v>
      </c>
      <c r="F2137" s="17">
        <f t="shared" ca="1" si="1"/>
        <v>2001</v>
      </c>
      <c r="G2137" s="17">
        <f t="shared" ca="1" si="113"/>
        <v>10993</v>
      </c>
      <c r="H2137" s="3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</row>
    <row r="2138" spans="1:26" ht="13.5" customHeight="1" x14ac:dyDescent="0.3">
      <c r="A2138" s="17" t="s">
        <v>652</v>
      </c>
      <c r="B2138" s="17">
        <f t="shared" si="114"/>
        <v>3</v>
      </c>
      <c r="C2138" s="17">
        <f t="shared" si="115"/>
        <v>18</v>
      </c>
      <c r="D2138" s="17"/>
      <c r="E2138" s="17">
        <f t="shared" si="112"/>
        <v>65919</v>
      </c>
      <c r="F2138" s="17">
        <f t="shared" ca="1" si="1"/>
        <v>2001</v>
      </c>
      <c r="G2138" s="17">
        <f t="shared" ca="1" si="113"/>
        <v>11005</v>
      </c>
      <c r="H2138" s="31" t="str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NA</v>
      </c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</row>
    <row r="2139" spans="1:26" ht="13.5" customHeight="1" x14ac:dyDescent="0.3">
      <c r="A2139" s="17" t="s">
        <v>652</v>
      </c>
      <c r="B2139" s="17">
        <f t="shared" si="114"/>
        <v>3</v>
      </c>
      <c r="C2139" s="17">
        <f t="shared" si="115"/>
        <v>19</v>
      </c>
      <c r="D2139" s="17"/>
      <c r="E2139" s="17">
        <f t="shared" si="112"/>
        <v>65919</v>
      </c>
      <c r="F2139" s="17">
        <f t="shared" ca="1" si="1"/>
        <v>2001</v>
      </c>
      <c r="G2139" s="17">
        <f t="shared" ca="1" si="113"/>
        <v>10988</v>
      </c>
      <c r="H2139" s="31" t="str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 xml:space="preserve"> </v>
      </c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</row>
    <row r="2140" spans="1:26" ht="13.5" customHeight="1" x14ac:dyDescent="0.3">
      <c r="A2140" s="17" t="s">
        <v>652</v>
      </c>
      <c r="B2140" s="17">
        <f t="shared" si="114"/>
        <v>3</v>
      </c>
      <c r="C2140" s="17">
        <f t="shared" si="115"/>
        <v>20</v>
      </c>
      <c r="D2140" s="17"/>
      <c r="E2140" s="17">
        <f t="shared" si="112"/>
        <v>65919</v>
      </c>
      <c r="F2140" s="17">
        <f t="shared" ca="1" si="1"/>
        <v>2001</v>
      </c>
      <c r="G2140" s="17">
        <f t="shared" ca="1" si="113"/>
        <v>10996</v>
      </c>
      <c r="H2140" s="3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658990105</v>
      </c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</row>
    <row r="2141" spans="1:26" ht="13.5" customHeight="1" x14ac:dyDescent="0.3">
      <c r="A2141" s="17" t="s">
        <v>652</v>
      </c>
      <c r="B2141" s="17">
        <f t="shared" si="114"/>
        <v>3</v>
      </c>
      <c r="C2141" s="17">
        <f t="shared" si="115"/>
        <v>21</v>
      </c>
      <c r="D2141" s="17"/>
      <c r="E2141" s="17">
        <f t="shared" si="112"/>
        <v>65919</v>
      </c>
      <c r="F2141" s="17">
        <f t="shared" ca="1" si="1"/>
        <v>2001</v>
      </c>
      <c r="G2141" s="17">
        <f t="shared" ca="1" si="113"/>
        <v>10997</v>
      </c>
      <c r="H2141" s="31" t="str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 xml:space="preserve"> </v>
      </c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</row>
    <row r="2142" spans="1:26" ht="13.5" customHeight="1" x14ac:dyDescent="0.3">
      <c r="A2142" s="17" t="s">
        <v>652</v>
      </c>
      <c r="B2142" s="17">
        <f t="shared" si="114"/>
        <v>3</v>
      </c>
      <c r="C2142" s="17">
        <f t="shared" si="115"/>
        <v>22</v>
      </c>
      <c r="D2142" s="17"/>
      <c r="E2142" s="17">
        <f t="shared" si="112"/>
        <v>65919</v>
      </c>
      <c r="F2142" s="17">
        <f t="shared" ca="1" si="1"/>
        <v>2001</v>
      </c>
      <c r="G2142" s="17">
        <f t="shared" ca="1" si="113"/>
        <v>10980</v>
      </c>
      <c r="H2142" s="3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</row>
    <row r="2143" spans="1:26" ht="13.5" customHeight="1" x14ac:dyDescent="0.3">
      <c r="A2143" s="17" t="s">
        <v>652</v>
      </c>
      <c r="B2143" s="17">
        <f t="shared" si="114"/>
        <v>3</v>
      </c>
      <c r="C2143" s="17">
        <f t="shared" si="115"/>
        <v>23</v>
      </c>
      <c r="D2143" s="17"/>
      <c r="E2143" s="17">
        <f t="shared" si="112"/>
        <v>65919</v>
      </c>
      <c r="F2143" s="17">
        <f t="shared" ca="1" si="1"/>
        <v>2001</v>
      </c>
      <c r="G2143" s="17">
        <f t="shared" ca="1" si="113"/>
        <v>10981</v>
      </c>
      <c r="H2143" s="3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</row>
    <row r="2144" spans="1:26" ht="13.5" customHeight="1" x14ac:dyDescent="0.3">
      <c r="A2144" s="17" t="s">
        <v>652</v>
      </c>
      <c r="B2144" s="17">
        <f t="shared" si="114"/>
        <v>3</v>
      </c>
      <c r="C2144" s="17">
        <f t="shared" si="115"/>
        <v>24</v>
      </c>
      <c r="D2144" s="17"/>
      <c r="E2144" s="17">
        <f t="shared" si="112"/>
        <v>65919</v>
      </c>
      <c r="F2144" s="17">
        <f t="shared" ca="1" si="1"/>
        <v>2001</v>
      </c>
      <c r="G2144" s="17">
        <f t="shared" ca="1" si="113"/>
        <v>10998</v>
      </c>
      <c r="H2144" s="3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-23200000</v>
      </c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</row>
    <row r="2145" spans="1:26" ht="13.5" customHeight="1" x14ac:dyDescent="0.3">
      <c r="A2145" s="17" t="s">
        <v>652</v>
      </c>
      <c r="B2145" s="17">
        <f t="shared" si="114"/>
        <v>3</v>
      </c>
      <c r="C2145" s="17">
        <f t="shared" si="115"/>
        <v>25</v>
      </c>
      <c r="D2145" s="17"/>
      <c r="E2145" s="17">
        <f t="shared" si="112"/>
        <v>65919</v>
      </c>
      <c r="F2145" s="17">
        <f t="shared" ca="1" si="1"/>
        <v>2001</v>
      </c>
      <c r="G2145" s="17">
        <f t="shared" ca="1" si="113"/>
        <v>10999</v>
      </c>
      <c r="H2145" s="2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</row>
    <row r="2146" spans="1:26" ht="13.5" customHeight="1" x14ac:dyDescent="0.3">
      <c r="A2146" s="17" t="s">
        <v>652</v>
      </c>
      <c r="B2146" s="17">
        <f t="shared" si="114"/>
        <v>3</v>
      </c>
      <c r="C2146" s="17">
        <f t="shared" si="115"/>
        <v>26</v>
      </c>
      <c r="D2146" s="17"/>
      <c r="E2146" s="17">
        <f t="shared" si="112"/>
        <v>65919</v>
      </c>
      <c r="F2146" s="17">
        <f t="shared" ca="1" si="1"/>
        <v>2001</v>
      </c>
      <c r="G2146" s="17">
        <f t="shared" ca="1" si="113"/>
        <v>11000</v>
      </c>
      <c r="H2146" s="3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</row>
    <row r="2147" spans="1:26" ht="13.5" customHeight="1" x14ac:dyDescent="0.3">
      <c r="A2147" s="17" t="s">
        <v>652</v>
      </c>
      <c r="B2147" s="17">
        <f t="shared" si="114"/>
        <v>3</v>
      </c>
      <c r="C2147" s="17">
        <f t="shared" si="115"/>
        <v>27</v>
      </c>
      <c r="D2147" s="17"/>
      <c r="E2147" s="17">
        <f t="shared" si="112"/>
        <v>65919</v>
      </c>
      <c r="F2147" s="17">
        <f t="shared" ca="1" si="1"/>
        <v>2001</v>
      </c>
      <c r="G2147" s="17">
        <f t="shared" ca="1" si="113"/>
        <v>11001</v>
      </c>
      <c r="H2147" s="3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</row>
    <row r="2148" spans="1:26" ht="13.5" customHeight="1" x14ac:dyDescent="0.3">
      <c r="A2148" s="17" t="s">
        <v>652</v>
      </c>
      <c r="B2148" s="17">
        <f t="shared" si="114"/>
        <v>3</v>
      </c>
      <c r="C2148" s="17">
        <f t="shared" si="115"/>
        <v>28</v>
      </c>
      <c r="D2148" s="17"/>
      <c r="E2148" s="17">
        <f t="shared" si="112"/>
        <v>65919</v>
      </c>
      <c r="F2148" s="17">
        <f t="shared" ca="1" si="1"/>
        <v>2001</v>
      </c>
      <c r="G2148" s="17">
        <f t="shared" ca="1" si="113"/>
        <v>11002</v>
      </c>
      <c r="H2148" s="3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</row>
    <row r="2149" spans="1:26" ht="13.5" customHeight="1" x14ac:dyDescent="0.3">
      <c r="A2149" s="17" t="s">
        <v>652</v>
      </c>
      <c r="B2149" s="17">
        <f t="shared" si="114"/>
        <v>3</v>
      </c>
      <c r="C2149" s="17">
        <f t="shared" si="115"/>
        <v>29</v>
      </c>
      <c r="D2149" s="17"/>
      <c r="E2149" s="17">
        <f t="shared" si="112"/>
        <v>65919</v>
      </c>
      <c r="F2149" s="17">
        <f t="shared" ca="1" si="1"/>
        <v>2001</v>
      </c>
      <c r="G2149" s="17">
        <f t="shared" ca="1" si="113"/>
        <v>11003</v>
      </c>
      <c r="H2149" s="3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</row>
    <row r="2150" spans="1:26" ht="13.5" customHeight="1" x14ac:dyDescent="0.3">
      <c r="A2150" s="17" t="s">
        <v>652</v>
      </c>
      <c r="B2150" s="17">
        <f t="shared" ref="B2150:B2635" si="116">B2123+1</f>
        <v>4</v>
      </c>
      <c r="C2150" s="17">
        <f t="shared" ref="C2150:C2635" si="117">C2123</f>
        <v>3</v>
      </c>
      <c r="D2150" s="17"/>
      <c r="E2150" s="17">
        <f t="shared" si="112"/>
        <v>65919</v>
      </c>
      <c r="F2150" s="17">
        <f t="shared" ca="1" si="1"/>
        <v>2002</v>
      </c>
      <c r="G2150" s="17">
        <f t="shared" ca="1" si="113"/>
        <v>10982</v>
      </c>
      <c r="H2150" s="29" t="str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No</v>
      </c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</row>
    <row r="2151" spans="1:26" ht="13.5" customHeight="1" x14ac:dyDescent="0.3">
      <c r="A2151" s="17" t="s">
        <v>652</v>
      </c>
      <c r="B2151" s="17">
        <f t="shared" si="116"/>
        <v>4</v>
      </c>
      <c r="C2151" s="17">
        <f t="shared" si="117"/>
        <v>4</v>
      </c>
      <c r="D2151" s="17"/>
      <c r="E2151" s="17">
        <f t="shared" si="112"/>
        <v>65919</v>
      </c>
      <c r="F2151" s="17">
        <f t="shared" ca="1" si="1"/>
        <v>2002</v>
      </c>
      <c r="G2151" s="17">
        <f t="shared" ca="1" si="113"/>
        <v>10984</v>
      </c>
      <c r="H2151" s="30" t="str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</v>
      </c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</row>
    <row r="2152" spans="1:26" ht="13.5" customHeight="1" x14ac:dyDescent="0.3">
      <c r="A2152" s="17" t="s">
        <v>652</v>
      </c>
      <c r="B2152" s="17">
        <f t="shared" si="116"/>
        <v>4</v>
      </c>
      <c r="C2152" s="17">
        <f t="shared" si="117"/>
        <v>5</v>
      </c>
      <c r="D2152" s="17"/>
      <c r="E2152" s="17">
        <f t="shared" si="112"/>
        <v>65919</v>
      </c>
      <c r="F2152" s="17">
        <f t="shared" ca="1" si="1"/>
        <v>2002</v>
      </c>
      <c r="G2152" s="17">
        <f t="shared" ca="1" si="113"/>
        <v>10985</v>
      </c>
      <c r="H2152" s="30" t="str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n/a</v>
      </c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</row>
    <row r="2153" spans="1:26" ht="13.5" customHeight="1" x14ac:dyDescent="0.3">
      <c r="A2153" s="17" t="s">
        <v>652</v>
      </c>
      <c r="B2153" s="17">
        <f t="shared" si="116"/>
        <v>4</v>
      </c>
      <c r="C2153" s="17">
        <f t="shared" si="117"/>
        <v>6</v>
      </c>
      <c r="D2153" s="17"/>
      <c r="E2153" s="17">
        <f t="shared" si="112"/>
        <v>65919</v>
      </c>
      <c r="F2153" s="17">
        <f t="shared" ca="1" si="1"/>
        <v>2002</v>
      </c>
      <c r="G2153" s="17">
        <f t="shared" ca="1" si="113"/>
        <v>10986</v>
      </c>
      <c r="H2153" s="31" t="str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n/a</v>
      </c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</row>
    <row r="2154" spans="1:26" ht="13.5" customHeight="1" x14ac:dyDescent="0.3">
      <c r="A2154" s="17" t="s">
        <v>652</v>
      </c>
      <c r="B2154" s="17">
        <f t="shared" si="116"/>
        <v>4</v>
      </c>
      <c r="C2154" s="17">
        <f t="shared" si="117"/>
        <v>7</v>
      </c>
      <c r="D2154" s="17"/>
      <c r="E2154" s="17">
        <f t="shared" si="112"/>
        <v>65919</v>
      </c>
      <c r="F2154" s="17">
        <f t="shared" ca="1" si="1"/>
        <v>2002</v>
      </c>
      <c r="G2154" s="17">
        <f t="shared" ca="1" si="113"/>
        <v>10974</v>
      </c>
      <c r="H2154" s="29" t="str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Aggregate</v>
      </c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</row>
    <row r="2155" spans="1:26" ht="13.5" customHeight="1" x14ac:dyDescent="0.3">
      <c r="A2155" s="17" t="s">
        <v>652</v>
      </c>
      <c r="B2155" s="17">
        <f t="shared" si="116"/>
        <v>4</v>
      </c>
      <c r="C2155" s="17">
        <f t="shared" si="117"/>
        <v>8</v>
      </c>
      <c r="D2155" s="17"/>
      <c r="E2155" s="17">
        <f t="shared" si="112"/>
        <v>65919</v>
      </c>
      <c r="F2155" s="17">
        <f t="shared" ca="1" si="1"/>
        <v>2002</v>
      </c>
      <c r="G2155" s="17">
        <f t="shared" ca="1" si="113"/>
        <v>10987</v>
      </c>
      <c r="H2155" s="31" t="str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n/a</v>
      </c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</row>
    <row r="2156" spans="1:26" ht="13.5" customHeight="1" x14ac:dyDescent="0.3">
      <c r="A2156" s="17" t="s">
        <v>652</v>
      </c>
      <c r="B2156" s="17">
        <f t="shared" si="116"/>
        <v>4</v>
      </c>
      <c r="C2156" s="17">
        <f t="shared" si="117"/>
        <v>9</v>
      </c>
      <c r="D2156" s="17"/>
      <c r="E2156" s="17">
        <f t="shared" si="112"/>
        <v>65919</v>
      </c>
      <c r="F2156" s="17">
        <f t="shared" ca="1" si="1"/>
        <v>2002</v>
      </c>
      <c r="G2156" s="17">
        <f t="shared" ca="1" si="113"/>
        <v>10885</v>
      </c>
      <c r="H2156" s="29" t="str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NA</v>
      </c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</row>
    <row r="2157" spans="1:26" ht="13.5" customHeight="1" x14ac:dyDescent="0.3">
      <c r="A2157" s="17" t="s">
        <v>652</v>
      </c>
      <c r="B2157" s="17">
        <f t="shared" si="116"/>
        <v>4</v>
      </c>
      <c r="C2157" s="17">
        <f t="shared" si="117"/>
        <v>10</v>
      </c>
      <c r="D2157" s="17"/>
      <c r="E2157" s="17">
        <f t="shared" si="112"/>
        <v>65919</v>
      </c>
      <c r="F2157" s="17">
        <f t="shared" ca="1" si="1"/>
        <v>2002</v>
      </c>
      <c r="G2157" s="17">
        <f t="shared" ca="1" si="113"/>
        <v>10886</v>
      </c>
      <c r="H2157" s="29" t="str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NA</v>
      </c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</row>
    <row r="2158" spans="1:26" ht="13.5" customHeight="1" x14ac:dyDescent="0.3">
      <c r="A2158" s="17" t="s">
        <v>652</v>
      </c>
      <c r="B2158" s="17">
        <f t="shared" si="116"/>
        <v>4</v>
      </c>
      <c r="C2158" s="17">
        <f t="shared" si="117"/>
        <v>11</v>
      </c>
      <c r="D2158" s="17"/>
      <c r="E2158" s="17">
        <f t="shared" si="112"/>
        <v>65919</v>
      </c>
      <c r="F2158" s="17">
        <f t="shared" ca="1" si="1"/>
        <v>2002</v>
      </c>
      <c r="G2158" s="17">
        <f t="shared" ca="1" si="113"/>
        <v>10887</v>
      </c>
      <c r="H2158" s="29" t="str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NA</v>
      </c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</row>
    <row r="2159" spans="1:26" ht="13.5" customHeight="1" x14ac:dyDescent="0.3">
      <c r="A2159" s="17" t="s">
        <v>652</v>
      </c>
      <c r="B2159" s="17">
        <f t="shared" si="116"/>
        <v>4</v>
      </c>
      <c r="C2159" s="17">
        <f t="shared" si="117"/>
        <v>12</v>
      </c>
      <c r="D2159" s="17"/>
      <c r="E2159" s="17">
        <f t="shared" si="112"/>
        <v>65919</v>
      </c>
      <c r="F2159" s="17">
        <f t="shared" ca="1" si="1"/>
        <v>2002</v>
      </c>
      <c r="G2159" s="17">
        <f t="shared" ca="1" si="113"/>
        <v>10883</v>
      </c>
      <c r="H2159" s="29" t="str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NA</v>
      </c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</row>
    <row r="2160" spans="1:26" ht="13.5" customHeight="1" x14ac:dyDescent="0.3">
      <c r="A2160" s="17" t="s">
        <v>652</v>
      </c>
      <c r="B2160" s="17">
        <f t="shared" si="116"/>
        <v>4</v>
      </c>
      <c r="C2160" s="17">
        <f t="shared" si="117"/>
        <v>13</v>
      </c>
      <c r="D2160" s="17"/>
      <c r="E2160" s="17">
        <f t="shared" si="112"/>
        <v>65919</v>
      </c>
      <c r="F2160" s="17">
        <f t="shared" ca="1" si="1"/>
        <v>2002</v>
      </c>
      <c r="G2160" s="17">
        <f t="shared" ca="1" si="113"/>
        <v>10989</v>
      </c>
      <c r="H2160" s="3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</row>
    <row r="2161" spans="1:26" ht="13.5" customHeight="1" x14ac:dyDescent="0.3">
      <c r="A2161" s="17" t="s">
        <v>652</v>
      </c>
      <c r="B2161" s="17">
        <f t="shared" si="116"/>
        <v>4</v>
      </c>
      <c r="C2161" s="17">
        <f t="shared" si="117"/>
        <v>14</v>
      </c>
      <c r="D2161" s="17"/>
      <c r="E2161" s="17">
        <f t="shared" si="112"/>
        <v>65919</v>
      </c>
      <c r="F2161" s="17">
        <f t="shared" ca="1" si="1"/>
        <v>2002</v>
      </c>
      <c r="G2161" s="17">
        <f t="shared" ca="1" si="113"/>
        <v>10990</v>
      </c>
      <c r="H2161" s="3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</row>
    <row r="2162" spans="1:26" ht="13.5" customHeight="1" x14ac:dyDescent="0.3">
      <c r="A2162" s="17" t="s">
        <v>652</v>
      </c>
      <c r="B2162" s="17">
        <f t="shared" si="116"/>
        <v>4</v>
      </c>
      <c r="C2162" s="17">
        <f t="shared" si="117"/>
        <v>15</v>
      </c>
      <c r="D2162" s="17"/>
      <c r="E2162" s="17">
        <f t="shared" si="112"/>
        <v>65919</v>
      </c>
      <c r="F2162" s="17">
        <f t="shared" ca="1" si="1"/>
        <v>2002</v>
      </c>
      <c r="G2162" s="17">
        <f t="shared" ca="1" si="113"/>
        <v>10991</v>
      </c>
      <c r="H2162" s="3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</row>
    <row r="2163" spans="1:26" ht="13.5" customHeight="1" x14ac:dyDescent="0.3">
      <c r="A2163" s="17" t="s">
        <v>652</v>
      </c>
      <c r="B2163" s="17">
        <f t="shared" si="116"/>
        <v>4</v>
      </c>
      <c r="C2163" s="17">
        <f t="shared" si="117"/>
        <v>16</v>
      </c>
      <c r="D2163" s="17"/>
      <c r="E2163" s="17">
        <f t="shared" si="112"/>
        <v>65919</v>
      </c>
      <c r="F2163" s="17">
        <f t="shared" ca="1" si="1"/>
        <v>2002</v>
      </c>
      <c r="G2163" s="17">
        <f t="shared" ca="1" si="113"/>
        <v>10992</v>
      </c>
      <c r="H2163" s="31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0</v>
      </c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</row>
    <row r="2164" spans="1:26" ht="13.5" customHeight="1" x14ac:dyDescent="0.3">
      <c r="A2164" s="17" t="s">
        <v>652</v>
      </c>
      <c r="B2164" s="17">
        <f t="shared" si="116"/>
        <v>4</v>
      </c>
      <c r="C2164" s="17">
        <f t="shared" si="117"/>
        <v>17</v>
      </c>
      <c r="D2164" s="17"/>
      <c r="E2164" s="17">
        <f t="shared" si="112"/>
        <v>65919</v>
      </c>
      <c r="F2164" s="17">
        <f t="shared" ca="1" si="1"/>
        <v>2002</v>
      </c>
      <c r="G2164" s="17">
        <f t="shared" ca="1" si="113"/>
        <v>10993</v>
      </c>
      <c r="H2164" s="3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</row>
    <row r="2165" spans="1:26" ht="13.5" customHeight="1" x14ac:dyDescent="0.3">
      <c r="A2165" s="17" t="s">
        <v>652</v>
      </c>
      <c r="B2165" s="17">
        <f t="shared" si="116"/>
        <v>4</v>
      </c>
      <c r="C2165" s="17">
        <f t="shared" si="117"/>
        <v>18</v>
      </c>
      <c r="D2165" s="17"/>
      <c r="E2165" s="17">
        <f t="shared" si="112"/>
        <v>65919</v>
      </c>
      <c r="F2165" s="17">
        <f t="shared" ca="1" si="1"/>
        <v>2002</v>
      </c>
      <c r="G2165" s="17">
        <f t="shared" ca="1" si="113"/>
        <v>11005</v>
      </c>
      <c r="H2165" s="31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NA</v>
      </c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</row>
    <row r="2166" spans="1:26" ht="13.5" customHeight="1" x14ac:dyDescent="0.3">
      <c r="A2166" s="17" t="s">
        <v>652</v>
      </c>
      <c r="B2166" s="17">
        <f t="shared" si="116"/>
        <v>4</v>
      </c>
      <c r="C2166" s="17">
        <f t="shared" si="117"/>
        <v>19</v>
      </c>
      <c r="D2166" s="17"/>
      <c r="E2166" s="17">
        <f t="shared" si="112"/>
        <v>65919</v>
      </c>
      <c r="F2166" s="17">
        <f t="shared" ca="1" si="1"/>
        <v>2002</v>
      </c>
      <c r="G2166" s="17">
        <f t="shared" ca="1" si="113"/>
        <v>10988</v>
      </c>
      <c r="H2166" s="31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 xml:space="preserve"> </v>
      </c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</row>
    <row r="2167" spans="1:26" ht="13.5" customHeight="1" x14ac:dyDescent="0.3">
      <c r="A2167" s="17" t="s">
        <v>652</v>
      </c>
      <c r="B2167" s="17">
        <f t="shared" si="116"/>
        <v>4</v>
      </c>
      <c r="C2167" s="17">
        <f t="shared" si="117"/>
        <v>20</v>
      </c>
      <c r="D2167" s="17"/>
      <c r="E2167" s="17">
        <f t="shared" si="112"/>
        <v>65919</v>
      </c>
      <c r="F2167" s="17">
        <f t="shared" ca="1" si="1"/>
        <v>2002</v>
      </c>
      <c r="G2167" s="17">
        <f t="shared" ca="1" si="113"/>
        <v>10996</v>
      </c>
      <c r="H2167" s="3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595908315</v>
      </c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</row>
    <row r="2168" spans="1:26" ht="13.5" customHeight="1" x14ac:dyDescent="0.3">
      <c r="A2168" s="17" t="s">
        <v>652</v>
      </c>
      <c r="B2168" s="17">
        <f t="shared" si="116"/>
        <v>4</v>
      </c>
      <c r="C2168" s="17">
        <f t="shared" si="117"/>
        <v>21</v>
      </c>
      <c r="D2168" s="17"/>
      <c r="E2168" s="17">
        <f t="shared" si="112"/>
        <v>65919</v>
      </c>
      <c r="F2168" s="17">
        <f t="shared" ca="1" si="1"/>
        <v>2002</v>
      </c>
      <c r="G2168" s="17">
        <f t="shared" ca="1" si="113"/>
        <v>10997</v>
      </c>
      <c r="H2168" s="31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 xml:space="preserve"> </v>
      </c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</row>
    <row r="2169" spans="1:26" ht="13.5" customHeight="1" x14ac:dyDescent="0.3">
      <c r="A2169" s="17" t="s">
        <v>652</v>
      </c>
      <c r="B2169" s="17">
        <f t="shared" si="116"/>
        <v>4</v>
      </c>
      <c r="C2169" s="17">
        <f t="shared" si="117"/>
        <v>22</v>
      </c>
      <c r="D2169" s="17"/>
      <c r="E2169" s="17">
        <f t="shared" si="112"/>
        <v>65919</v>
      </c>
      <c r="F2169" s="17">
        <f t="shared" ca="1" si="1"/>
        <v>2002</v>
      </c>
      <c r="G2169" s="17">
        <f t="shared" ca="1" si="113"/>
        <v>10980</v>
      </c>
      <c r="H2169" s="3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</row>
    <row r="2170" spans="1:26" ht="13.5" customHeight="1" x14ac:dyDescent="0.3">
      <c r="A2170" s="17" t="s">
        <v>652</v>
      </c>
      <c r="B2170" s="17">
        <f t="shared" si="116"/>
        <v>4</v>
      </c>
      <c r="C2170" s="17">
        <f t="shared" si="117"/>
        <v>23</v>
      </c>
      <c r="D2170" s="17"/>
      <c r="E2170" s="17">
        <f t="shared" si="112"/>
        <v>65919</v>
      </c>
      <c r="F2170" s="17">
        <f t="shared" ca="1" si="1"/>
        <v>2002</v>
      </c>
      <c r="G2170" s="17">
        <f t="shared" ca="1" si="113"/>
        <v>10981</v>
      </c>
      <c r="H2170" s="3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</row>
    <row r="2171" spans="1:26" ht="13.5" customHeight="1" x14ac:dyDescent="0.3">
      <c r="A2171" s="17" t="s">
        <v>652</v>
      </c>
      <c r="B2171" s="17">
        <f t="shared" si="116"/>
        <v>4</v>
      </c>
      <c r="C2171" s="17">
        <f t="shared" si="117"/>
        <v>24</v>
      </c>
      <c r="D2171" s="17"/>
      <c r="E2171" s="17">
        <f t="shared" si="112"/>
        <v>65919</v>
      </c>
      <c r="F2171" s="17">
        <f t="shared" ca="1" si="1"/>
        <v>2002</v>
      </c>
      <c r="G2171" s="17">
        <f t="shared" ca="1" si="113"/>
        <v>10998</v>
      </c>
      <c r="H2171" s="3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-61100000</v>
      </c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</row>
    <row r="2172" spans="1:26" ht="13.5" customHeight="1" x14ac:dyDescent="0.3">
      <c r="A2172" s="17" t="s">
        <v>652</v>
      </c>
      <c r="B2172" s="17">
        <f t="shared" si="116"/>
        <v>4</v>
      </c>
      <c r="C2172" s="17">
        <f t="shared" si="117"/>
        <v>25</v>
      </c>
      <c r="D2172" s="17"/>
      <c r="E2172" s="17">
        <f t="shared" si="112"/>
        <v>65919</v>
      </c>
      <c r="F2172" s="17">
        <f t="shared" ca="1" si="1"/>
        <v>2002</v>
      </c>
      <c r="G2172" s="17">
        <f t="shared" ca="1" si="113"/>
        <v>10999</v>
      </c>
      <c r="H2172" s="3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22315700</v>
      </c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</row>
    <row r="2173" spans="1:26" ht="13.5" customHeight="1" x14ac:dyDescent="0.3">
      <c r="A2173" s="17" t="s">
        <v>652</v>
      </c>
      <c r="B2173" s="17">
        <f t="shared" si="116"/>
        <v>4</v>
      </c>
      <c r="C2173" s="17">
        <f t="shared" si="117"/>
        <v>26</v>
      </c>
      <c r="D2173" s="17"/>
      <c r="E2173" s="17">
        <f t="shared" si="112"/>
        <v>65919</v>
      </c>
      <c r="F2173" s="17">
        <f t="shared" ca="1" si="1"/>
        <v>2002</v>
      </c>
      <c r="G2173" s="17">
        <f t="shared" ca="1" si="113"/>
        <v>11000</v>
      </c>
      <c r="H2173" s="3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199115</v>
      </c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</row>
    <row r="2174" spans="1:26" ht="13.5" customHeight="1" x14ac:dyDescent="0.3">
      <c r="A2174" s="17" t="s">
        <v>652</v>
      </c>
      <c r="B2174" s="17">
        <f t="shared" si="116"/>
        <v>4</v>
      </c>
      <c r="C2174" s="17">
        <f t="shared" si="117"/>
        <v>27</v>
      </c>
      <c r="D2174" s="17"/>
      <c r="E2174" s="17">
        <f t="shared" si="112"/>
        <v>65919</v>
      </c>
      <c r="F2174" s="17">
        <f t="shared" ca="1" si="1"/>
        <v>2002</v>
      </c>
      <c r="G2174" s="17">
        <f t="shared" ca="1" si="113"/>
        <v>11001</v>
      </c>
      <c r="H2174" s="3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398141</v>
      </c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</row>
    <row r="2175" spans="1:26" ht="13.5" customHeight="1" x14ac:dyDescent="0.3">
      <c r="A2175" s="17" t="s">
        <v>652</v>
      </c>
      <c r="B2175" s="17">
        <f t="shared" si="116"/>
        <v>4</v>
      </c>
      <c r="C2175" s="17">
        <f t="shared" si="117"/>
        <v>28</v>
      </c>
      <c r="D2175" s="17"/>
      <c r="E2175" s="17">
        <f t="shared" si="112"/>
        <v>65919</v>
      </c>
      <c r="F2175" s="17">
        <f t="shared" ca="1" si="1"/>
        <v>2002</v>
      </c>
      <c r="G2175" s="17">
        <f t="shared" ca="1" si="113"/>
        <v>11002</v>
      </c>
      <c r="H2175" s="3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16067</v>
      </c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</row>
    <row r="2176" spans="1:26" ht="13.5" customHeight="1" x14ac:dyDescent="0.3">
      <c r="A2176" s="17" t="s">
        <v>652</v>
      </c>
      <c r="B2176" s="17">
        <f t="shared" si="116"/>
        <v>4</v>
      </c>
      <c r="C2176" s="17">
        <f t="shared" si="117"/>
        <v>29</v>
      </c>
      <c r="D2176" s="17"/>
      <c r="E2176" s="17">
        <f t="shared" si="112"/>
        <v>65919</v>
      </c>
      <c r="F2176" s="17">
        <f t="shared" ca="1" si="1"/>
        <v>2002</v>
      </c>
      <c r="G2176" s="17">
        <f t="shared" ca="1" si="113"/>
        <v>11003</v>
      </c>
      <c r="H2176" s="3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22929023</v>
      </c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</row>
    <row r="2177" spans="1:26" ht="13.5" customHeight="1" x14ac:dyDescent="0.3">
      <c r="A2177" s="17" t="s">
        <v>652</v>
      </c>
      <c r="B2177" s="17">
        <f t="shared" si="116"/>
        <v>5</v>
      </c>
      <c r="C2177" s="17">
        <f t="shared" si="117"/>
        <v>3</v>
      </c>
      <c r="D2177" s="17"/>
      <c r="E2177" s="17">
        <f t="shared" si="112"/>
        <v>65919</v>
      </c>
      <c r="F2177" s="17">
        <f t="shared" ca="1" si="1"/>
        <v>2003</v>
      </c>
      <c r="G2177" s="17">
        <f t="shared" ca="1" si="113"/>
        <v>10982</v>
      </c>
      <c r="H2177" s="29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No</v>
      </c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</row>
    <row r="2178" spans="1:26" ht="13.5" customHeight="1" x14ac:dyDescent="0.3">
      <c r="A2178" s="17" t="s">
        <v>652</v>
      </c>
      <c r="B2178" s="17">
        <f t="shared" si="116"/>
        <v>5</v>
      </c>
      <c r="C2178" s="17">
        <f t="shared" si="117"/>
        <v>4</v>
      </c>
      <c r="D2178" s="17"/>
      <c r="E2178" s="17">
        <f t="shared" si="112"/>
        <v>65919</v>
      </c>
      <c r="F2178" s="17">
        <f t="shared" ca="1" si="1"/>
        <v>2003</v>
      </c>
      <c r="G2178" s="17">
        <f t="shared" ca="1" si="113"/>
        <v>10984</v>
      </c>
      <c r="H2178" s="3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-</v>
      </c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</row>
    <row r="2179" spans="1:26" ht="13.5" customHeight="1" x14ac:dyDescent="0.3">
      <c r="A2179" s="17" t="s">
        <v>652</v>
      </c>
      <c r="B2179" s="17">
        <f t="shared" si="116"/>
        <v>5</v>
      </c>
      <c r="C2179" s="17">
        <f t="shared" si="117"/>
        <v>5</v>
      </c>
      <c r="D2179" s="17"/>
      <c r="E2179" s="17">
        <f t="shared" si="112"/>
        <v>65919</v>
      </c>
      <c r="F2179" s="17">
        <f t="shared" ca="1" si="1"/>
        <v>2003</v>
      </c>
      <c r="G2179" s="17">
        <f t="shared" ca="1" si="113"/>
        <v>10985</v>
      </c>
      <c r="H2179" s="30" t="str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n/a</v>
      </c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</row>
    <row r="2180" spans="1:26" ht="13.5" customHeight="1" x14ac:dyDescent="0.3">
      <c r="A2180" s="17" t="s">
        <v>652</v>
      </c>
      <c r="B2180" s="17">
        <f t="shared" si="116"/>
        <v>5</v>
      </c>
      <c r="C2180" s="17">
        <f t="shared" si="117"/>
        <v>6</v>
      </c>
      <c r="D2180" s="17"/>
      <c r="E2180" s="17">
        <f t="shared" ref="E2180:E2243" si="118">plan_id</f>
        <v>65919</v>
      </c>
      <c r="F2180" s="17">
        <f t="shared" ca="1" si="1"/>
        <v>2003</v>
      </c>
      <c r="G2180" s="17">
        <f t="shared" ref="G2180:G2243" ca="1" si="119">VLOOKUP(INDIRECT(CHAR(39)&amp;$A2180&amp;CHAR(39)&amp;"!r2c"&amp;$C2180,0),variables,2,0)</f>
        <v>10986</v>
      </c>
      <c r="H2180" s="31" t="str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n/a</v>
      </c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</row>
    <row r="2181" spans="1:26" ht="13.5" customHeight="1" x14ac:dyDescent="0.3">
      <c r="A2181" s="17" t="s">
        <v>652</v>
      </c>
      <c r="B2181" s="17">
        <f t="shared" si="116"/>
        <v>5</v>
      </c>
      <c r="C2181" s="17">
        <f t="shared" si="117"/>
        <v>7</v>
      </c>
      <c r="D2181" s="17"/>
      <c r="E2181" s="17">
        <f t="shared" si="118"/>
        <v>65919</v>
      </c>
      <c r="F2181" s="17">
        <f t="shared" ca="1" si="1"/>
        <v>2003</v>
      </c>
      <c r="G2181" s="17">
        <f t="shared" ca="1" si="119"/>
        <v>10974</v>
      </c>
      <c r="H2181" s="2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Aggregate</v>
      </c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</row>
    <row r="2182" spans="1:26" ht="13.5" customHeight="1" x14ac:dyDescent="0.3">
      <c r="A2182" s="17" t="s">
        <v>652</v>
      </c>
      <c r="B2182" s="17">
        <f t="shared" si="116"/>
        <v>5</v>
      </c>
      <c r="C2182" s="17">
        <f t="shared" si="117"/>
        <v>8</v>
      </c>
      <c r="D2182" s="17"/>
      <c r="E2182" s="17">
        <f t="shared" si="118"/>
        <v>65919</v>
      </c>
      <c r="F2182" s="17">
        <f t="shared" ca="1" si="1"/>
        <v>2003</v>
      </c>
      <c r="G2182" s="17">
        <f t="shared" ca="1" si="119"/>
        <v>10987</v>
      </c>
      <c r="H2182" s="3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n/a</v>
      </c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</row>
    <row r="2183" spans="1:26" ht="13.5" customHeight="1" x14ac:dyDescent="0.3">
      <c r="A2183" s="17" t="s">
        <v>652</v>
      </c>
      <c r="B2183" s="17">
        <f t="shared" si="116"/>
        <v>5</v>
      </c>
      <c r="C2183" s="17">
        <f t="shared" si="117"/>
        <v>9</v>
      </c>
      <c r="D2183" s="17"/>
      <c r="E2183" s="17">
        <f t="shared" si="118"/>
        <v>65919</v>
      </c>
      <c r="F2183" s="17">
        <f t="shared" ca="1" si="1"/>
        <v>2003</v>
      </c>
      <c r="G2183" s="17">
        <f t="shared" ca="1" si="119"/>
        <v>10885</v>
      </c>
      <c r="H2183" s="29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NA</v>
      </c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</row>
    <row r="2184" spans="1:26" ht="13.5" customHeight="1" x14ac:dyDescent="0.3">
      <c r="A2184" s="17" t="s">
        <v>652</v>
      </c>
      <c r="B2184" s="17">
        <f t="shared" si="116"/>
        <v>5</v>
      </c>
      <c r="C2184" s="17">
        <f t="shared" si="117"/>
        <v>10</v>
      </c>
      <c r="D2184" s="17"/>
      <c r="E2184" s="17">
        <f t="shared" si="118"/>
        <v>65919</v>
      </c>
      <c r="F2184" s="17">
        <f t="shared" ca="1" si="1"/>
        <v>2003</v>
      </c>
      <c r="G2184" s="17">
        <f t="shared" ca="1" si="119"/>
        <v>10886</v>
      </c>
      <c r="H2184" s="29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NA</v>
      </c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</row>
    <row r="2185" spans="1:26" ht="13.5" customHeight="1" x14ac:dyDescent="0.3">
      <c r="A2185" s="17" t="s">
        <v>652</v>
      </c>
      <c r="B2185" s="17">
        <f t="shared" si="116"/>
        <v>5</v>
      </c>
      <c r="C2185" s="17">
        <f t="shared" si="117"/>
        <v>11</v>
      </c>
      <c r="D2185" s="17"/>
      <c r="E2185" s="17">
        <f t="shared" si="118"/>
        <v>65919</v>
      </c>
      <c r="F2185" s="17">
        <f t="shared" ca="1" si="1"/>
        <v>2003</v>
      </c>
      <c r="G2185" s="17">
        <f t="shared" ca="1" si="119"/>
        <v>10887</v>
      </c>
      <c r="H2185" s="29" t="str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NA</v>
      </c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</row>
    <row r="2186" spans="1:26" ht="13.5" customHeight="1" x14ac:dyDescent="0.3">
      <c r="A2186" s="17" t="s">
        <v>652</v>
      </c>
      <c r="B2186" s="17">
        <f t="shared" si="116"/>
        <v>5</v>
      </c>
      <c r="C2186" s="17">
        <f t="shared" si="117"/>
        <v>12</v>
      </c>
      <c r="D2186" s="17"/>
      <c r="E2186" s="17">
        <f t="shared" si="118"/>
        <v>65919</v>
      </c>
      <c r="F2186" s="17">
        <f t="shared" ca="1" si="1"/>
        <v>2003</v>
      </c>
      <c r="G2186" s="17">
        <f t="shared" ca="1" si="119"/>
        <v>10883</v>
      </c>
      <c r="H2186" s="29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NA</v>
      </c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</row>
    <row r="2187" spans="1:26" ht="13.5" customHeight="1" x14ac:dyDescent="0.3">
      <c r="A2187" s="17" t="s">
        <v>652</v>
      </c>
      <c r="B2187" s="17">
        <f t="shared" si="116"/>
        <v>5</v>
      </c>
      <c r="C2187" s="17">
        <f t="shared" si="117"/>
        <v>13</v>
      </c>
      <c r="D2187" s="17"/>
      <c r="E2187" s="17">
        <f t="shared" si="118"/>
        <v>65919</v>
      </c>
      <c r="F2187" s="17">
        <f t="shared" ca="1" si="1"/>
        <v>2003</v>
      </c>
      <c r="G2187" s="17">
        <f t="shared" ca="1" si="119"/>
        <v>10989</v>
      </c>
      <c r="H2187" s="30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0</v>
      </c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</row>
    <row r="2188" spans="1:26" ht="13.5" customHeight="1" x14ac:dyDescent="0.3">
      <c r="A2188" s="17" t="s">
        <v>652</v>
      </c>
      <c r="B2188" s="17">
        <f t="shared" si="116"/>
        <v>5</v>
      </c>
      <c r="C2188" s="17">
        <f t="shared" si="117"/>
        <v>14</v>
      </c>
      <c r="D2188" s="17"/>
      <c r="E2188" s="17">
        <f t="shared" si="118"/>
        <v>65919</v>
      </c>
      <c r="F2188" s="17">
        <f t="shared" ca="1" si="1"/>
        <v>2003</v>
      </c>
      <c r="G2188" s="17">
        <f t="shared" ca="1" si="119"/>
        <v>10990</v>
      </c>
      <c r="H2188" s="30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</row>
    <row r="2189" spans="1:26" ht="13.5" customHeight="1" x14ac:dyDescent="0.3">
      <c r="A2189" s="17" t="s">
        <v>652</v>
      </c>
      <c r="B2189" s="17">
        <f t="shared" si="116"/>
        <v>5</v>
      </c>
      <c r="C2189" s="17">
        <f t="shared" si="117"/>
        <v>15</v>
      </c>
      <c r="D2189" s="17"/>
      <c r="E2189" s="17">
        <f t="shared" si="118"/>
        <v>65919</v>
      </c>
      <c r="F2189" s="17">
        <f t="shared" ca="1" si="1"/>
        <v>2003</v>
      </c>
      <c r="G2189" s="17">
        <f t="shared" ca="1" si="119"/>
        <v>10991</v>
      </c>
      <c r="H2189" s="3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</row>
    <row r="2190" spans="1:26" ht="13.5" customHeight="1" x14ac:dyDescent="0.3">
      <c r="A2190" s="17" t="s">
        <v>652</v>
      </c>
      <c r="B2190" s="17">
        <f t="shared" si="116"/>
        <v>5</v>
      </c>
      <c r="C2190" s="17">
        <f t="shared" si="117"/>
        <v>16</v>
      </c>
      <c r="D2190" s="17"/>
      <c r="E2190" s="17">
        <f t="shared" si="118"/>
        <v>65919</v>
      </c>
      <c r="F2190" s="17">
        <f t="shared" ca="1" si="1"/>
        <v>2003</v>
      </c>
      <c r="G2190" s="17">
        <f t="shared" ca="1" si="119"/>
        <v>10992</v>
      </c>
      <c r="H2190" s="31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</row>
    <row r="2191" spans="1:26" ht="13.5" customHeight="1" x14ac:dyDescent="0.3">
      <c r="A2191" s="17" t="s">
        <v>652</v>
      </c>
      <c r="B2191" s="17">
        <f t="shared" si="116"/>
        <v>5</v>
      </c>
      <c r="C2191" s="17">
        <f t="shared" si="117"/>
        <v>17</v>
      </c>
      <c r="D2191" s="17"/>
      <c r="E2191" s="17">
        <f t="shared" si="118"/>
        <v>65919</v>
      </c>
      <c r="F2191" s="17">
        <f t="shared" ca="1" si="1"/>
        <v>2003</v>
      </c>
      <c r="G2191" s="17">
        <f t="shared" ca="1" si="119"/>
        <v>10993</v>
      </c>
      <c r="H2191" s="30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</row>
    <row r="2192" spans="1:26" ht="13.5" customHeight="1" x14ac:dyDescent="0.3">
      <c r="A2192" s="17" t="s">
        <v>652</v>
      </c>
      <c r="B2192" s="17">
        <f t="shared" si="116"/>
        <v>5</v>
      </c>
      <c r="C2192" s="17">
        <f t="shared" si="117"/>
        <v>18</v>
      </c>
      <c r="D2192" s="17"/>
      <c r="E2192" s="17">
        <f t="shared" si="118"/>
        <v>65919</v>
      </c>
      <c r="F2192" s="17">
        <f t="shared" ca="1" si="1"/>
        <v>2003</v>
      </c>
      <c r="G2192" s="17">
        <f t="shared" ca="1" si="119"/>
        <v>11005</v>
      </c>
      <c r="H2192" s="3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NA</v>
      </c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</row>
    <row r="2193" spans="1:26" ht="13.5" customHeight="1" x14ac:dyDescent="0.3">
      <c r="A2193" s="17" t="s">
        <v>652</v>
      </c>
      <c r="B2193" s="17">
        <f t="shared" si="116"/>
        <v>5</v>
      </c>
      <c r="C2193" s="17">
        <f t="shared" si="117"/>
        <v>19</v>
      </c>
      <c r="D2193" s="17"/>
      <c r="E2193" s="17">
        <f t="shared" si="118"/>
        <v>65919</v>
      </c>
      <c r="F2193" s="17">
        <f t="shared" ca="1" si="1"/>
        <v>2003</v>
      </c>
      <c r="G2193" s="17">
        <f t="shared" ca="1" si="119"/>
        <v>10988</v>
      </c>
      <c r="H2193" s="3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 xml:space="preserve"> </v>
      </c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</row>
    <row r="2194" spans="1:26" ht="13.5" customHeight="1" x14ac:dyDescent="0.3">
      <c r="A2194" s="17" t="s">
        <v>652</v>
      </c>
      <c r="B2194" s="17">
        <f t="shared" si="116"/>
        <v>5</v>
      </c>
      <c r="C2194" s="17">
        <f t="shared" si="117"/>
        <v>20</v>
      </c>
      <c r="D2194" s="17"/>
      <c r="E2194" s="17">
        <f t="shared" si="118"/>
        <v>65919</v>
      </c>
      <c r="F2194" s="17">
        <f t="shared" ca="1" si="1"/>
        <v>2003</v>
      </c>
      <c r="G2194" s="17">
        <f t="shared" ca="1" si="119"/>
        <v>10996</v>
      </c>
      <c r="H2194" s="3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595857604</v>
      </c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</row>
    <row r="2195" spans="1:26" ht="13.5" customHeight="1" x14ac:dyDescent="0.3">
      <c r="A2195" s="17" t="s">
        <v>652</v>
      </c>
      <c r="B2195" s="17">
        <f t="shared" si="116"/>
        <v>5</v>
      </c>
      <c r="C2195" s="17">
        <f t="shared" si="117"/>
        <v>21</v>
      </c>
      <c r="D2195" s="17"/>
      <c r="E2195" s="17">
        <f t="shared" si="118"/>
        <v>65919</v>
      </c>
      <c r="F2195" s="17">
        <f t="shared" ca="1" si="1"/>
        <v>2003</v>
      </c>
      <c r="G2195" s="17">
        <f t="shared" ca="1" si="119"/>
        <v>10997</v>
      </c>
      <c r="H2195" s="31" t="str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 xml:space="preserve"> </v>
      </c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</row>
    <row r="2196" spans="1:26" ht="13.5" customHeight="1" x14ac:dyDescent="0.3">
      <c r="A2196" s="17" t="s">
        <v>652</v>
      </c>
      <c r="B2196" s="17">
        <f t="shared" si="116"/>
        <v>5</v>
      </c>
      <c r="C2196" s="17">
        <f t="shared" si="117"/>
        <v>22</v>
      </c>
      <c r="D2196" s="17"/>
      <c r="E2196" s="17">
        <f t="shared" si="118"/>
        <v>65919</v>
      </c>
      <c r="F2196" s="17">
        <f t="shared" ca="1" si="1"/>
        <v>2003</v>
      </c>
      <c r="G2196" s="17">
        <f t="shared" ca="1" si="119"/>
        <v>10980</v>
      </c>
      <c r="H2196" s="3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</row>
    <row r="2197" spans="1:26" ht="13.5" customHeight="1" x14ac:dyDescent="0.3">
      <c r="A2197" s="17" t="s">
        <v>652</v>
      </c>
      <c r="B2197" s="17">
        <f t="shared" si="116"/>
        <v>5</v>
      </c>
      <c r="C2197" s="17">
        <f t="shared" si="117"/>
        <v>23</v>
      </c>
      <c r="D2197" s="17"/>
      <c r="E2197" s="17">
        <f t="shared" si="118"/>
        <v>65919</v>
      </c>
      <c r="F2197" s="17">
        <f t="shared" ca="1" si="1"/>
        <v>2003</v>
      </c>
      <c r="G2197" s="17">
        <f t="shared" ca="1" si="119"/>
        <v>10981</v>
      </c>
      <c r="H2197" s="31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</v>
      </c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</row>
    <row r="2198" spans="1:26" ht="13.5" customHeight="1" x14ac:dyDescent="0.3">
      <c r="A2198" s="17" t="s">
        <v>652</v>
      </c>
      <c r="B2198" s="17">
        <f t="shared" si="116"/>
        <v>5</v>
      </c>
      <c r="C2198" s="17">
        <f t="shared" si="117"/>
        <v>24</v>
      </c>
      <c r="D2198" s="17"/>
      <c r="E2198" s="17">
        <f t="shared" si="118"/>
        <v>65919</v>
      </c>
      <c r="F2198" s="17">
        <f t="shared" ca="1" si="1"/>
        <v>2003</v>
      </c>
      <c r="G2198" s="17">
        <f t="shared" ca="1" si="119"/>
        <v>10998</v>
      </c>
      <c r="H2198" s="30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-46000000</v>
      </c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</row>
    <row r="2199" spans="1:26" ht="13.5" customHeight="1" x14ac:dyDescent="0.3">
      <c r="A2199" s="17" t="s">
        <v>652</v>
      </c>
      <c r="B2199" s="17">
        <f t="shared" si="116"/>
        <v>5</v>
      </c>
      <c r="C2199" s="17">
        <f t="shared" si="117"/>
        <v>25</v>
      </c>
      <c r="D2199" s="17"/>
      <c r="E2199" s="17">
        <f t="shared" si="118"/>
        <v>65919</v>
      </c>
      <c r="F2199" s="17">
        <f t="shared" ca="1" si="1"/>
        <v>2003</v>
      </c>
      <c r="G2199" s="17">
        <f t="shared" ca="1" si="119"/>
        <v>10999</v>
      </c>
      <c r="H2199" s="30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24046946</v>
      </c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</row>
    <row r="2200" spans="1:26" ht="13.5" customHeight="1" x14ac:dyDescent="0.3">
      <c r="A2200" s="17" t="s">
        <v>652</v>
      </c>
      <c r="B2200" s="17">
        <f t="shared" si="116"/>
        <v>5</v>
      </c>
      <c r="C2200" s="17">
        <f t="shared" si="117"/>
        <v>26</v>
      </c>
      <c r="D2200" s="17"/>
      <c r="E2200" s="17">
        <f t="shared" si="118"/>
        <v>65919</v>
      </c>
      <c r="F2200" s="17">
        <f t="shared" ca="1" si="1"/>
        <v>2003</v>
      </c>
      <c r="G2200" s="17">
        <f t="shared" ca="1" si="119"/>
        <v>11000</v>
      </c>
      <c r="H2200" s="30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220762</v>
      </c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</row>
    <row r="2201" spans="1:26" ht="13.5" customHeight="1" x14ac:dyDescent="0.3">
      <c r="A2201" s="17" t="s">
        <v>652</v>
      </c>
      <c r="B2201" s="17">
        <f t="shared" si="116"/>
        <v>5</v>
      </c>
      <c r="C2201" s="17">
        <f t="shared" si="117"/>
        <v>27</v>
      </c>
      <c r="D2201" s="17"/>
      <c r="E2201" s="17">
        <f t="shared" si="118"/>
        <v>65919</v>
      </c>
      <c r="F2201" s="17">
        <f t="shared" ca="1" si="1"/>
        <v>2003</v>
      </c>
      <c r="G2201" s="17">
        <f t="shared" ca="1" si="119"/>
        <v>11001</v>
      </c>
      <c r="H2201" s="3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377870</v>
      </c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</row>
    <row r="2202" spans="1:26" ht="13.5" customHeight="1" x14ac:dyDescent="0.3">
      <c r="A2202" s="17" t="s">
        <v>652</v>
      </c>
      <c r="B2202" s="17">
        <f t="shared" si="116"/>
        <v>5</v>
      </c>
      <c r="C2202" s="17">
        <f t="shared" si="117"/>
        <v>28</v>
      </c>
      <c r="D2202" s="17"/>
      <c r="E2202" s="17">
        <f t="shared" si="118"/>
        <v>65919</v>
      </c>
      <c r="F2202" s="17">
        <f t="shared" ca="1" si="1"/>
        <v>2003</v>
      </c>
      <c r="G2202" s="17">
        <f t="shared" ca="1" si="119"/>
        <v>11002</v>
      </c>
      <c r="H2202" s="30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22936</v>
      </c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</row>
    <row r="2203" spans="1:26" ht="13.5" customHeight="1" x14ac:dyDescent="0.3">
      <c r="A2203" s="17" t="s">
        <v>652</v>
      </c>
      <c r="B2203" s="17">
        <f t="shared" si="116"/>
        <v>5</v>
      </c>
      <c r="C2203" s="17">
        <f t="shared" si="117"/>
        <v>29</v>
      </c>
      <c r="D2203" s="17"/>
      <c r="E2203" s="17">
        <f t="shared" si="118"/>
        <v>65919</v>
      </c>
      <c r="F2203" s="17">
        <f t="shared" ca="1" si="1"/>
        <v>2003</v>
      </c>
      <c r="G2203" s="17">
        <f t="shared" ca="1" si="119"/>
        <v>11003</v>
      </c>
      <c r="H2203" s="3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24668514</v>
      </c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</row>
    <row r="2204" spans="1:26" ht="13.5" customHeight="1" x14ac:dyDescent="0.3">
      <c r="A2204" s="17" t="s">
        <v>652</v>
      </c>
      <c r="B2204" s="17">
        <f t="shared" si="116"/>
        <v>6</v>
      </c>
      <c r="C2204" s="17">
        <f t="shared" si="117"/>
        <v>3</v>
      </c>
      <c r="D2204" s="17"/>
      <c r="E2204" s="17">
        <f t="shared" si="118"/>
        <v>65919</v>
      </c>
      <c r="F2204" s="17">
        <f t="shared" ca="1" si="1"/>
        <v>2004</v>
      </c>
      <c r="G2204" s="17">
        <f t="shared" ca="1" si="119"/>
        <v>10982</v>
      </c>
      <c r="H2204" s="29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No</v>
      </c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</row>
    <row r="2205" spans="1:26" ht="13.5" customHeight="1" x14ac:dyDescent="0.3">
      <c r="A2205" s="17" t="s">
        <v>652</v>
      </c>
      <c r="B2205" s="17">
        <f t="shared" si="116"/>
        <v>6</v>
      </c>
      <c r="C2205" s="17">
        <f t="shared" si="117"/>
        <v>4</v>
      </c>
      <c r="D2205" s="17"/>
      <c r="E2205" s="17">
        <f t="shared" si="118"/>
        <v>65919</v>
      </c>
      <c r="F2205" s="17">
        <f t="shared" ca="1" si="1"/>
        <v>2004</v>
      </c>
      <c r="G2205" s="17">
        <f t="shared" ca="1" si="119"/>
        <v>10984</v>
      </c>
      <c r="H2205" s="30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2600000</v>
      </c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</row>
    <row r="2206" spans="1:26" ht="13.5" customHeight="1" x14ac:dyDescent="0.3">
      <c r="A2206" s="17" t="s">
        <v>652</v>
      </c>
      <c r="B2206" s="17">
        <f t="shared" si="116"/>
        <v>6</v>
      </c>
      <c r="C2206" s="17">
        <f t="shared" si="117"/>
        <v>5</v>
      </c>
      <c r="D2206" s="17"/>
      <c r="E2206" s="17">
        <f t="shared" si="118"/>
        <v>65919</v>
      </c>
      <c r="F2206" s="17">
        <f t="shared" ca="1" si="1"/>
        <v>2004</v>
      </c>
      <c r="G2206" s="17">
        <f t="shared" ca="1" si="119"/>
        <v>10985</v>
      </c>
      <c r="H2206" s="30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</row>
    <row r="2207" spans="1:26" ht="13.5" customHeight="1" x14ac:dyDescent="0.3">
      <c r="A2207" s="17" t="s">
        <v>652</v>
      </c>
      <c r="B2207" s="17">
        <f t="shared" si="116"/>
        <v>6</v>
      </c>
      <c r="C2207" s="17">
        <f t="shared" si="117"/>
        <v>6</v>
      </c>
      <c r="D2207" s="17"/>
      <c r="E2207" s="17">
        <f t="shared" si="118"/>
        <v>65919</v>
      </c>
      <c r="F2207" s="17">
        <f t="shared" ca="1" si="1"/>
        <v>2004</v>
      </c>
      <c r="G2207" s="17">
        <f t="shared" ca="1" si="119"/>
        <v>10986</v>
      </c>
      <c r="H2207" s="30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2600000</v>
      </c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</row>
    <row r="2208" spans="1:26" ht="13.5" customHeight="1" x14ac:dyDescent="0.3">
      <c r="A2208" s="17" t="s">
        <v>652</v>
      </c>
      <c r="B2208" s="17">
        <f t="shared" si="116"/>
        <v>6</v>
      </c>
      <c r="C2208" s="17">
        <f t="shared" si="117"/>
        <v>7</v>
      </c>
      <c r="D2208" s="17"/>
      <c r="E2208" s="17">
        <f t="shared" si="118"/>
        <v>65919</v>
      </c>
      <c r="F2208" s="17">
        <f t="shared" ca="1" si="1"/>
        <v>2004</v>
      </c>
      <c r="G2208" s="17">
        <f t="shared" ca="1" si="119"/>
        <v>10974</v>
      </c>
      <c r="H2208" s="29" t="str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Aggregate</v>
      </c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</row>
    <row r="2209" spans="1:26" ht="13.5" customHeight="1" x14ac:dyDescent="0.3">
      <c r="A2209" s="17" t="s">
        <v>652</v>
      </c>
      <c r="B2209" s="17">
        <f t="shared" si="116"/>
        <v>6</v>
      </c>
      <c r="C2209" s="17">
        <f t="shared" si="117"/>
        <v>8</v>
      </c>
      <c r="D2209" s="17"/>
      <c r="E2209" s="17">
        <f t="shared" si="118"/>
        <v>65919</v>
      </c>
      <c r="F2209" s="17">
        <f t="shared" ca="1" si="1"/>
        <v>2004</v>
      </c>
      <c r="G2209" s="17">
        <f t="shared" ca="1" si="119"/>
        <v>10987</v>
      </c>
      <c r="H2209" s="31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</row>
    <row r="2210" spans="1:26" ht="13.5" customHeight="1" x14ac:dyDescent="0.3">
      <c r="A2210" s="17" t="s">
        <v>652</v>
      </c>
      <c r="B2210" s="17">
        <f t="shared" si="116"/>
        <v>6</v>
      </c>
      <c r="C2210" s="17">
        <f t="shared" si="117"/>
        <v>9</v>
      </c>
      <c r="D2210" s="17"/>
      <c r="E2210" s="17">
        <f t="shared" si="118"/>
        <v>65919</v>
      </c>
      <c r="F2210" s="17">
        <f t="shared" ca="1" si="1"/>
        <v>2004</v>
      </c>
      <c r="G2210" s="17">
        <f t="shared" ca="1" si="119"/>
        <v>10885</v>
      </c>
      <c r="H2210" s="29" t="str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NA</v>
      </c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</row>
    <row r="2211" spans="1:26" ht="13.5" customHeight="1" x14ac:dyDescent="0.3">
      <c r="A2211" s="17" t="s">
        <v>652</v>
      </c>
      <c r="B2211" s="17">
        <f t="shared" si="116"/>
        <v>6</v>
      </c>
      <c r="C2211" s="17">
        <f t="shared" si="117"/>
        <v>10</v>
      </c>
      <c r="D2211" s="17"/>
      <c r="E2211" s="17">
        <f t="shared" si="118"/>
        <v>65919</v>
      </c>
      <c r="F2211" s="17">
        <f t="shared" ca="1" si="1"/>
        <v>2004</v>
      </c>
      <c r="G2211" s="17">
        <f t="shared" ca="1" si="119"/>
        <v>10886</v>
      </c>
      <c r="H2211" s="2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NA</v>
      </c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</row>
    <row r="2212" spans="1:26" ht="13.5" customHeight="1" x14ac:dyDescent="0.3">
      <c r="A2212" s="17" t="s">
        <v>652</v>
      </c>
      <c r="B2212" s="17">
        <f t="shared" si="116"/>
        <v>6</v>
      </c>
      <c r="C2212" s="17">
        <f t="shared" si="117"/>
        <v>11</v>
      </c>
      <c r="D2212" s="17"/>
      <c r="E2212" s="17">
        <f t="shared" si="118"/>
        <v>65919</v>
      </c>
      <c r="F2212" s="17">
        <f t="shared" ca="1" si="1"/>
        <v>2004</v>
      </c>
      <c r="G2212" s="17">
        <f t="shared" ca="1" si="119"/>
        <v>10887</v>
      </c>
      <c r="H2212" s="29" t="str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NA</v>
      </c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</row>
    <row r="2213" spans="1:26" ht="13.5" customHeight="1" x14ac:dyDescent="0.3">
      <c r="A2213" s="17" t="s">
        <v>652</v>
      </c>
      <c r="B2213" s="17">
        <f t="shared" si="116"/>
        <v>6</v>
      </c>
      <c r="C2213" s="17">
        <f t="shared" si="117"/>
        <v>12</v>
      </c>
      <c r="D2213" s="17"/>
      <c r="E2213" s="17">
        <f t="shared" si="118"/>
        <v>65919</v>
      </c>
      <c r="F2213" s="17">
        <f t="shared" ca="1" si="1"/>
        <v>2004</v>
      </c>
      <c r="G2213" s="17">
        <f t="shared" ca="1" si="119"/>
        <v>10883</v>
      </c>
      <c r="H2213" s="29" t="str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NA</v>
      </c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</row>
    <row r="2214" spans="1:26" ht="13.5" customHeight="1" x14ac:dyDescent="0.3">
      <c r="A2214" s="17" t="s">
        <v>652</v>
      </c>
      <c r="B2214" s="17">
        <f t="shared" si="116"/>
        <v>6</v>
      </c>
      <c r="C2214" s="17">
        <f t="shared" si="117"/>
        <v>13</v>
      </c>
      <c r="D2214" s="17"/>
      <c r="E2214" s="17">
        <f t="shared" si="118"/>
        <v>65919</v>
      </c>
      <c r="F2214" s="17">
        <f t="shared" ca="1" si="1"/>
        <v>2004</v>
      </c>
      <c r="G2214" s="17">
        <f t="shared" ca="1" si="119"/>
        <v>10989</v>
      </c>
      <c r="H2214" s="3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0</v>
      </c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</row>
    <row r="2215" spans="1:26" ht="13.5" customHeight="1" x14ac:dyDescent="0.3">
      <c r="A2215" s="17" t="s">
        <v>652</v>
      </c>
      <c r="B2215" s="17">
        <f t="shared" si="116"/>
        <v>6</v>
      </c>
      <c r="C2215" s="17">
        <f t="shared" si="117"/>
        <v>14</v>
      </c>
      <c r="D2215" s="17"/>
      <c r="E2215" s="17">
        <f t="shared" si="118"/>
        <v>65919</v>
      </c>
      <c r="F2215" s="17">
        <f t="shared" ca="1" si="1"/>
        <v>2004</v>
      </c>
      <c r="G2215" s="17">
        <f t="shared" ca="1" si="119"/>
        <v>10990</v>
      </c>
      <c r="H2215" s="30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</row>
    <row r="2216" spans="1:26" ht="13.5" customHeight="1" x14ac:dyDescent="0.3">
      <c r="A2216" s="17" t="s">
        <v>652</v>
      </c>
      <c r="B2216" s="17">
        <f t="shared" si="116"/>
        <v>6</v>
      </c>
      <c r="C2216" s="17">
        <f t="shared" si="117"/>
        <v>15</v>
      </c>
      <c r="D2216" s="17"/>
      <c r="E2216" s="17">
        <f t="shared" si="118"/>
        <v>65919</v>
      </c>
      <c r="F2216" s="17">
        <f t="shared" ca="1" si="1"/>
        <v>2004</v>
      </c>
      <c r="G2216" s="17">
        <f t="shared" ca="1" si="119"/>
        <v>10991</v>
      </c>
      <c r="H2216" s="3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0</v>
      </c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</row>
    <row r="2217" spans="1:26" ht="13.5" customHeight="1" x14ac:dyDescent="0.3">
      <c r="A2217" s="17" t="s">
        <v>652</v>
      </c>
      <c r="B2217" s="17">
        <f t="shared" si="116"/>
        <v>6</v>
      </c>
      <c r="C2217" s="17">
        <f t="shared" si="117"/>
        <v>16</v>
      </c>
      <c r="D2217" s="17"/>
      <c r="E2217" s="17">
        <f t="shared" si="118"/>
        <v>65919</v>
      </c>
      <c r="F2217" s="17">
        <f t="shared" ca="1" si="1"/>
        <v>2004</v>
      </c>
      <c r="G2217" s="17">
        <f t="shared" ca="1" si="119"/>
        <v>10992</v>
      </c>
      <c r="H2217" s="3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0</v>
      </c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</row>
    <row r="2218" spans="1:26" ht="13.5" customHeight="1" x14ac:dyDescent="0.3">
      <c r="A2218" s="17" t="s">
        <v>652</v>
      </c>
      <c r="B2218" s="17">
        <f t="shared" si="116"/>
        <v>6</v>
      </c>
      <c r="C2218" s="17">
        <f t="shared" si="117"/>
        <v>17</v>
      </c>
      <c r="D2218" s="17"/>
      <c r="E2218" s="17">
        <f t="shared" si="118"/>
        <v>65919</v>
      </c>
      <c r="F2218" s="17">
        <f t="shared" ca="1" si="1"/>
        <v>2004</v>
      </c>
      <c r="G2218" s="17">
        <f t="shared" ca="1" si="119"/>
        <v>10993</v>
      </c>
      <c r="H2218" s="3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0</v>
      </c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</row>
    <row r="2219" spans="1:26" ht="13.5" customHeight="1" x14ac:dyDescent="0.3">
      <c r="A2219" s="17" t="s">
        <v>652</v>
      </c>
      <c r="B2219" s="17">
        <f t="shared" si="116"/>
        <v>6</v>
      </c>
      <c r="C2219" s="17">
        <f t="shared" si="117"/>
        <v>18</v>
      </c>
      <c r="D2219" s="17"/>
      <c r="E2219" s="17">
        <f t="shared" si="118"/>
        <v>65919</v>
      </c>
      <c r="F2219" s="17">
        <f t="shared" ca="1" si="1"/>
        <v>2004</v>
      </c>
      <c r="G2219" s="17">
        <f t="shared" ca="1" si="119"/>
        <v>11005</v>
      </c>
      <c r="H2219" s="31" t="str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NA</v>
      </c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</row>
    <row r="2220" spans="1:26" ht="13.5" customHeight="1" x14ac:dyDescent="0.3">
      <c r="A2220" s="17" t="s">
        <v>652</v>
      </c>
      <c r="B2220" s="17">
        <f t="shared" si="116"/>
        <v>6</v>
      </c>
      <c r="C2220" s="17">
        <f t="shared" si="117"/>
        <v>19</v>
      </c>
      <c r="D2220" s="17"/>
      <c r="E2220" s="17">
        <f t="shared" si="118"/>
        <v>65919</v>
      </c>
      <c r="F2220" s="17">
        <f t="shared" ca="1" si="1"/>
        <v>2004</v>
      </c>
      <c r="G2220" s="17">
        <f t="shared" ca="1" si="119"/>
        <v>10988</v>
      </c>
      <c r="H2220" s="31" t="str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 xml:space="preserve"> </v>
      </c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</row>
    <row r="2221" spans="1:26" ht="13.5" customHeight="1" x14ac:dyDescent="0.3">
      <c r="A2221" s="17" t="s">
        <v>652</v>
      </c>
      <c r="B2221" s="17">
        <f t="shared" si="116"/>
        <v>6</v>
      </c>
      <c r="C2221" s="17">
        <f t="shared" si="117"/>
        <v>20</v>
      </c>
      <c r="D2221" s="17"/>
      <c r="E2221" s="17">
        <f t="shared" si="118"/>
        <v>65919</v>
      </c>
      <c r="F2221" s="17">
        <f t="shared" ca="1" si="1"/>
        <v>2004</v>
      </c>
      <c r="G2221" s="17">
        <f t="shared" ca="1" si="119"/>
        <v>10996</v>
      </c>
      <c r="H2221" s="3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664116000</v>
      </c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</row>
    <row r="2222" spans="1:26" ht="13.5" customHeight="1" x14ac:dyDescent="0.3">
      <c r="A2222" s="17" t="s">
        <v>652</v>
      </c>
      <c r="B2222" s="17">
        <f t="shared" si="116"/>
        <v>6</v>
      </c>
      <c r="C2222" s="17">
        <f t="shared" si="117"/>
        <v>21</v>
      </c>
      <c r="D2222" s="17"/>
      <c r="E2222" s="17">
        <f t="shared" si="118"/>
        <v>65919</v>
      </c>
      <c r="F2222" s="17">
        <f t="shared" ca="1" si="1"/>
        <v>2004</v>
      </c>
      <c r="G2222" s="17">
        <f t="shared" ca="1" si="119"/>
        <v>10997</v>
      </c>
      <c r="H2222" s="31" t="str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 xml:space="preserve"> </v>
      </c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</row>
    <row r="2223" spans="1:26" ht="13.5" customHeight="1" x14ac:dyDescent="0.3">
      <c r="A2223" s="17" t="s">
        <v>652</v>
      </c>
      <c r="B2223" s="17">
        <f t="shared" si="116"/>
        <v>6</v>
      </c>
      <c r="C2223" s="17">
        <f t="shared" si="117"/>
        <v>22</v>
      </c>
      <c r="D2223" s="17"/>
      <c r="E2223" s="17">
        <f t="shared" si="118"/>
        <v>65919</v>
      </c>
      <c r="F2223" s="17">
        <f t="shared" ca="1" si="1"/>
        <v>2004</v>
      </c>
      <c r="G2223" s="17">
        <f t="shared" ca="1" si="119"/>
        <v>10980</v>
      </c>
      <c r="H2223" s="3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</row>
    <row r="2224" spans="1:26" ht="13.5" customHeight="1" x14ac:dyDescent="0.3">
      <c r="A2224" s="17" t="s">
        <v>652</v>
      </c>
      <c r="B2224" s="17">
        <f t="shared" si="116"/>
        <v>6</v>
      </c>
      <c r="C2224" s="17">
        <f t="shared" si="117"/>
        <v>23</v>
      </c>
      <c r="D2224" s="17"/>
      <c r="E2224" s="17">
        <f t="shared" si="118"/>
        <v>65919</v>
      </c>
      <c r="F2224" s="17">
        <f t="shared" ca="1" si="1"/>
        <v>2004</v>
      </c>
      <c r="G2224" s="17">
        <f t="shared" ca="1" si="119"/>
        <v>10981</v>
      </c>
      <c r="H2224" s="3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</row>
    <row r="2225" spans="1:26" ht="13.5" customHeight="1" x14ac:dyDescent="0.3">
      <c r="A2225" s="17" t="s">
        <v>652</v>
      </c>
      <c r="B2225" s="17">
        <f t="shared" si="116"/>
        <v>6</v>
      </c>
      <c r="C2225" s="17">
        <f t="shared" si="117"/>
        <v>24</v>
      </c>
      <c r="D2225" s="17"/>
      <c r="E2225" s="17">
        <f t="shared" si="118"/>
        <v>65919</v>
      </c>
      <c r="F2225" s="17">
        <f t="shared" ca="1" si="1"/>
        <v>2004</v>
      </c>
      <c r="G2225" s="17">
        <f t="shared" ca="1" si="119"/>
        <v>10998</v>
      </c>
      <c r="H2225" s="3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-8500000</v>
      </c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</row>
    <row r="2226" spans="1:26" ht="13.5" customHeight="1" x14ac:dyDescent="0.3">
      <c r="A2226" s="17" t="s">
        <v>652</v>
      </c>
      <c r="B2226" s="17">
        <f t="shared" si="116"/>
        <v>6</v>
      </c>
      <c r="C2226" s="17">
        <f t="shared" si="117"/>
        <v>25</v>
      </c>
      <c r="D2226" s="17"/>
      <c r="E2226" s="17">
        <f t="shared" si="118"/>
        <v>65919</v>
      </c>
      <c r="F2226" s="17">
        <f t="shared" ca="1" si="1"/>
        <v>2004</v>
      </c>
      <c r="G2226" s="17">
        <f t="shared" ca="1" si="119"/>
        <v>10999</v>
      </c>
      <c r="H2226" s="3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25724000</v>
      </c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</row>
    <row r="2227" spans="1:26" ht="13.5" customHeight="1" x14ac:dyDescent="0.3">
      <c r="A2227" s="17" t="s">
        <v>652</v>
      </c>
      <c r="B2227" s="17">
        <f t="shared" si="116"/>
        <v>6</v>
      </c>
      <c r="C2227" s="17">
        <f t="shared" si="117"/>
        <v>26</v>
      </c>
      <c r="D2227" s="17"/>
      <c r="E2227" s="17">
        <f t="shared" si="118"/>
        <v>65919</v>
      </c>
      <c r="F2227" s="17">
        <f t="shared" ca="1" si="1"/>
        <v>2004</v>
      </c>
      <c r="G2227" s="17">
        <f t="shared" ca="1" si="119"/>
        <v>11000</v>
      </c>
      <c r="H2227" s="3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303000</v>
      </c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</row>
    <row r="2228" spans="1:26" ht="13.5" customHeight="1" x14ac:dyDescent="0.3">
      <c r="A2228" s="17" t="s">
        <v>652</v>
      </c>
      <c r="B2228" s="17">
        <f t="shared" si="116"/>
        <v>6</v>
      </c>
      <c r="C2228" s="17">
        <f t="shared" si="117"/>
        <v>27</v>
      </c>
      <c r="D2228" s="17"/>
      <c r="E2228" s="17">
        <f t="shared" si="118"/>
        <v>65919</v>
      </c>
      <c r="F2228" s="17">
        <f t="shared" ca="1" si="1"/>
        <v>2004</v>
      </c>
      <c r="G2228" s="17">
        <f t="shared" ca="1" si="119"/>
        <v>11001</v>
      </c>
      <c r="H2228" s="3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347000</v>
      </c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</row>
    <row r="2229" spans="1:26" ht="13.5" customHeight="1" x14ac:dyDescent="0.3">
      <c r="A2229" s="17" t="s">
        <v>652</v>
      </c>
      <c r="B2229" s="17">
        <f t="shared" si="116"/>
        <v>6</v>
      </c>
      <c r="C2229" s="17">
        <f t="shared" si="117"/>
        <v>28</v>
      </c>
      <c r="D2229" s="17"/>
      <c r="E2229" s="17">
        <f t="shared" si="118"/>
        <v>65919</v>
      </c>
      <c r="F2229" s="17">
        <f t="shared" ca="1" si="1"/>
        <v>2004</v>
      </c>
      <c r="G2229" s="17">
        <f t="shared" ca="1" si="119"/>
        <v>11002</v>
      </c>
      <c r="H2229" s="3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</row>
    <row r="2230" spans="1:26" ht="13.5" customHeight="1" x14ac:dyDescent="0.3">
      <c r="A2230" s="17" t="s">
        <v>652</v>
      </c>
      <c r="B2230" s="17">
        <f t="shared" si="116"/>
        <v>6</v>
      </c>
      <c r="C2230" s="17">
        <f t="shared" si="117"/>
        <v>29</v>
      </c>
      <c r="D2230" s="17"/>
      <c r="E2230" s="17">
        <f t="shared" si="118"/>
        <v>65919</v>
      </c>
      <c r="F2230" s="17">
        <f t="shared" ca="1" si="1"/>
        <v>2004</v>
      </c>
      <c r="G2230" s="17">
        <f t="shared" ca="1" si="119"/>
        <v>11003</v>
      </c>
      <c r="H2230" s="3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26374000</v>
      </c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</row>
    <row r="2231" spans="1:26" ht="13.5" customHeight="1" x14ac:dyDescent="0.3">
      <c r="A2231" s="17" t="s">
        <v>652</v>
      </c>
      <c r="B2231" s="17">
        <f t="shared" si="116"/>
        <v>7</v>
      </c>
      <c r="C2231" s="17">
        <f t="shared" si="117"/>
        <v>3</v>
      </c>
      <c r="D2231" s="17"/>
      <c r="E2231" s="17">
        <f t="shared" si="118"/>
        <v>65919</v>
      </c>
      <c r="F2231" s="17">
        <f t="shared" ca="1" si="1"/>
        <v>2005</v>
      </c>
      <c r="G2231" s="17">
        <f t="shared" ca="1" si="119"/>
        <v>10982</v>
      </c>
      <c r="H2231" s="29" t="str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No</v>
      </c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</row>
    <row r="2232" spans="1:26" ht="13.5" customHeight="1" x14ac:dyDescent="0.3">
      <c r="A2232" s="17" t="s">
        <v>652</v>
      </c>
      <c r="B2232" s="17">
        <f t="shared" si="116"/>
        <v>7</v>
      </c>
      <c r="C2232" s="17">
        <f t="shared" si="117"/>
        <v>4</v>
      </c>
      <c r="D2232" s="17"/>
      <c r="E2232" s="17">
        <f t="shared" si="118"/>
        <v>65919</v>
      </c>
      <c r="F2232" s="17">
        <f t="shared" ca="1" si="1"/>
        <v>2005</v>
      </c>
      <c r="G2232" s="17">
        <f t="shared" ca="1" si="119"/>
        <v>10984</v>
      </c>
      <c r="H2232" s="3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3400000</v>
      </c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</row>
    <row r="2233" spans="1:26" ht="13.5" customHeight="1" x14ac:dyDescent="0.3">
      <c r="A2233" s="17" t="s">
        <v>652</v>
      </c>
      <c r="B2233" s="17">
        <f t="shared" si="116"/>
        <v>7</v>
      </c>
      <c r="C2233" s="17">
        <f t="shared" si="117"/>
        <v>5</v>
      </c>
      <c r="D2233" s="17"/>
      <c r="E2233" s="17">
        <f t="shared" si="118"/>
        <v>65919</v>
      </c>
      <c r="F2233" s="17">
        <f t="shared" ca="1" si="1"/>
        <v>2005</v>
      </c>
      <c r="G2233" s="17">
        <f t="shared" ca="1" si="119"/>
        <v>10985</v>
      </c>
      <c r="H2233" s="3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</row>
    <row r="2234" spans="1:26" ht="13.5" customHeight="1" x14ac:dyDescent="0.3">
      <c r="A2234" s="17" t="s">
        <v>652</v>
      </c>
      <c r="B2234" s="17">
        <f t="shared" si="116"/>
        <v>7</v>
      </c>
      <c r="C2234" s="17">
        <f t="shared" si="117"/>
        <v>6</v>
      </c>
      <c r="D2234" s="17"/>
      <c r="E2234" s="17">
        <f t="shared" si="118"/>
        <v>65919</v>
      </c>
      <c r="F2234" s="17">
        <f t="shared" ca="1" si="1"/>
        <v>2005</v>
      </c>
      <c r="G2234" s="17">
        <f t="shared" ca="1" si="119"/>
        <v>10986</v>
      </c>
      <c r="H2234" s="3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3400000</v>
      </c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</row>
    <row r="2235" spans="1:26" ht="13.5" customHeight="1" x14ac:dyDescent="0.3">
      <c r="A2235" s="17" t="s">
        <v>652</v>
      </c>
      <c r="B2235" s="17">
        <f t="shared" si="116"/>
        <v>7</v>
      </c>
      <c r="C2235" s="17">
        <f t="shared" si="117"/>
        <v>7</v>
      </c>
      <c r="D2235" s="17"/>
      <c r="E2235" s="17">
        <f t="shared" si="118"/>
        <v>65919</v>
      </c>
      <c r="F2235" s="17">
        <f t="shared" ca="1" si="1"/>
        <v>2005</v>
      </c>
      <c r="G2235" s="17">
        <f t="shared" ca="1" si="119"/>
        <v>10974</v>
      </c>
      <c r="H2235" s="29" t="str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Aggregate</v>
      </c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</row>
    <row r="2236" spans="1:26" ht="13.5" customHeight="1" x14ac:dyDescent="0.3">
      <c r="A2236" s="17" t="s">
        <v>652</v>
      </c>
      <c r="B2236" s="17">
        <f t="shared" si="116"/>
        <v>7</v>
      </c>
      <c r="C2236" s="17">
        <f t="shared" si="117"/>
        <v>8</v>
      </c>
      <c r="D2236" s="17"/>
      <c r="E2236" s="17">
        <f t="shared" si="118"/>
        <v>65919</v>
      </c>
      <c r="F2236" s="17">
        <f t="shared" ca="1" si="1"/>
        <v>2005</v>
      </c>
      <c r="G2236" s="17">
        <f t="shared" ca="1" si="119"/>
        <v>10987</v>
      </c>
      <c r="H2236" s="3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</row>
    <row r="2237" spans="1:26" ht="13.5" customHeight="1" x14ac:dyDescent="0.3">
      <c r="A2237" s="17" t="s">
        <v>652</v>
      </c>
      <c r="B2237" s="17">
        <f t="shared" si="116"/>
        <v>7</v>
      </c>
      <c r="C2237" s="17">
        <f t="shared" si="117"/>
        <v>9</v>
      </c>
      <c r="D2237" s="17"/>
      <c r="E2237" s="17">
        <f t="shared" si="118"/>
        <v>65919</v>
      </c>
      <c r="F2237" s="17">
        <f t="shared" ca="1" si="1"/>
        <v>2005</v>
      </c>
      <c r="G2237" s="17">
        <f t="shared" ca="1" si="119"/>
        <v>10885</v>
      </c>
      <c r="H2237" s="29" t="str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NA</v>
      </c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</row>
    <row r="2238" spans="1:26" ht="13.5" customHeight="1" x14ac:dyDescent="0.3">
      <c r="A2238" s="17" t="s">
        <v>652</v>
      </c>
      <c r="B2238" s="17">
        <f t="shared" si="116"/>
        <v>7</v>
      </c>
      <c r="C2238" s="17">
        <f t="shared" si="117"/>
        <v>10</v>
      </c>
      <c r="D2238" s="17"/>
      <c r="E2238" s="17">
        <f t="shared" si="118"/>
        <v>65919</v>
      </c>
      <c r="F2238" s="17">
        <f t="shared" ca="1" si="1"/>
        <v>2005</v>
      </c>
      <c r="G2238" s="17">
        <f t="shared" ca="1" si="119"/>
        <v>10886</v>
      </c>
      <c r="H2238" s="29" t="str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NA</v>
      </c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</row>
    <row r="2239" spans="1:26" ht="13.5" customHeight="1" x14ac:dyDescent="0.3">
      <c r="A2239" s="17" t="s">
        <v>652</v>
      </c>
      <c r="B2239" s="17">
        <f t="shared" si="116"/>
        <v>7</v>
      </c>
      <c r="C2239" s="17">
        <f t="shared" si="117"/>
        <v>11</v>
      </c>
      <c r="D2239" s="17"/>
      <c r="E2239" s="17">
        <f t="shared" si="118"/>
        <v>65919</v>
      </c>
      <c r="F2239" s="17">
        <f t="shared" ca="1" si="1"/>
        <v>2005</v>
      </c>
      <c r="G2239" s="17">
        <f t="shared" ca="1" si="119"/>
        <v>10887</v>
      </c>
      <c r="H2239" s="29" t="str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NA</v>
      </c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</row>
    <row r="2240" spans="1:26" ht="13.5" customHeight="1" x14ac:dyDescent="0.3">
      <c r="A2240" s="17" t="s">
        <v>652</v>
      </c>
      <c r="B2240" s="17">
        <f t="shared" si="116"/>
        <v>7</v>
      </c>
      <c r="C2240" s="17">
        <f t="shared" si="117"/>
        <v>12</v>
      </c>
      <c r="D2240" s="17"/>
      <c r="E2240" s="17">
        <f t="shared" si="118"/>
        <v>65919</v>
      </c>
      <c r="F2240" s="17">
        <f t="shared" ca="1" si="1"/>
        <v>2005</v>
      </c>
      <c r="G2240" s="17">
        <f t="shared" ca="1" si="119"/>
        <v>10883</v>
      </c>
      <c r="H2240" s="29" t="str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NA</v>
      </c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</row>
    <row r="2241" spans="1:26" ht="13.5" customHeight="1" x14ac:dyDescent="0.3">
      <c r="A2241" s="17" t="s">
        <v>652</v>
      </c>
      <c r="B2241" s="17">
        <f t="shared" si="116"/>
        <v>7</v>
      </c>
      <c r="C2241" s="17">
        <f t="shared" si="117"/>
        <v>13</v>
      </c>
      <c r="D2241" s="17"/>
      <c r="E2241" s="17">
        <f t="shared" si="118"/>
        <v>65919</v>
      </c>
      <c r="F2241" s="17">
        <f t="shared" ca="1" si="1"/>
        <v>2005</v>
      </c>
      <c r="G2241" s="17">
        <f t="shared" ca="1" si="119"/>
        <v>10989</v>
      </c>
      <c r="H2241" s="3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694000000</v>
      </c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</row>
    <row r="2242" spans="1:26" ht="13.5" customHeight="1" x14ac:dyDescent="0.3">
      <c r="A2242" s="17" t="s">
        <v>652</v>
      </c>
      <c r="B2242" s="17">
        <f t="shared" si="116"/>
        <v>7</v>
      </c>
      <c r="C2242" s="17">
        <f t="shared" si="117"/>
        <v>14</v>
      </c>
      <c r="D2242" s="17"/>
      <c r="E2242" s="17">
        <f t="shared" si="118"/>
        <v>65919</v>
      </c>
      <c r="F2242" s="17">
        <f t="shared" ca="1" si="1"/>
        <v>2005</v>
      </c>
      <c r="G2242" s="17">
        <f t="shared" ca="1" si="119"/>
        <v>10990</v>
      </c>
      <c r="H2242" s="3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621000000</v>
      </c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</row>
    <row r="2243" spans="1:26" ht="13.5" customHeight="1" x14ac:dyDescent="0.3">
      <c r="A2243" s="17" t="s">
        <v>652</v>
      </c>
      <c r="B2243" s="17">
        <f t="shared" si="116"/>
        <v>7</v>
      </c>
      <c r="C2243" s="17">
        <f t="shared" si="117"/>
        <v>15</v>
      </c>
      <c r="D2243" s="17"/>
      <c r="E2243" s="17">
        <f t="shared" si="118"/>
        <v>65919</v>
      </c>
      <c r="F2243" s="17">
        <f t="shared" ca="1" si="1"/>
        <v>2005</v>
      </c>
      <c r="G2243" s="17">
        <f t="shared" ca="1" si="119"/>
        <v>10991</v>
      </c>
      <c r="H2243" s="3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-73000000</v>
      </c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</row>
    <row r="2244" spans="1:26" ht="13.5" customHeight="1" x14ac:dyDescent="0.3">
      <c r="A2244" s="17" t="s">
        <v>652</v>
      </c>
      <c r="B2244" s="17">
        <f t="shared" si="116"/>
        <v>7</v>
      </c>
      <c r="C2244" s="17">
        <f t="shared" si="117"/>
        <v>16</v>
      </c>
      <c r="D2244" s="17"/>
      <c r="E2244" s="17">
        <f t="shared" ref="E2244:E2307" si="120">plan_id</f>
        <v>65919</v>
      </c>
      <c r="F2244" s="17">
        <f t="shared" ca="1" si="1"/>
        <v>2005</v>
      </c>
      <c r="G2244" s="17">
        <f t="shared" ref="G2244:G2307" ca="1" si="121">VLOOKUP(INDIRECT(CHAR(39)&amp;$A2244&amp;CHAR(39)&amp;"!r2c"&amp;$C2244,0),variables,2,0)</f>
        <v>10992</v>
      </c>
      <c r="H2244" s="3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1.1200000000000001</v>
      </c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</row>
    <row r="2245" spans="1:26" ht="13.5" customHeight="1" x14ac:dyDescent="0.3">
      <c r="A2245" s="17" t="s">
        <v>652</v>
      </c>
      <c r="B2245" s="17">
        <f t="shared" si="116"/>
        <v>7</v>
      </c>
      <c r="C2245" s="17">
        <f t="shared" si="117"/>
        <v>17</v>
      </c>
      <c r="D2245" s="17"/>
      <c r="E2245" s="17">
        <f t="shared" si="120"/>
        <v>65919</v>
      </c>
      <c r="F2245" s="17">
        <f t="shared" ca="1" si="1"/>
        <v>2005</v>
      </c>
      <c r="G2245" s="17">
        <f t="shared" ca="1" si="121"/>
        <v>10993</v>
      </c>
      <c r="H2245" s="3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65000000</v>
      </c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</row>
    <row r="2246" spans="1:26" ht="13.5" customHeight="1" x14ac:dyDescent="0.3">
      <c r="A2246" s="17" t="s">
        <v>652</v>
      </c>
      <c r="B2246" s="17">
        <f t="shared" si="116"/>
        <v>7</v>
      </c>
      <c r="C2246" s="17">
        <f t="shared" si="117"/>
        <v>18</v>
      </c>
      <c r="D2246" s="17"/>
      <c r="E2246" s="17">
        <f t="shared" si="120"/>
        <v>65919</v>
      </c>
      <c r="F2246" s="17">
        <f t="shared" ca="1" si="1"/>
        <v>2005</v>
      </c>
      <c r="G2246" s="17">
        <f t="shared" ca="1" si="121"/>
        <v>11005</v>
      </c>
      <c r="H2246" s="31" t="str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NA</v>
      </c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</row>
    <row r="2247" spans="1:26" ht="13.5" customHeight="1" x14ac:dyDescent="0.3">
      <c r="A2247" s="17" t="s">
        <v>652</v>
      </c>
      <c r="B2247" s="17">
        <f t="shared" si="116"/>
        <v>7</v>
      </c>
      <c r="C2247" s="17">
        <f t="shared" si="117"/>
        <v>19</v>
      </c>
      <c r="D2247" s="17"/>
      <c r="E2247" s="17">
        <f t="shared" si="120"/>
        <v>65919</v>
      </c>
      <c r="F2247" s="17">
        <f t="shared" ca="1" si="1"/>
        <v>2005</v>
      </c>
      <c r="G2247" s="17">
        <f t="shared" ca="1" si="121"/>
        <v>10988</v>
      </c>
      <c r="H2247" s="3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5.2307692307692305E-2</v>
      </c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</row>
    <row r="2248" spans="1:26" ht="13.5" customHeight="1" x14ac:dyDescent="0.3">
      <c r="A2248" s="17" t="s">
        <v>652</v>
      </c>
      <c r="B2248" s="17">
        <f t="shared" si="116"/>
        <v>7</v>
      </c>
      <c r="C2248" s="17">
        <f t="shared" si="117"/>
        <v>20</v>
      </c>
      <c r="D2248" s="17"/>
      <c r="E2248" s="17">
        <f t="shared" si="120"/>
        <v>65919</v>
      </c>
      <c r="F2248" s="17">
        <f t="shared" ca="1" si="1"/>
        <v>2005</v>
      </c>
      <c r="G2248" s="17">
        <f t="shared" ca="1" si="121"/>
        <v>10996</v>
      </c>
      <c r="H2248" s="3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723854000</v>
      </c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</row>
    <row r="2249" spans="1:26" ht="13.5" customHeight="1" x14ac:dyDescent="0.3">
      <c r="A2249" s="17" t="s">
        <v>652</v>
      </c>
      <c r="B2249" s="17">
        <f t="shared" si="116"/>
        <v>7</v>
      </c>
      <c r="C2249" s="17">
        <f t="shared" si="117"/>
        <v>21</v>
      </c>
      <c r="D2249" s="17"/>
      <c r="E2249" s="17">
        <f t="shared" si="120"/>
        <v>65919</v>
      </c>
      <c r="F2249" s="17">
        <f t="shared" ca="1" si="1"/>
        <v>2005</v>
      </c>
      <c r="G2249" s="17">
        <f t="shared" ca="1" si="121"/>
        <v>10997</v>
      </c>
      <c r="H2249" s="3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1.1656264090177133</v>
      </c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</row>
    <row r="2250" spans="1:26" ht="13.5" customHeight="1" x14ac:dyDescent="0.3">
      <c r="A2250" s="17" t="s">
        <v>652</v>
      </c>
      <c r="B2250" s="17">
        <f t="shared" si="116"/>
        <v>7</v>
      </c>
      <c r="C2250" s="17">
        <f t="shared" si="117"/>
        <v>22</v>
      </c>
      <c r="D2250" s="17"/>
      <c r="E2250" s="17">
        <f t="shared" si="120"/>
        <v>65919</v>
      </c>
      <c r="F2250" s="17">
        <f t="shared" ca="1" si="1"/>
        <v>2005</v>
      </c>
      <c r="G2250" s="17">
        <f t="shared" ca="1" si="121"/>
        <v>10980</v>
      </c>
      <c r="H2250" s="3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</row>
    <row r="2251" spans="1:26" ht="13.5" customHeight="1" x14ac:dyDescent="0.3">
      <c r="A2251" s="17" t="s">
        <v>652</v>
      </c>
      <c r="B2251" s="17">
        <f t="shared" si="116"/>
        <v>7</v>
      </c>
      <c r="C2251" s="17">
        <f t="shared" si="117"/>
        <v>23</v>
      </c>
      <c r="D2251" s="17"/>
      <c r="E2251" s="17">
        <f t="shared" si="120"/>
        <v>65919</v>
      </c>
      <c r="F2251" s="17">
        <f t="shared" ca="1" si="1"/>
        <v>2005</v>
      </c>
      <c r="G2251" s="17">
        <f t="shared" ca="1" si="121"/>
        <v>10981</v>
      </c>
      <c r="H2251" s="3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</row>
    <row r="2252" spans="1:26" ht="13.5" customHeight="1" x14ac:dyDescent="0.3">
      <c r="A2252" s="17" t="s">
        <v>652</v>
      </c>
      <c r="B2252" s="17">
        <f t="shared" si="116"/>
        <v>7</v>
      </c>
      <c r="C2252" s="17">
        <f t="shared" si="117"/>
        <v>24</v>
      </c>
      <c r="D2252" s="17"/>
      <c r="E2252" s="17">
        <f t="shared" si="120"/>
        <v>65919</v>
      </c>
      <c r="F2252" s="17">
        <f t="shared" ca="1" si="1"/>
        <v>2005</v>
      </c>
      <c r="G2252" s="17">
        <f t="shared" ca="1" si="121"/>
        <v>10998</v>
      </c>
      <c r="H2252" s="3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11200000</v>
      </c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</row>
    <row r="2253" spans="1:26" ht="13.5" customHeight="1" x14ac:dyDescent="0.3">
      <c r="A2253" s="17" t="s">
        <v>652</v>
      </c>
      <c r="B2253" s="17">
        <f t="shared" si="116"/>
        <v>7</v>
      </c>
      <c r="C2253" s="17">
        <f t="shared" si="117"/>
        <v>25</v>
      </c>
      <c r="D2253" s="17"/>
      <c r="E2253" s="17">
        <f t="shared" si="120"/>
        <v>65919</v>
      </c>
      <c r="F2253" s="17">
        <f t="shared" ca="1" si="1"/>
        <v>2005</v>
      </c>
      <c r="G2253" s="17">
        <f t="shared" ca="1" si="121"/>
        <v>10999</v>
      </c>
      <c r="H2253" s="3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27606000</v>
      </c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</row>
    <row r="2254" spans="1:26" ht="13.5" customHeight="1" x14ac:dyDescent="0.3">
      <c r="A2254" s="17" t="s">
        <v>652</v>
      </c>
      <c r="B2254" s="17">
        <f t="shared" si="116"/>
        <v>7</v>
      </c>
      <c r="C2254" s="17">
        <f t="shared" si="117"/>
        <v>26</v>
      </c>
      <c r="D2254" s="17"/>
      <c r="E2254" s="17">
        <f t="shared" si="120"/>
        <v>65919</v>
      </c>
      <c r="F2254" s="17">
        <f t="shared" ca="1" si="1"/>
        <v>2005</v>
      </c>
      <c r="G2254" s="17">
        <f t="shared" ca="1" si="121"/>
        <v>11000</v>
      </c>
      <c r="H2254" s="30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173000</v>
      </c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</row>
    <row r="2255" spans="1:26" ht="13.5" customHeight="1" x14ac:dyDescent="0.3">
      <c r="A2255" s="17" t="s">
        <v>652</v>
      </c>
      <c r="B2255" s="17">
        <f t="shared" si="116"/>
        <v>7</v>
      </c>
      <c r="C2255" s="17">
        <f t="shared" si="117"/>
        <v>27</v>
      </c>
      <c r="D2255" s="17"/>
      <c r="E2255" s="17">
        <f t="shared" si="120"/>
        <v>65919</v>
      </c>
      <c r="F2255" s="17">
        <f t="shared" ca="1" si="1"/>
        <v>2005</v>
      </c>
      <c r="G2255" s="17">
        <f t="shared" ca="1" si="121"/>
        <v>11001</v>
      </c>
      <c r="H2255" s="3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358000</v>
      </c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</row>
    <row r="2256" spans="1:26" ht="13.5" customHeight="1" x14ac:dyDescent="0.3">
      <c r="A2256" s="17" t="s">
        <v>652</v>
      </c>
      <c r="B2256" s="17">
        <f t="shared" si="116"/>
        <v>7</v>
      </c>
      <c r="C2256" s="17">
        <f t="shared" si="117"/>
        <v>28</v>
      </c>
      <c r="D2256" s="17"/>
      <c r="E2256" s="17">
        <f t="shared" si="120"/>
        <v>65919</v>
      </c>
      <c r="F2256" s="17">
        <f t="shared" ca="1" si="1"/>
        <v>2005</v>
      </c>
      <c r="G2256" s="17">
        <f t="shared" ca="1" si="121"/>
        <v>11002</v>
      </c>
      <c r="H2256" s="3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70000</v>
      </c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</row>
    <row r="2257" spans="1:26" ht="13.5" customHeight="1" x14ac:dyDescent="0.3">
      <c r="A2257" s="17" t="s">
        <v>652</v>
      </c>
      <c r="B2257" s="17">
        <f t="shared" si="116"/>
        <v>7</v>
      </c>
      <c r="C2257" s="17">
        <f t="shared" si="117"/>
        <v>29</v>
      </c>
      <c r="D2257" s="17"/>
      <c r="E2257" s="17">
        <f t="shared" si="120"/>
        <v>65919</v>
      </c>
      <c r="F2257" s="17">
        <f t="shared" ca="1" si="1"/>
        <v>2005</v>
      </c>
      <c r="G2257" s="17">
        <f t="shared" ca="1" si="121"/>
        <v>11003</v>
      </c>
      <c r="H2257" s="3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28207000</v>
      </c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</row>
    <row r="2258" spans="1:26" ht="13.5" customHeight="1" x14ac:dyDescent="0.3">
      <c r="A2258" s="17" t="s">
        <v>652</v>
      </c>
      <c r="B2258" s="17">
        <f t="shared" si="116"/>
        <v>8</v>
      </c>
      <c r="C2258" s="17">
        <f t="shared" si="117"/>
        <v>3</v>
      </c>
      <c r="D2258" s="17"/>
      <c r="E2258" s="17">
        <f t="shared" si="120"/>
        <v>65919</v>
      </c>
      <c r="F2258" s="17">
        <f t="shared" ca="1" si="1"/>
        <v>2006</v>
      </c>
      <c r="G2258" s="17">
        <f t="shared" ca="1" si="121"/>
        <v>10982</v>
      </c>
      <c r="H2258" s="29" t="str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No</v>
      </c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</row>
    <row r="2259" spans="1:26" ht="13.5" customHeight="1" x14ac:dyDescent="0.3">
      <c r="A2259" s="17" t="s">
        <v>652</v>
      </c>
      <c r="B2259" s="17">
        <f t="shared" si="116"/>
        <v>8</v>
      </c>
      <c r="C2259" s="17">
        <f t="shared" si="117"/>
        <v>4</v>
      </c>
      <c r="D2259" s="17"/>
      <c r="E2259" s="17">
        <f t="shared" si="120"/>
        <v>65919</v>
      </c>
      <c r="F2259" s="17">
        <f t="shared" ca="1" si="1"/>
        <v>2006</v>
      </c>
      <c r="G2259" s="17">
        <f t="shared" ca="1" si="121"/>
        <v>10984</v>
      </c>
      <c r="H2259" s="3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6100000</v>
      </c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</row>
    <row r="2260" spans="1:26" ht="13.5" customHeight="1" x14ac:dyDescent="0.3">
      <c r="A2260" s="17" t="s">
        <v>652</v>
      </c>
      <c r="B2260" s="17">
        <f t="shared" si="116"/>
        <v>8</v>
      </c>
      <c r="C2260" s="17">
        <f t="shared" si="117"/>
        <v>5</v>
      </c>
      <c r="D2260" s="17"/>
      <c r="E2260" s="17">
        <f t="shared" si="120"/>
        <v>65919</v>
      </c>
      <c r="F2260" s="17">
        <f t="shared" ca="1" si="1"/>
        <v>2006</v>
      </c>
      <c r="G2260" s="17">
        <f t="shared" ca="1" si="121"/>
        <v>10985</v>
      </c>
      <c r="H2260" s="3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2928000</v>
      </c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</row>
    <row r="2261" spans="1:26" ht="13.5" customHeight="1" x14ac:dyDescent="0.3">
      <c r="A2261" s="17" t="s">
        <v>652</v>
      </c>
      <c r="B2261" s="17">
        <f t="shared" si="116"/>
        <v>8</v>
      </c>
      <c r="C2261" s="17">
        <f t="shared" si="117"/>
        <v>6</v>
      </c>
      <c r="D2261" s="17"/>
      <c r="E2261" s="17">
        <f t="shared" si="120"/>
        <v>65919</v>
      </c>
      <c r="F2261" s="17">
        <f t="shared" ca="1" si="1"/>
        <v>2006</v>
      </c>
      <c r="G2261" s="17">
        <f t="shared" ca="1" si="121"/>
        <v>10986</v>
      </c>
      <c r="H2261" s="3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3172000</v>
      </c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</row>
    <row r="2262" spans="1:26" ht="13.5" customHeight="1" x14ac:dyDescent="0.3">
      <c r="A2262" s="17" t="s">
        <v>652</v>
      </c>
      <c r="B2262" s="17">
        <f t="shared" si="116"/>
        <v>8</v>
      </c>
      <c r="C2262" s="17">
        <f t="shared" si="117"/>
        <v>7</v>
      </c>
      <c r="D2262" s="17"/>
      <c r="E2262" s="17">
        <f t="shared" si="120"/>
        <v>65919</v>
      </c>
      <c r="F2262" s="17">
        <f t="shared" ca="1" si="1"/>
        <v>2006</v>
      </c>
      <c r="G2262" s="17">
        <f t="shared" ca="1" si="121"/>
        <v>10974</v>
      </c>
      <c r="H2262" s="29" t="str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Aggregate</v>
      </c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</row>
    <row r="2263" spans="1:26" ht="13.5" customHeight="1" x14ac:dyDescent="0.3">
      <c r="A2263" s="17" t="s">
        <v>652</v>
      </c>
      <c r="B2263" s="17">
        <f t="shared" si="116"/>
        <v>8</v>
      </c>
      <c r="C2263" s="17">
        <f t="shared" si="117"/>
        <v>8</v>
      </c>
      <c r="D2263" s="17"/>
      <c r="E2263" s="17">
        <f t="shared" si="120"/>
        <v>65919</v>
      </c>
      <c r="F2263" s="17">
        <f t="shared" ca="1" si="1"/>
        <v>2006</v>
      </c>
      <c r="G2263" s="17">
        <f t="shared" ca="1" si="121"/>
        <v>10987</v>
      </c>
      <c r="H2263" s="3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0.48</v>
      </c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</row>
    <row r="2264" spans="1:26" ht="13.5" customHeight="1" x14ac:dyDescent="0.3">
      <c r="A2264" s="17" t="s">
        <v>652</v>
      </c>
      <c r="B2264" s="17">
        <f t="shared" si="116"/>
        <v>8</v>
      </c>
      <c r="C2264" s="17">
        <f t="shared" si="117"/>
        <v>9</v>
      </c>
      <c r="D2264" s="17"/>
      <c r="E2264" s="17">
        <f t="shared" si="120"/>
        <v>65919</v>
      </c>
      <c r="F2264" s="17">
        <f t="shared" ca="1" si="1"/>
        <v>2006</v>
      </c>
      <c r="G2264" s="17">
        <f t="shared" ca="1" si="121"/>
        <v>10885</v>
      </c>
      <c r="H2264" s="29" t="str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NA</v>
      </c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</row>
    <row r="2265" spans="1:26" ht="13.5" customHeight="1" x14ac:dyDescent="0.3">
      <c r="A2265" s="17" t="s">
        <v>652</v>
      </c>
      <c r="B2265" s="17">
        <f t="shared" si="116"/>
        <v>8</v>
      </c>
      <c r="C2265" s="17">
        <f t="shared" si="117"/>
        <v>10</v>
      </c>
      <c r="D2265" s="17"/>
      <c r="E2265" s="17">
        <f t="shared" si="120"/>
        <v>65919</v>
      </c>
      <c r="F2265" s="17">
        <f t="shared" ca="1" si="1"/>
        <v>2006</v>
      </c>
      <c r="G2265" s="17">
        <f t="shared" ca="1" si="121"/>
        <v>10886</v>
      </c>
      <c r="H2265" s="29" t="str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NA</v>
      </c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</row>
    <row r="2266" spans="1:26" ht="13.5" customHeight="1" x14ac:dyDescent="0.3">
      <c r="A2266" s="17" t="s">
        <v>652</v>
      </c>
      <c r="B2266" s="17">
        <f t="shared" si="116"/>
        <v>8</v>
      </c>
      <c r="C2266" s="17">
        <f t="shared" si="117"/>
        <v>11</v>
      </c>
      <c r="D2266" s="17"/>
      <c r="E2266" s="17">
        <f t="shared" si="120"/>
        <v>65919</v>
      </c>
      <c r="F2266" s="17">
        <f t="shared" ca="1" si="1"/>
        <v>2006</v>
      </c>
      <c r="G2266" s="17">
        <f t="shared" ca="1" si="121"/>
        <v>10887</v>
      </c>
      <c r="H2266" s="29" t="str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NA</v>
      </c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</row>
    <row r="2267" spans="1:26" ht="13.5" customHeight="1" x14ac:dyDescent="0.3">
      <c r="A2267" s="17" t="s">
        <v>652</v>
      </c>
      <c r="B2267" s="17">
        <f t="shared" si="116"/>
        <v>8</v>
      </c>
      <c r="C2267" s="17">
        <f t="shared" si="117"/>
        <v>12</v>
      </c>
      <c r="D2267" s="17"/>
      <c r="E2267" s="17">
        <f t="shared" si="120"/>
        <v>65919</v>
      </c>
      <c r="F2267" s="17">
        <f t="shared" ca="1" si="1"/>
        <v>2006</v>
      </c>
      <c r="G2267" s="17">
        <f t="shared" ca="1" si="121"/>
        <v>10883</v>
      </c>
      <c r="H2267" s="29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NA</v>
      </c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</row>
    <row r="2268" spans="1:26" ht="13.5" customHeight="1" x14ac:dyDescent="0.3">
      <c r="A2268" s="17" t="s">
        <v>652</v>
      </c>
      <c r="B2268" s="17">
        <f t="shared" si="116"/>
        <v>8</v>
      </c>
      <c r="C2268" s="17">
        <f t="shared" si="117"/>
        <v>13</v>
      </c>
      <c r="D2268" s="17"/>
      <c r="E2268" s="17">
        <f t="shared" si="120"/>
        <v>65919</v>
      </c>
      <c r="F2268" s="17">
        <f t="shared" ca="1" si="1"/>
        <v>2006</v>
      </c>
      <c r="G2268" s="17">
        <f t="shared" ca="1" si="121"/>
        <v>10989</v>
      </c>
      <c r="H2268" s="3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743000000</v>
      </c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</row>
    <row r="2269" spans="1:26" ht="13.5" customHeight="1" x14ac:dyDescent="0.3">
      <c r="A2269" s="17" t="s">
        <v>652</v>
      </c>
      <c r="B2269" s="17">
        <f t="shared" si="116"/>
        <v>8</v>
      </c>
      <c r="C2269" s="17">
        <f t="shared" si="117"/>
        <v>14</v>
      </c>
      <c r="D2269" s="17"/>
      <c r="E2269" s="17">
        <f t="shared" si="120"/>
        <v>65919</v>
      </c>
      <c r="F2269" s="17">
        <f t="shared" ca="1" si="1"/>
        <v>2006</v>
      </c>
      <c r="G2269" s="17">
        <f t="shared" ca="1" si="121"/>
        <v>10990</v>
      </c>
      <c r="H2269" s="30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671000000</v>
      </c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</row>
    <row r="2270" spans="1:26" ht="13.5" customHeight="1" x14ac:dyDescent="0.3">
      <c r="A2270" s="17" t="s">
        <v>652</v>
      </c>
      <c r="B2270" s="17">
        <f t="shared" si="116"/>
        <v>8</v>
      </c>
      <c r="C2270" s="17">
        <f t="shared" si="117"/>
        <v>15</v>
      </c>
      <c r="D2270" s="17"/>
      <c r="E2270" s="17">
        <f t="shared" si="120"/>
        <v>65919</v>
      </c>
      <c r="F2270" s="17">
        <f t="shared" ca="1" si="1"/>
        <v>2006</v>
      </c>
      <c r="G2270" s="17">
        <f t="shared" ca="1" si="121"/>
        <v>10991</v>
      </c>
      <c r="H2270" s="3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-72000000</v>
      </c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</row>
    <row r="2271" spans="1:26" ht="13.5" customHeight="1" x14ac:dyDescent="0.3">
      <c r="A2271" s="17" t="s">
        <v>652</v>
      </c>
      <c r="B2271" s="17">
        <f t="shared" si="116"/>
        <v>8</v>
      </c>
      <c r="C2271" s="17">
        <f t="shared" si="117"/>
        <v>16</v>
      </c>
      <c r="D2271" s="17"/>
      <c r="E2271" s="17">
        <f t="shared" si="120"/>
        <v>65919</v>
      </c>
      <c r="F2271" s="17">
        <f t="shared" ca="1" si="1"/>
        <v>2006</v>
      </c>
      <c r="G2271" s="17">
        <f t="shared" ca="1" si="121"/>
        <v>10992</v>
      </c>
      <c r="H2271" s="3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1.1100000000000001</v>
      </c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</row>
    <row r="2272" spans="1:26" ht="13.5" customHeight="1" x14ac:dyDescent="0.3">
      <c r="A2272" s="17" t="s">
        <v>652</v>
      </c>
      <c r="B2272" s="17">
        <f t="shared" si="116"/>
        <v>8</v>
      </c>
      <c r="C2272" s="17">
        <f t="shared" si="117"/>
        <v>17</v>
      </c>
      <c r="D2272" s="17"/>
      <c r="E2272" s="17">
        <f t="shared" si="120"/>
        <v>65919</v>
      </c>
      <c r="F2272" s="17">
        <f t="shared" ca="1" si="1"/>
        <v>2006</v>
      </c>
      <c r="G2272" s="17">
        <f t="shared" ca="1" si="121"/>
        <v>10993</v>
      </c>
      <c r="H2272" s="30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69000000</v>
      </c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</row>
    <row r="2273" spans="1:26" ht="13.5" customHeight="1" x14ac:dyDescent="0.3">
      <c r="A2273" s="17" t="s">
        <v>652</v>
      </c>
      <c r="B2273" s="17">
        <f t="shared" si="116"/>
        <v>8</v>
      </c>
      <c r="C2273" s="17">
        <f t="shared" si="117"/>
        <v>18</v>
      </c>
      <c r="D2273" s="17"/>
      <c r="E2273" s="17">
        <f t="shared" si="120"/>
        <v>65919</v>
      </c>
      <c r="F2273" s="17">
        <f t="shared" ca="1" si="1"/>
        <v>2006</v>
      </c>
      <c r="G2273" s="17">
        <f t="shared" ca="1" si="121"/>
        <v>11005</v>
      </c>
      <c r="H2273" s="3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NA</v>
      </c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</row>
    <row r="2274" spans="1:26" ht="13.5" customHeight="1" x14ac:dyDescent="0.3">
      <c r="A2274" s="17" t="s">
        <v>652</v>
      </c>
      <c r="B2274" s="17">
        <f t="shared" si="116"/>
        <v>8</v>
      </c>
      <c r="C2274" s="17">
        <f t="shared" si="117"/>
        <v>19</v>
      </c>
      <c r="D2274" s="17"/>
      <c r="E2274" s="17">
        <f t="shared" si="120"/>
        <v>65919</v>
      </c>
      <c r="F2274" s="17">
        <f t="shared" ca="1" si="1"/>
        <v>2006</v>
      </c>
      <c r="G2274" s="17">
        <f t="shared" ca="1" si="121"/>
        <v>10988</v>
      </c>
      <c r="H2274" s="31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8.8405797101449274E-2</v>
      </c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</row>
    <row r="2275" spans="1:26" ht="13.5" customHeight="1" x14ac:dyDescent="0.3">
      <c r="A2275" s="17" t="s">
        <v>652</v>
      </c>
      <c r="B2275" s="17">
        <f t="shared" si="116"/>
        <v>8</v>
      </c>
      <c r="C2275" s="17">
        <f t="shared" si="117"/>
        <v>20</v>
      </c>
      <c r="D2275" s="17"/>
      <c r="E2275" s="17">
        <f t="shared" si="120"/>
        <v>65919</v>
      </c>
      <c r="F2275" s="17">
        <f t="shared" ca="1" si="1"/>
        <v>2006</v>
      </c>
      <c r="G2275" s="17">
        <f t="shared" ca="1" si="121"/>
        <v>10996</v>
      </c>
      <c r="H2275" s="3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818165000</v>
      </c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</row>
    <row r="2276" spans="1:26" ht="13.5" customHeight="1" x14ac:dyDescent="0.3">
      <c r="A2276" s="17" t="s">
        <v>652</v>
      </c>
      <c r="B2276" s="17">
        <f t="shared" si="116"/>
        <v>8</v>
      </c>
      <c r="C2276" s="17">
        <f t="shared" si="117"/>
        <v>21</v>
      </c>
      <c r="D2276" s="17"/>
      <c r="E2276" s="17">
        <f t="shared" si="120"/>
        <v>65919</v>
      </c>
      <c r="F2276" s="17">
        <f t="shared" ca="1" si="1"/>
        <v>2006</v>
      </c>
      <c r="G2276" s="17">
        <f t="shared" ca="1" si="121"/>
        <v>10997</v>
      </c>
      <c r="H2276" s="3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1.2193219076005961</v>
      </c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</row>
    <row r="2277" spans="1:26" ht="13.5" customHeight="1" x14ac:dyDescent="0.3">
      <c r="A2277" s="17" t="s">
        <v>652</v>
      </c>
      <c r="B2277" s="17">
        <f t="shared" si="116"/>
        <v>8</v>
      </c>
      <c r="C2277" s="17">
        <f t="shared" si="117"/>
        <v>22</v>
      </c>
      <c r="D2277" s="17"/>
      <c r="E2277" s="17">
        <f t="shared" si="120"/>
        <v>65919</v>
      </c>
      <c r="F2277" s="17">
        <f t="shared" ca="1" si="1"/>
        <v>2006</v>
      </c>
      <c r="G2277" s="17">
        <f t="shared" ca="1" si="121"/>
        <v>10980</v>
      </c>
      <c r="H2277" s="3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</row>
    <row r="2278" spans="1:26" ht="13.5" customHeight="1" x14ac:dyDescent="0.3">
      <c r="A2278" s="17" t="s">
        <v>652</v>
      </c>
      <c r="B2278" s="17">
        <f t="shared" si="116"/>
        <v>8</v>
      </c>
      <c r="C2278" s="17">
        <f t="shared" si="117"/>
        <v>23</v>
      </c>
      <c r="D2278" s="17"/>
      <c r="E2278" s="17">
        <f t="shared" si="120"/>
        <v>65919</v>
      </c>
      <c r="F2278" s="17">
        <f t="shared" ca="1" si="1"/>
        <v>2006</v>
      </c>
      <c r="G2278" s="17">
        <f t="shared" ca="1" si="121"/>
        <v>10981</v>
      </c>
      <c r="H2278" s="31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0</v>
      </c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</row>
    <row r="2279" spans="1:26" ht="13.5" customHeight="1" x14ac:dyDescent="0.3">
      <c r="A2279" s="17" t="s">
        <v>652</v>
      </c>
      <c r="B2279" s="17">
        <f t="shared" si="116"/>
        <v>8</v>
      </c>
      <c r="C2279" s="17">
        <f t="shared" si="117"/>
        <v>24</v>
      </c>
      <c r="D2279" s="17"/>
      <c r="E2279" s="17">
        <f t="shared" si="120"/>
        <v>65919</v>
      </c>
      <c r="F2279" s="17">
        <f t="shared" ca="1" si="1"/>
        <v>2006</v>
      </c>
      <c r="G2279" s="17">
        <f t="shared" ca="1" si="121"/>
        <v>10998</v>
      </c>
      <c r="H2279" s="30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18200000</v>
      </c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</row>
    <row r="2280" spans="1:26" ht="13.5" customHeight="1" x14ac:dyDescent="0.3">
      <c r="A2280" s="17" t="s">
        <v>652</v>
      </c>
      <c r="B2280" s="17">
        <f t="shared" si="116"/>
        <v>8</v>
      </c>
      <c r="C2280" s="17">
        <f t="shared" si="117"/>
        <v>25</v>
      </c>
      <c r="D2280" s="17"/>
      <c r="E2280" s="17">
        <f t="shared" si="120"/>
        <v>65919</v>
      </c>
      <c r="F2280" s="17">
        <f t="shared" ca="1" si="1"/>
        <v>2006</v>
      </c>
      <c r="G2280" s="17">
        <f t="shared" ca="1" si="121"/>
        <v>10999</v>
      </c>
      <c r="H2280" s="3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30666000</v>
      </c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</row>
    <row r="2281" spans="1:26" ht="13.5" customHeight="1" x14ac:dyDescent="0.3">
      <c r="A2281" s="17" t="s">
        <v>652</v>
      </c>
      <c r="B2281" s="17">
        <f t="shared" si="116"/>
        <v>8</v>
      </c>
      <c r="C2281" s="17">
        <f t="shared" si="117"/>
        <v>26</v>
      </c>
      <c r="D2281" s="17"/>
      <c r="E2281" s="17">
        <f t="shared" si="120"/>
        <v>65919</v>
      </c>
      <c r="F2281" s="17">
        <f t="shared" ca="1" si="1"/>
        <v>2006</v>
      </c>
      <c r="G2281" s="17">
        <f t="shared" ca="1" si="121"/>
        <v>11000</v>
      </c>
      <c r="H2281" s="30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125000</v>
      </c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</row>
    <row r="2282" spans="1:26" ht="13.5" customHeight="1" x14ac:dyDescent="0.3">
      <c r="A2282" s="17" t="s">
        <v>652</v>
      </c>
      <c r="B2282" s="17">
        <f t="shared" si="116"/>
        <v>8</v>
      </c>
      <c r="C2282" s="17">
        <f t="shared" si="117"/>
        <v>27</v>
      </c>
      <c r="D2282" s="17"/>
      <c r="E2282" s="17">
        <f t="shared" si="120"/>
        <v>65919</v>
      </c>
      <c r="F2282" s="17">
        <f t="shared" ca="1" si="1"/>
        <v>2006</v>
      </c>
      <c r="G2282" s="17">
        <f t="shared" ca="1" si="121"/>
        <v>11001</v>
      </c>
      <c r="H2282" s="30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408000</v>
      </c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</row>
    <row r="2283" spans="1:26" ht="13.5" customHeight="1" x14ac:dyDescent="0.3">
      <c r="A2283" s="17" t="s">
        <v>652</v>
      </c>
      <c r="B2283" s="17">
        <f t="shared" si="116"/>
        <v>8</v>
      </c>
      <c r="C2283" s="17">
        <f t="shared" si="117"/>
        <v>28</v>
      </c>
      <c r="D2283" s="17"/>
      <c r="E2283" s="17">
        <f t="shared" si="120"/>
        <v>65919</v>
      </c>
      <c r="F2283" s="17">
        <f t="shared" ca="1" si="1"/>
        <v>2006</v>
      </c>
      <c r="G2283" s="17">
        <f t="shared" ca="1" si="121"/>
        <v>11002</v>
      </c>
      <c r="H2283" s="30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29000</v>
      </c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</row>
    <row r="2284" spans="1:26" ht="13.5" customHeight="1" x14ac:dyDescent="0.3">
      <c r="A2284" s="17" t="s">
        <v>652</v>
      </c>
      <c r="B2284" s="17">
        <f t="shared" si="116"/>
        <v>8</v>
      </c>
      <c r="C2284" s="17">
        <f t="shared" si="117"/>
        <v>29</v>
      </c>
      <c r="D2284" s="17"/>
      <c r="E2284" s="17">
        <f t="shared" si="120"/>
        <v>65919</v>
      </c>
      <c r="F2284" s="17">
        <f t="shared" ca="1" si="1"/>
        <v>2006</v>
      </c>
      <c r="G2284" s="17">
        <f t="shared" ca="1" si="121"/>
        <v>11003</v>
      </c>
      <c r="H2284" s="30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31228000</v>
      </c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</row>
    <row r="2285" spans="1:26" ht="13.5" customHeight="1" x14ac:dyDescent="0.3">
      <c r="A2285" s="17" t="s">
        <v>652</v>
      </c>
      <c r="B2285" s="17">
        <f t="shared" si="116"/>
        <v>9</v>
      </c>
      <c r="C2285" s="17">
        <f t="shared" si="117"/>
        <v>3</v>
      </c>
      <c r="D2285" s="17"/>
      <c r="E2285" s="17">
        <f t="shared" si="120"/>
        <v>65919</v>
      </c>
      <c r="F2285" s="17">
        <f t="shared" ca="1" si="1"/>
        <v>2007</v>
      </c>
      <c r="G2285" s="17">
        <f t="shared" ca="1" si="121"/>
        <v>10982</v>
      </c>
      <c r="H2285" s="29" t="str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No</v>
      </c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</row>
    <row r="2286" spans="1:26" ht="13.5" customHeight="1" x14ac:dyDescent="0.3">
      <c r="A2286" s="17" t="s">
        <v>652</v>
      </c>
      <c r="B2286" s="17">
        <f t="shared" si="116"/>
        <v>9</v>
      </c>
      <c r="C2286" s="17">
        <f t="shared" si="117"/>
        <v>4</v>
      </c>
      <c r="D2286" s="17"/>
      <c r="E2286" s="17">
        <f t="shared" si="120"/>
        <v>65919</v>
      </c>
      <c r="F2286" s="17">
        <f t="shared" ca="1" si="1"/>
        <v>2007</v>
      </c>
      <c r="G2286" s="17">
        <f t="shared" ca="1" si="121"/>
        <v>10984</v>
      </c>
      <c r="H2286" s="3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5300000</v>
      </c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</row>
    <row r="2287" spans="1:26" ht="13.5" customHeight="1" x14ac:dyDescent="0.3">
      <c r="A2287" s="17" t="s">
        <v>652</v>
      </c>
      <c r="B2287" s="17">
        <f t="shared" si="116"/>
        <v>9</v>
      </c>
      <c r="C2287" s="17">
        <f t="shared" si="117"/>
        <v>5</v>
      </c>
      <c r="D2287" s="17"/>
      <c r="E2287" s="17">
        <f t="shared" si="120"/>
        <v>65919</v>
      </c>
      <c r="F2287" s="17">
        <f t="shared" ca="1" si="1"/>
        <v>2007</v>
      </c>
      <c r="G2287" s="17">
        <f t="shared" ca="1" si="121"/>
        <v>10985</v>
      </c>
      <c r="H2287" s="3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3286000</v>
      </c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</row>
    <row r="2288" spans="1:26" ht="13.5" customHeight="1" x14ac:dyDescent="0.3">
      <c r="A2288" s="17" t="s">
        <v>652</v>
      </c>
      <c r="B2288" s="17">
        <f t="shared" si="116"/>
        <v>9</v>
      </c>
      <c r="C2288" s="17">
        <f t="shared" si="117"/>
        <v>6</v>
      </c>
      <c r="D2288" s="17"/>
      <c r="E2288" s="17">
        <f t="shared" si="120"/>
        <v>65919</v>
      </c>
      <c r="F2288" s="17">
        <f t="shared" ca="1" si="1"/>
        <v>2007</v>
      </c>
      <c r="G2288" s="17">
        <f t="shared" ca="1" si="121"/>
        <v>10986</v>
      </c>
      <c r="H2288" s="30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2014000</v>
      </c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</row>
    <row r="2289" spans="1:26" ht="13.5" customHeight="1" x14ac:dyDescent="0.3">
      <c r="A2289" s="17" t="s">
        <v>652</v>
      </c>
      <c r="B2289" s="17">
        <f t="shared" si="116"/>
        <v>9</v>
      </c>
      <c r="C2289" s="17">
        <f t="shared" si="117"/>
        <v>7</v>
      </c>
      <c r="D2289" s="17"/>
      <c r="E2289" s="17">
        <f t="shared" si="120"/>
        <v>65919</v>
      </c>
      <c r="F2289" s="17">
        <f t="shared" ca="1" si="1"/>
        <v>2007</v>
      </c>
      <c r="G2289" s="17">
        <f t="shared" ca="1" si="121"/>
        <v>10974</v>
      </c>
      <c r="H2289" s="2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Aggregate</v>
      </c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</row>
    <row r="2290" spans="1:26" ht="13.5" customHeight="1" x14ac:dyDescent="0.3">
      <c r="A2290" s="17" t="s">
        <v>652</v>
      </c>
      <c r="B2290" s="17">
        <f t="shared" si="116"/>
        <v>9</v>
      </c>
      <c r="C2290" s="17">
        <f t="shared" si="117"/>
        <v>8</v>
      </c>
      <c r="D2290" s="17"/>
      <c r="E2290" s="17">
        <f t="shared" si="120"/>
        <v>65919</v>
      </c>
      <c r="F2290" s="17">
        <f t="shared" ca="1" si="1"/>
        <v>2007</v>
      </c>
      <c r="G2290" s="17">
        <f t="shared" ca="1" si="121"/>
        <v>10987</v>
      </c>
      <c r="H2290" s="31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0.62</v>
      </c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</row>
    <row r="2291" spans="1:26" ht="13.5" customHeight="1" x14ac:dyDescent="0.3">
      <c r="A2291" s="17" t="s">
        <v>652</v>
      </c>
      <c r="B2291" s="17">
        <f t="shared" si="116"/>
        <v>9</v>
      </c>
      <c r="C2291" s="17">
        <f t="shared" si="117"/>
        <v>9</v>
      </c>
      <c r="D2291" s="17"/>
      <c r="E2291" s="17">
        <f t="shared" si="120"/>
        <v>65919</v>
      </c>
      <c r="F2291" s="17">
        <f t="shared" ca="1" si="1"/>
        <v>2007</v>
      </c>
      <c r="G2291" s="17">
        <f t="shared" ca="1" si="121"/>
        <v>10885</v>
      </c>
      <c r="H2291" s="2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NA</v>
      </c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</row>
    <row r="2292" spans="1:26" ht="13.5" customHeight="1" x14ac:dyDescent="0.3">
      <c r="A2292" s="17" t="s">
        <v>652</v>
      </c>
      <c r="B2292" s="17">
        <f t="shared" si="116"/>
        <v>9</v>
      </c>
      <c r="C2292" s="17">
        <f t="shared" si="117"/>
        <v>10</v>
      </c>
      <c r="D2292" s="17"/>
      <c r="E2292" s="17">
        <f t="shared" si="120"/>
        <v>65919</v>
      </c>
      <c r="F2292" s="17">
        <f t="shared" ca="1" si="1"/>
        <v>2007</v>
      </c>
      <c r="G2292" s="17">
        <f t="shared" ca="1" si="121"/>
        <v>10886</v>
      </c>
      <c r="H2292" s="29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NA</v>
      </c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</row>
    <row r="2293" spans="1:26" ht="13.5" customHeight="1" x14ac:dyDescent="0.3">
      <c r="A2293" s="17" t="s">
        <v>652</v>
      </c>
      <c r="B2293" s="17">
        <f t="shared" si="116"/>
        <v>9</v>
      </c>
      <c r="C2293" s="17">
        <f t="shared" si="117"/>
        <v>11</v>
      </c>
      <c r="D2293" s="17"/>
      <c r="E2293" s="17">
        <f t="shared" si="120"/>
        <v>65919</v>
      </c>
      <c r="F2293" s="17">
        <f t="shared" ca="1" si="1"/>
        <v>2007</v>
      </c>
      <c r="G2293" s="17">
        <f t="shared" ca="1" si="121"/>
        <v>10887</v>
      </c>
      <c r="H2293" s="2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NA</v>
      </c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</row>
    <row r="2294" spans="1:26" ht="13.5" customHeight="1" x14ac:dyDescent="0.3">
      <c r="A2294" s="17" t="s">
        <v>652</v>
      </c>
      <c r="B2294" s="17">
        <f t="shared" si="116"/>
        <v>9</v>
      </c>
      <c r="C2294" s="17">
        <f t="shared" si="117"/>
        <v>12</v>
      </c>
      <c r="D2294" s="17"/>
      <c r="E2294" s="17">
        <f t="shared" si="120"/>
        <v>65919</v>
      </c>
      <c r="F2294" s="17">
        <f t="shared" ca="1" si="1"/>
        <v>2007</v>
      </c>
      <c r="G2294" s="17">
        <f t="shared" ca="1" si="121"/>
        <v>10883</v>
      </c>
      <c r="H2294" s="29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NA</v>
      </c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</row>
    <row r="2295" spans="1:26" ht="13.5" customHeight="1" x14ac:dyDescent="0.3">
      <c r="A2295" s="17" t="s">
        <v>652</v>
      </c>
      <c r="B2295" s="17">
        <f t="shared" si="116"/>
        <v>9</v>
      </c>
      <c r="C2295" s="17">
        <f t="shared" si="117"/>
        <v>13</v>
      </c>
      <c r="D2295" s="17"/>
      <c r="E2295" s="17">
        <f t="shared" si="120"/>
        <v>65919</v>
      </c>
      <c r="F2295" s="17">
        <f t="shared" ca="1" si="1"/>
        <v>2007</v>
      </c>
      <c r="G2295" s="17">
        <f t="shared" ca="1" si="121"/>
        <v>10989</v>
      </c>
      <c r="H2295" s="3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800000000</v>
      </c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</row>
    <row r="2296" spans="1:26" ht="13.5" customHeight="1" x14ac:dyDescent="0.3">
      <c r="A2296" s="17" t="s">
        <v>652</v>
      </c>
      <c r="B2296" s="17">
        <f t="shared" si="116"/>
        <v>9</v>
      </c>
      <c r="C2296" s="17">
        <f t="shared" si="117"/>
        <v>14</v>
      </c>
      <c r="D2296" s="17"/>
      <c r="E2296" s="17">
        <f t="shared" si="120"/>
        <v>65919</v>
      </c>
      <c r="F2296" s="17">
        <f t="shared" ca="1" si="1"/>
        <v>2007</v>
      </c>
      <c r="G2296" s="17">
        <f t="shared" ca="1" si="121"/>
        <v>10990</v>
      </c>
      <c r="H2296" s="30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702000000</v>
      </c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</row>
    <row r="2297" spans="1:26" ht="13.5" customHeight="1" x14ac:dyDescent="0.3">
      <c r="A2297" s="17" t="s">
        <v>652</v>
      </c>
      <c r="B2297" s="17">
        <f t="shared" si="116"/>
        <v>9</v>
      </c>
      <c r="C2297" s="17">
        <f t="shared" si="117"/>
        <v>15</v>
      </c>
      <c r="D2297" s="17"/>
      <c r="E2297" s="17">
        <f t="shared" si="120"/>
        <v>65919</v>
      </c>
      <c r="F2297" s="17">
        <f t="shared" ca="1" si="1"/>
        <v>2007</v>
      </c>
      <c r="G2297" s="17">
        <f t="shared" ca="1" si="121"/>
        <v>10991</v>
      </c>
      <c r="H2297" s="30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-98000000</v>
      </c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</row>
    <row r="2298" spans="1:26" ht="13.5" customHeight="1" x14ac:dyDescent="0.3">
      <c r="A2298" s="17" t="s">
        <v>652</v>
      </c>
      <c r="B2298" s="17">
        <f t="shared" si="116"/>
        <v>9</v>
      </c>
      <c r="C2298" s="17">
        <f t="shared" si="117"/>
        <v>16</v>
      </c>
      <c r="D2298" s="17"/>
      <c r="E2298" s="17">
        <f t="shared" si="120"/>
        <v>65919</v>
      </c>
      <c r="F2298" s="17">
        <f t="shared" ca="1" si="1"/>
        <v>2007</v>
      </c>
      <c r="G2298" s="17">
        <f t="shared" ca="1" si="121"/>
        <v>10992</v>
      </c>
      <c r="H2298" s="31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1.1399999999999999</v>
      </c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</row>
    <row r="2299" spans="1:26" ht="13.5" customHeight="1" x14ac:dyDescent="0.3">
      <c r="A2299" s="17" t="s">
        <v>652</v>
      </c>
      <c r="B2299" s="17">
        <f t="shared" si="116"/>
        <v>9</v>
      </c>
      <c r="C2299" s="17">
        <f t="shared" si="117"/>
        <v>17</v>
      </c>
      <c r="D2299" s="17"/>
      <c r="E2299" s="17">
        <f t="shared" si="120"/>
        <v>65919</v>
      </c>
      <c r="F2299" s="17">
        <f t="shared" ca="1" si="1"/>
        <v>2007</v>
      </c>
      <c r="G2299" s="17">
        <f t="shared" ca="1" si="121"/>
        <v>10993</v>
      </c>
      <c r="H2299" s="3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72000000</v>
      </c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</row>
    <row r="2300" spans="1:26" ht="13.5" customHeight="1" x14ac:dyDescent="0.3">
      <c r="A2300" s="17" t="s">
        <v>652</v>
      </c>
      <c r="B2300" s="17">
        <f t="shared" si="116"/>
        <v>9</v>
      </c>
      <c r="C2300" s="17">
        <f t="shared" si="117"/>
        <v>18</v>
      </c>
      <c r="D2300" s="17"/>
      <c r="E2300" s="17">
        <f t="shared" si="120"/>
        <v>65919</v>
      </c>
      <c r="F2300" s="17">
        <f t="shared" ca="1" si="1"/>
        <v>2007</v>
      </c>
      <c r="G2300" s="17">
        <f t="shared" ca="1" si="121"/>
        <v>11005</v>
      </c>
      <c r="H2300" s="3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NA</v>
      </c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</row>
    <row r="2301" spans="1:26" ht="13.5" customHeight="1" x14ac:dyDescent="0.3">
      <c r="A2301" s="17" t="s">
        <v>652</v>
      </c>
      <c r="B2301" s="17">
        <f t="shared" si="116"/>
        <v>9</v>
      </c>
      <c r="C2301" s="17">
        <f t="shared" si="117"/>
        <v>19</v>
      </c>
      <c r="D2301" s="17"/>
      <c r="E2301" s="17">
        <f t="shared" si="120"/>
        <v>65919</v>
      </c>
      <c r="F2301" s="17">
        <f t="shared" ca="1" si="1"/>
        <v>2007</v>
      </c>
      <c r="G2301" s="17">
        <f t="shared" ca="1" si="121"/>
        <v>10988</v>
      </c>
      <c r="H2301" s="3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7.3611111111111113E-2</v>
      </c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</row>
    <row r="2302" spans="1:26" ht="13.5" customHeight="1" x14ac:dyDescent="0.3">
      <c r="A2302" s="17" t="s">
        <v>652</v>
      </c>
      <c r="B2302" s="17">
        <f t="shared" si="116"/>
        <v>9</v>
      </c>
      <c r="C2302" s="17">
        <f t="shared" si="117"/>
        <v>20</v>
      </c>
      <c r="D2302" s="17"/>
      <c r="E2302" s="17">
        <f t="shared" si="120"/>
        <v>65919</v>
      </c>
      <c r="F2302" s="17">
        <f t="shared" ca="1" si="1"/>
        <v>2007</v>
      </c>
      <c r="G2302" s="17">
        <f t="shared" ca="1" si="121"/>
        <v>10996</v>
      </c>
      <c r="H2302" s="30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964597000</v>
      </c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</row>
    <row r="2303" spans="1:26" ht="13.5" customHeight="1" x14ac:dyDescent="0.3">
      <c r="A2303" s="17" t="s">
        <v>652</v>
      </c>
      <c r="B2303" s="17">
        <f t="shared" si="116"/>
        <v>9</v>
      </c>
      <c r="C2303" s="17">
        <f t="shared" si="117"/>
        <v>21</v>
      </c>
      <c r="D2303" s="17"/>
      <c r="E2303" s="17">
        <f t="shared" si="120"/>
        <v>65919</v>
      </c>
      <c r="F2303" s="17">
        <f t="shared" ca="1" si="1"/>
        <v>2007</v>
      </c>
      <c r="G2303" s="17">
        <f t="shared" ca="1" si="121"/>
        <v>10997</v>
      </c>
      <c r="H2303" s="3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1.3740698005698007</v>
      </c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</row>
    <row r="2304" spans="1:26" ht="13.5" customHeight="1" x14ac:dyDescent="0.3">
      <c r="A2304" s="17" t="s">
        <v>652</v>
      </c>
      <c r="B2304" s="17">
        <f t="shared" si="116"/>
        <v>9</v>
      </c>
      <c r="C2304" s="17">
        <f t="shared" si="117"/>
        <v>22</v>
      </c>
      <c r="D2304" s="17"/>
      <c r="E2304" s="17">
        <f t="shared" si="120"/>
        <v>65919</v>
      </c>
      <c r="F2304" s="17">
        <f t="shared" ca="1" si="1"/>
        <v>2007</v>
      </c>
      <c r="G2304" s="17">
        <f t="shared" ca="1" si="121"/>
        <v>10980</v>
      </c>
      <c r="H2304" s="3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</row>
    <row r="2305" spans="1:26" ht="13.5" customHeight="1" x14ac:dyDescent="0.3">
      <c r="A2305" s="17" t="s">
        <v>652</v>
      </c>
      <c r="B2305" s="17">
        <f t="shared" si="116"/>
        <v>9</v>
      </c>
      <c r="C2305" s="17">
        <f t="shared" si="117"/>
        <v>23</v>
      </c>
      <c r="D2305" s="17"/>
      <c r="E2305" s="17">
        <f t="shared" si="120"/>
        <v>65919</v>
      </c>
      <c r="F2305" s="17">
        <f t="shared" ca="1" si="1"/>
        <v>2007</v>
      </c>
      <c r="G2305" s="17">
        <f t="shared" ca="1" si="121"/>
        <v>10981</v>
      </c>
      <c r="H2305" s="3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</row>
    <row r="2306" spans="1:26" ht="13.5" customHeight="1" x14ac:dyDescent="0.3">
      <c r="A2306" s="17" t="s">
        <v>652</v>
      </c>
      <c r="B2306" s="17">
        <f t="shared" si="116"/>
        <v>9</v>
      </c>
      <c r="C2306" s="17">
        <f t="shared" si="117"/>
        <v>24</v>
      </c>
      <c r="D2306" s="17"/>
      <c r="E2306" s="17">
        <f t="shared" si="120"/>
        <v>65919</v>
      </c>
      <c r="F2306" s="17">
        <f t="shared" ca="1" si="1"/>
        <v>2007</v>
      </c>
      <c r="G2306" s="17">
        <f t="shared" ca="1" si="121"/>
        <v>10998</v>
      </c>
      <c r="H2306" s="30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-12100000</v>
      </c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</row>
    <row r="2307" spans="1:26" ht="13.5" customHeight="1" x14ac:dyDescent="0.3">
      <c r="A2307" s="17" t="s">
        <v>652</v>
      </c>
      <c r="B2307" s="17">
        <f t="shared" si="116"/>
        <v>9</v>
      </c>
      <c r="C2307" s="17">
        <f t="shared" si="117"/>
        <v>25</v>
      </c>
      <c r="D2307" s="17"/>
      <c r="E2307" s="17">
        <f t="shared" si="120"/>
        <v>65919</v>
      </c>
      <c r="F2307" s="17">
        <f t="shared" ca="1" si="1"/>
        <v>2007</v>
      </c>
      <c r="G2307" s="17">
        <f t="shared" ca="1" si="121"/>
        <v>10999</v>
      </c>
      <c r="H2307" s="3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31393000</v>
      </c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</row>
    <row r="2308" spans="1:26" ht="13.5" customHeight="1" x14ac:dyDescent="0.3">
      <c r="A2308" s="17" t="s">
        <v>652</v>
      </c>
      <c r="B2308" s="17">
        <f t="shared" si="116"/>
        <v>9</v>
      </c>
      <c r="C2308" s="17">
        <f t="shared" si="117"/>
        <v>26</v>
      </c>
      <c r="D2308" s="17"/>
      <c r="E2308" s="17">
        <f t="shared" ref="E2308:E2371" si="122">plan_id</f>
        <v>65919</v>
      </c>
      <c r="F2308" s="17">
        <f t="shared" ca="1" si="1"/>
        <v>2007</v>
      </c>
      <c r="G2308" s="17">
        <f t="shared" ref="G2308:G2371" ca="1" si="123">VLOOKUP(INDIRECT(CHAR(39)&amp;$A2308&amp;CHAR(39)&amp;"!r2c"&amp;$C2308,0),variables,2,0)</f>
        <v>11000</v>
      </c>
      <c r="H2308" s="3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291000</v>
      </c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</row>
    <row r="2309" spans="1:26" ht="13.5" customHeight="1" x14ac:dyDescent="0.3">
      <c r="A2309" s="17" t="s">
        <v>652</v>
      </c>
      <c r="B2309" s="17">
        <f t="shared" si="116"/>
        <v>9</v>
      </c>
      <c r="C2309" s="17">
        <f t="shared" si="117"/>
        <v>27</v>
      </c>
      <c r="D2309" s="17"/>
      <c r="E2309" s="17">
        <f t="shared" si="122"/>
        <v>65919</v>
      </c>
      <c r="F2309" s="17">
        <f t="shared" ca="1" si="1"/>
        <v>2007</v>
      </c>
      <c r="G2309" s="17">
        <f t="shared" ca="1" si="123"/>
        <v>11001</v>
      </c>
      <c r="H2309" s="3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381000</v>
      </c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</row>
    <row r="2310" spans="1:26" ht="13.5" customHeight="1" x14ac:dyDescent="0.3">
      <c r="A2310" s="17" t="s">
        <v>652</v>
      </c>
      <c r="B2310" s="17">
        <f t="shared" si="116"/>
        <v>9</v>
      </c>
      <c r="C2310" s="17">
        <f t="shared" si="117"/>
        <v>28</v>
      </c>
      <c r="D2310" s="17"/>
      <c r="E2310" s="17">
        <f t="shared" si="122"/>
        <v>65919</v>
      </c>
      <c r="F2310" s="17">
        <f t="shared" ca="1" si="1"/>
        <v>2007</v>
      </c>
      <c r="G2310" s="17">
        <f t="shared" ca="1" si="123"/>
        <v>11002</v>
      </c>
      <c r="H2310" s="3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</v>
      </c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</row>
    <row r="2311" spans="1:26" ht="13.5" customHeight="1" x14ac:dyDescent="0.3">
      <c r="A2311" s="17" t="s">
        <v>652</v>
      </c>
      <c r="B2311" s="17">
        <f t="shared" si="116"/>
        <v>9</v>
      </c>
      <c r="C2311" s="17">
        <f t="shared" si="117"/>
        <v>29</v>
      </c>
      <c r="D2311" s="17"/>
      <c r="E2311" s="17">
        <f t="shared" si="122"/>
        <v>65919</v>
      </c>
      <c r="F2311" s="17">
        <f t="shared" ca="1" si="1"/>
        <v>2007</v>
      </c>
      <c r="G2311" s="17">
        <f t="shared" ca="1" si="123"/>
        <v>11003</v>
      </c>
      <c r="H2311" s="3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32065000</v>
      </c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</row>
    <row r="2312" spans="1:26" ht="13.5" customHeight="1" x14ac:dyDescent="0.3">
      <c r="A2312" s="17" t="s">
        <v>652</v>
      </c>
      <c r="B2312" s="17">
        <f t="shared" si="116"/>
        <v>10</v>
      </c>
      <c r="C2312" s="17">
        <f t="shared" si="117"/>
        <v>3</v>
      </c>
      <c r="D2312" s="17"/>
      <c r="E2312" s="17">
        <f t="shared" si="122"/>
        <v>65919</v>
      </c>
      <c r="F2312" s="17">
        <f t="shared" ca="1" si="1"/>
        <v>2008</v>
      </c>
      <c r="G2312" s="17">
        <f t="shared" ca="1" si="123"/>
        <v>10982</v>
      </c>
      <c r="H2312" s="29" t="str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No</v>
      </c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</row>
    <row r="2313" spans="1:26" ht="13.5" customHeight="1" x14ac:dyDescent="0.3">
      <c r="A2313" s="17" t="s">
        <v>652</v>
      </c>
      <c r="B2313" s="17">
        <f t="shared" si="116"/>
        <v>10</v>
      </c>
      <c r="C2313" s="17">
        <f t="shared" si="117"/>
        <v>4</v>
      </c>
      <c r="D2313" s="17"/>
      <c r="E2313" s="17">
        <f t="shared" si="122"/>
        <v>65919</v>
      </c>
      <c r="F2313" s="17">
        <f t="shared" ca="1" si="1"/>
        <v>2008</v>
      </c>
      <c r="G2313" s="17">
        <f t="shared" ca="1" si="123"/>
        <v>10984</v>
      </c>
      <c r="H2313" s="3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6800000</v>
      </c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</row>
    <row r="2314" spans="1:26" ht="13.5" customHeight="1" x14ac:dyDescent="0.3">
      <c r="A2314" s="17" t="s">
        <v>652</v>
      </c>
      <c r="B2314" s="17">
        <f t="shared" si="116"/>
        <v>10</v>
      </c>
      <c r="C2314" s="17">
        <f t="shared" si="117"/>
        <v>5</v>
      </c>
      <c r="D2314" s="17"/>
      <c r="E2314" s="17">
        <f t="shared" si="122"/>
        <v>65919</v>
      </c>
      <c r="F2314" s="17">
        <f t="shared" ca="1" si="1"/>
        <v>2008</v>
      </c>
      <c r="G2314" s="17">
        <f t="shared" ca="1" si="123"/>
        <v>10985</v>
      </c>
      <c r="H2314" s="3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6052000</v>
      </c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</row>
    <row r="2315" spans="1:26" ht="13.5" customHeight="1" x14ac:dyDescent="0.3">
      <c r="A2315" s="17" t="s">
        <v>652</v>
      </c>
      <c r="B2315" s="17">
        <f t="shared" si="116"/>
        <v>10</v>
      </c>
      <c r="C2315" s="17">
        <f t="shared" si="117"/>
        <v>6</v>
      </c>
      <c r="D2315" s="17"/>
      <c r="E2315" s="17">
        <f t="shared" si="122"/>
        <v>65919</v>
      </c>
      <c r="F2315" s="17">
        <f t="shared" ca="1" si="1"/>
        <v>2008</v>
      </c>
      <c r="G2315" s="17">
        <f t="shared" ca="1" si="123"/>
        <v>10986</v>
      </c>
      <c r="H2315" s="3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748000</v>
      </c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</row>
    <row r="2316" spans="1:26" ht="13.5" customHeight="1" x14ac:dyDescent="0.3">
      <c r="A2316" s="17" t="s">
        <v>652</v>
      </c>
      <c r="B2316" s="17">
        <f t="shared" si="116"/>
        <v>10</v>
      </c>
      <c r="C2316" s="17">
        <f t="shared" si="117"/>
        <v>7</v>
      </c>
      <c r="D2316" s="17"/>
      <c r="E2316" s="17">
        <f t="shared" si="122"/>
        <v>65919</v>
      </c>
      <c r="F2316" s="17">
        <f t="shared" ca="1" si="1"/>
        <v>2008</v>
      </c>
      <c r="G2316" s="17">
        <f t="shared" ca="1" si="123"/>
        <v>10974</v>
      </c>
      <c r="H2316" s="29" t="str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Aggregate</v>
      </c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</row>
    <row r="2317" spans="1:26" ht="13.5" customHeight="1" x14ac:dyDescent="0.3">
      <c r="A2317" s="17" t="s">
        <v>652</v>
      </c>
      <c r="B2317" s="17">
        <f t="shared" si="116"/>
        <v>10</v>
      </c>
      <c r="C2317" s="17">
        <f t="shared" si="117"/>
        <v>8</v>
      </c>
      <c r="D2317" s="17"/>
      <c r="E2317" s="17">
        <f t="shared" si="122"/>
        <v>65919</v>
      </c>
      <c r="F2317" s="17">
        <f t="shared" ca="1" si="1"/>
        <v>2008</v>
      </c>
      <c r="G2317" s="17">
        <f t="shared" ca="1" si="123"/>
        <v>10987</v>
      </c>
      <c r="H2317" s="3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0.89</v>
      </c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</row>
    <row r="2318" spans="1:26" ht="13.5" customHeight="1" x14ac:dyDescent="0.3">
      <c r="A2318" s="17" t="s">
        <v>652</v>
      </c>
      <c r="B2318" s="17">
        <f t="shared" si="116"/>
        <v>10</v>
      </c>
      <c r="C2318" s="17">
        <f t="shared" si="117"/>
        <v>9</v>
      </c>
      <c r="D2318" s="17"/>
      <c r="E2318" s="17">
        <f t="shared" si="122"/>
        <v>65919</v>
      </c>
      <c r="F2318" s="17">
        <f t="shared" ca="1" si="1"/>
        <v>2008</v>
      </c>
      <c r="G2318" s="17">
        <f t="shared" ca="1" si="123"/>
        <v>10885</v>
      </c>
      <c r="H2318" s="29" t="str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NA</v>
      </c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</row>
    <row r="2319" spans="1:26" ht="13.5" customHeight="1" x14ac:dyDescent="0.3">
      <c r="A2319" s="17" t="s">
        <v>652</v>
      </c>
      <c r="B2319" s="17">
        <f t="shared" si="116"/>
        <v>10</v>
      </c>
      <c r="C2319" s="17">
        <f t="shared" si="117"/>
        <v>10</v>
      </c>
      <c r="D2319" s="17"/>
      <c r="E2319" s="17">
        <f t="shared" si="122"/>
        <v>65919</v>
      </c>
      <c r="F2319" s="17">
        <f t="shared" ca="1" si="1"/>
        <v>2008</v>
      </c>
      <c r="G2319" s="17">
        <f t="shared" ca="1" si="123"/>
        <v>10886</v>
      </c>
      <c r="H2319" s="29" t="str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NA</v>
      </c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</row>
    <row r="2320" spans="1:26" ht="13.5" customHeight="1" x14ac:dyDescent="0.3">
      <c r="A2320" s="17" t="s">
        <v>652</v>
      </c>
      <c r="B2320" s="17">
        <f t="shared" si="116"/>
        <v>10</v>
      </c>
      <c r="C2320" s="17">
        <f t="shared" si="117"/>
        <v>11</v>
      </c>
      <c r="D2320" s="17"/>
      <c r="E2320" s="17">
        <f t="shared" si="122"/>
        <v>65919</v>
      </c>
      <c r="F2320" s="17">
        <f t="shared" ca="1" si="1"/>
        <v>2008</v>
      </c>
      <c r="G2320" s="17">
        <f t="shared" ca="1" si="123"/>
        <v>10887</v>
      </c>
      <c r="H2320" s="29" t="str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NA</v>
      </c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</row>
    <row r="2321" spans="1:26" ht="13.5" customHeight="1" x14ac:dyDescent="0.3">
      <c r="A2321" s="17" t="s">
        <v>652</v>
      </c>
      <c r="B2321" s="17">
        <f t="shared" si="116"/>
        <v>10</v>
      </c>
      <c r="C2321" s="17">
        <f t="shared" si="117"/>
        <v>12</v>
      </c>
      <c r="D2321" s="17"/>
      <c r="E2321" s="17">
        <f t="shared" si="122"/>
        <v>65919</v>
      </c>
      <c r="F2321" s="17">
        <f t="shared" ca="1" si="1"/>
        <v>2008</v>
      </c>
      <c r="G2321" s="17">
        <f t="shared" ca="1" si="123"/>
        <v>10883</v>
      </c>
      <c r="H2321" s="29" t="str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NA</v>
      </c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</row>
    <row r="2322" spans="1:26" ht="13.5" customHeight="1" x14ac:dyDescent="0.3">
      <c r="A2322" s="17" t="s">
        <v>652</v>
      </c>
      <c r="B2322" s="17">
        <f t="shared" si="116"/>
        <v>10</v>
      </c>
      <c r="C2322" s="17">
        <f t="shared" si="117"/>
        <v>13</v>
      </c>
      <c r="D2322" s="17"/>
      <c r="E2322" s="17">
        <f t="shared" si="122"/>
        <v>65919</v>
      </c>
      <c r="F2322" s="17">
        <f t="shared" ca="1" si="1"/>
        <v>2008</v>
      </c>
      <c r="G2322" s="17">
        <f t="shared" ca="1" si="123"/>
        <v>10989</v>
      </c>
      <c r="H2322" s="3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870000000</v>
      </c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</row>
    <row r="2323" spans="1:26" ht="13.5" customHeight="1" x14ac:dyDescent="0.3">
      <c r="A2323" s="17" t="s">
        <v>652</v>
      </c>
      <c r="B2323" s="17">
        <f t="shared" si="116"/>
        <v>10</v>
      </c>
      <c r="C2323" s="17">
        <f t="shared" si="117"/>
        <v>14</v>
      </c>
      <c r="D2323" s="17"/>
      <c r="E2323" s="17">
        <f t="shared" si="122"/>
        <v>65919</v>
      </c>
      <c r="F2323" s="17">
        <f t="shared" ca="1" si="1"/>
        <v>2008</v>
      </c>
      <c r="G2323" s="17">
        <f t="shared" ca="1" si="123"/>
        <v>10990</v>
      </c>
      <c r="H2323" s="3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745000000</v>
      </c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</row>
    <row r="2324" spans="1:26" ht="13.5" customHeight="1" x14ac:dyDescent="0.3">
      <c r="A2324" s="17" t="s">
        <v>652</v>
      </c>
      <c r="B2324" s="17">
        <f t="shared" si="116"/>
        <v>10</v>
      </c>
      <c r="C2324" s="17">
        <f t="shared" si="117"/>
        <v>15</v>
      </c>
      <c r="D2324" s="17"/>
      <c r="E2324" s="17">
        <f t="shared" si="122"/>
        <v>65919</v>
      </c>
      <c r="F2324" s="17">
        <f t="shared" ca="1" si="1"/>
        <v>2008</v>
      </c>
      <c r="G2324" s="17">
        <f t="shared" ca="1" si="123"/>
        <v>10991</v>
      </c>
      <c r="H2324" s="3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-124000000</v>
      </c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</row>
    <row r="2325" spans="1:26" ht="13.5" customHeight="1" x14ac:dyDescent="0.3">
      <c r="A2325" s="17" t="s">
        <v>652</v>
      </c>
      <c r="B2325" s="17">
        <f t="shared" si="116"/>
        <v>10</v>
      </c>
      <c r="C2325" s="17">
        <f t="shared" si="117"/>
        <v>16</v>
      </c>
      <c r="D2325" s="17"/>
      <c r="E2325" s="17">
        <f t="shared" si="122"/>
        <v>65919</v>
      </c>
      <c r="F2325" s="17">
        <f t="shared" ca="1" si="1"/>
        <v>2008</v>
      </c>
      <c r="G2325" s="17">
        <f t="shared" ca="1" si="123"/>
        <v>10992</v>
      </c>
      <c r="H2325" s="3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1.17</v>
      </c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</row>
    <row r="2326" spans="1:26" ht="13.5" customHeight="1" x14ac:dyDescent="0.3">
      <c r="A2326" s="17" t="s">
        <v>652</v>
      </c>
      <c r="B2326" s="17">
        <f t="shared" si="116"/>
        <v>10</v>
      </c>
      <c r="C2326" s="17">
        <f t="shared" si="117"/>
        <v>17</v>
      </c>
      <c r="D2326" s="17"/>
      <c r="E2326" s="17">
        <f t="shared" si="122"/>
        <v>65919</v>
      </c>
      <c r="F2326" s="17">
        <f t="shared" ca="1" si="1"/>
        <v>2008</v>
      </c>
      <c r="G2326" s="17">
        <f t="shared" ca="1" si="123"/>
        <v>10993</v>
      </c>
      <c r="H2326" s="3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79000000</v>
      </c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</row>
    <row r="2327" spans="1:26" ht="13.5" customHeight="1" x14ac:dyDescent="0.3">
      <c r="A2327" s="17" t="s">
        <v>652</v>
      </c>
      <c r="B2327" s="17">
        <f t="shared" si="116"/>
        <v>10</v>
      </c>
      <c r="C2327" s="17">
        <f t="shared" si="117"/>
        <v>18</v>
      </c>
      <c r="D2327" s="17"/>
      <c r="E2327" s="17">
        <f t="shared" si="122"/>
        <v>65919</v>
      </c>
      <c r="F2327" s="17">
        <f t="shared" ca="1" si="1"/>
        <v>2008</v>
      </c>
      <c r="G2327" s="17">
        <f t="shared" ca="1" si="123"/>
        <v>11005</v>
      </c>
      <c r="H2327" s="31" t="str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NA</v>
      </c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</row>
    <row r="2328" spans="1:26" ht="13.5" customHeight="1" x14ac:dyDescent="0.3">
      <c r="A2328" s="17" t="s">
        <v>652</v>
      </c>
      <c r="B2328" s="17">
        <f t="shared" si="116"/>
        <v>10</v>
      </c>
      <c r="C2328" s="17">
        <f t="shared" si="117"/>
        <v>19</v>
      </c>
      <c r="D2328" s="17"/>
      <c r="E2328" s="17">
        <f t="shared" si="122"/>
        <v>65919</v>
      </c>
      <c r="F2328" s="17">
        <f t="shared" ca="1" si="1"/>
        <v>2008</v>
      </c>
      <c r="G2328" s="17">
        <f t="shared" ca="1" si="123"/>
        <v>10988</v>
      </c>
      <c r="H2328" s="3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8.6075949367088608E-2</v>
      </c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</row>
    <row r="2329" spans="1:26" ht="13.5" customHeight="1" x14ac:dyDescent="0.3">
      <c r="A2329" s="17" t="s">
        <v>652</v>
      </c>
      <c r="B2329" s="17">
        <f t="shared" si="116"/>
        <v>10</v>
      </c>
      <c r="C2329" s="17">
        <f t="shared" si="117"/>
        <v>20</v>
      </c>
      <c r="D2329" s="17"/>
      <c r="E2329" s="17">
        <f t="shared" si="122"/>
        <v>65919</v>
      </c>
      <c r="F2329" s="17">
        <f t="shared" ca="1" si="1"/>
        <v>2008</v>
      </c>
      <c r="G2329" s="17">
        <f t="shared" ca="1" si="123"/>
        <v>10996</v>
      </c>
      <c r="H2329" s="3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931844000</v>
      </c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</row>
    <row r="2330" spans="1:26" ht="13.5" customHeight="1" x14ac:dyDescent="0.3">
      <c r="A2330" s="17" t="s">
        <v>652</v>
      </c>
      <c r="B2330" s="17">
        <f t="shared" si="116"/>
        <v>10</v>
      </c>
      <c r="C2330" s="17">
        <f t="shared" si="117"/>
        <v>21</v>
      </c>
      <c r="D2330" s="17"/>
      <c r="E2330" s="17">
        <f t="shared" si="122"/>
        <v>65919</v>
      </c>
      <c r="F2330" s="17">
        <f t="shared" ca="1" si="1"/>
        <v>2008</v>
      </c>
      <c r="G2330" s="17">
        <f t="shared" ca="1" si="123"/>
        <v>10997</v>
      </c>
      <c r="H2330" s="3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1.2507973154362415</v>
      </c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</row>
    <row r="2331" spans="1:26" ht="13.5" customHeight="1" x14ac:dyDescent="0.3">
      <c r="A2331" s="17" t="s">
        <v>652</v>
      </c>
      <c r="B2331" s="17">
        <f t="shared" si="116"/>
        <v>10</v>
      </c>
      <c r="C2331" s="17">
        <f t="shared" si="117"/>
        <v>22</v>
      </c>
      <c r="D2331" s="17"/>
      <c r="E2331" s="17">
        <f t="shared" si="122"/>
        <v>65919</v>
      </c>
      <c r="F2331" s="17">
        <f t="shared" ca="1" si="1"/>
        <v>2008</v>
      </c>
      <c r="G2331" s="17">
        <f t="shared" ca="1" si="123"/>
        <v>10980</v>
      </c>
      <c r="H2331" s="3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</row>
    <row r="2332" spans="1:26" ht="13.5" customHeight="1" x14ac:dyDescent="0.3">
      <c r="A2332" s="17" t="s">
        <v>652</v>
      </c>
      <c r="B2332" s="17">
        <f t="shared" si="116"/>
        <v>10</v>
      </c>
      <c r="C2332" s="17">
        <f t="shared" si="117"/>
        <v>23</v>
      </c>
      <c r="D2332" s="17"/>
      <c r="E2332" s="17">
        <f t="shared" si="122"/>
        <v>65919</v>
      </c>
      <c r="F2332" s="17">
        <f t="shared" ca="1" si="1"/>
        <v>2008</v>
      </c>
      <c r="G2332" s="17">
        <f t="shared" ca="1" si="123"/>
        <v>10981</v>
      </c>
      <c r="H2332" s="3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</row>
    <row r="2333" spans="1:26" ht="13.5" customHeight="1" x14ac:dyDescent="0.3">
      <c r="A2333" s="17" t="s">
        <v>652</v>
      </c>
      <c r="B2333" s="17">
        <f t="shared" si="116"/>
        <v>10</v>
      </c>
      <c r="C2333" s="17">
        <f t="shared" si="117"/>
        <v>24</v>
      </c>
      <c r="D2333" s="17"/>
      <c r="E2333" s="17">
        <f t="shared" si="122"/>
        <v>65919</v>
      </c>
      <c r="F2333" s="17">
        <f t="shared" ca="1" si="1"/>
        <v>2008</v>
      </c>
      <c r="G2333" s="17">
        <f t="shared" ca="1" si="123"/>
        <v>10998</v>
      </c>
      <c r="H2333" s="3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23600000</v>
      </c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</row>
    <row r="2334" spans="1:26" ht="13.5" customHeight="1" x14ac:dyDescent="0.3">
      <c r="A2334" s="17" t="s">
        <v>652</v>
      </c>
      <c r="B2334" s="17">
        <f t="shared" si="116"/>
        <v>10</v>
      </c>
      <c r="C2334" s="17">
        <f t="shared" si="117"/>
        <v>25</v>
      </c>
      <c r="D2334" s="17"/>
      <c r="E2334" s="17">
        <f t="shared" si="122"/>
        <v>65919</v>
      </c>
      <c r="F2334" s="17">
        <f t="shared" ca="1" si="1"/>
        <v>2008</v>
      </c>
      <c r="G2334" s="17">
        <f t="shared" ca="1" si="123"/>
        <v>10999</v>
      </c>
      <c r="H2334" s="3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32963000</v>
      </c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</row>
    <row r="2335" spans="1:26" ht="13.5" customHeight="1" x14ac:dyDescent="0.3">
      <c r="A2335" s="17" t="s">
        <v>652</v>
      </c>
      <c r="B2335" s="17">
        <f t="shared" si="116"/>
        <v>10</v>
      </c>
      <c r="C2335" s="17">
        <f t="shared" si="117"/>
        <v>26</v>
      </c>
      <c r="D2335" s="17"/>
      <c r="E2335" s="17">
        <f t="shared" si="122"/>
        <v>65919</v>
      </c>
      <c r="F2335" s="17">
        <f t="shared" ca="1" si="1"/>
        <v>2008</v>
      </c>
      <c r="G2335" s="17">
        <f t="shared" ca="1" si="123"/>
        <v>11000</v>
      </c>
      <c r="H2335" s="3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269000</v>
      </c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</row>
    <row r="2336" spans="1:26" ht="13.5" customHeight="1" x14ac:dyDescent="0.3">
      <c r="A2336" s="17" t="s">
        <v>652</v>
      </c>
      <c r="B2336" s="17">
        <f t="shared" si="116"/>
        <v>10</v>
      </c>
      <c r="C2336" s="17">
        <f t="shared" si="117"/>
        <v>27</v>
      </c>
      <c r="D2336" s="17"/>
      <c r="E2336" s="17">
        <f t="shared" si="122"/>
        <v>65919</v>
      </c>
      <c r="F2336" s="17">
        <f t="shared" ca="1" si="1"/>
        <v>2008</v>
      </c>
      <c r="G2336" s="17">
        <f t="shared" ca="1" si="123"/>
        <v>11001</v>
      </c>
      <c r="H2336" s="3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391000</v>
      </c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</row>
    <row r="2337" spans="1:26" ht="13.5" customHeight="1" x14ac:dyDescent="0.3">
      <c r="A2337" s="17" t="s">
        <v>652</v>
      </c>
      <c r="B2337" s="17">
        <f t="shared" si="116"/>
        <v>10</v>
      </c>
      <c r="C2337" s="17">
        <f t="shared" si="117"/>
        <v>28</v>
      </c>
      <c r="D2337" s="17"/>
      <c r="E2337" s="17">
        <f t="shared" si="122"/>
        <v>65919</v>
      </c>
      <c r="F2337" s="17">
        <f t="shared" ca="1" si="1"/>
        <v>2008</v>
      </c>
      <c r="G2337" s="17">
        <f t="shared" ca="1" si="123"/>
        <v>11002</v>
      </c>
      <c r="H2337" s="3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8000</v>
      </c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</row>
    <row r="2338" spans="1:26" ht="13.5" customHeight="1" x14ac:dyDescent="0.3">
      <c r="A2338" s="17" t="s">
        <v>652</v>
      </c>
      <c r="B2338" s="17">
        <f t="shared" si="116"/>
        <v>10</v>
      </c>
      <c r="C2338" s="17">
        <f t="shared" si="117"/>
        <v>29</v>
      </c>
      <c r="D2338" s="17"/>
      <c r="E2338" s="17">
        <f t="shared" si="122"/>
        <v>65919</v>
      </c>
      <c r="F2338" s="17">
        <f t="shared" ca="1" si="1"/>
        <v>2008</v>
      </c>
      <c r="G2338" s="17">
        <f t="shared" ca="1" si="123"/>
        <v>11003</v>
      </c>
      <c r="H2338" s="3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33631000</v>
      </c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</row>
    <row r="2339" spans="1:26" ht="13.5" customHeight="1" x14ac:dyDescent="0.3">
      <c r="A2339" s="17" t="s">
        <v>652</v>
      </c>
      <c r="B2339" s="17">
        <f t="shared" si="116"/>
        <v>11</v>
      </c>
      <c r="C2339" s="17">
        <f t="shared" si="117"/>
        <v>3</v>
      </c>
      <c r="D2339" s="17"/>
      <c r="E2339" s="17">
        <f t="shared" si="122"/>
        <v>65919</v>
      </c>
      <c r="F2339" s="17">
        <f t="shared" ca="1" si="1"/>
        <v>2009</v>
      </c>
      <c r="G2339" s="17">
        <f t="shared" ca="1" si="123"/>
        <v>10982</v>
      </c>
      <c r="H2339" s="29" t="str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No</v>
      </c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</row>
    <row r="2340" spans="1:26" ht="13.5" customHeight="1" x14ac:dyDescent="0.3">
      <c r="A2340" s="17" t="s">
        <v>652</v>
      </c>
      <c r="B2340" s="17">
        <f t="shared" si="116"/>
        <v>11</v>
      </c>
      <c r="C2340" s="17">
        <f t="shared" si="117"/>
        <v>4</v>
      </c>
      <c r="D2340" s="17"/>
      <c r="E2340" s="17">
        <f t="shared" si="122"/>
        <v>65919</v>
      </c>
      <c r="F2340" s="17">
        <f t="shared" ca="1" si="1"/>
        <v>2009</v>
      </c>
      <c r="G2340" s="17">
        <f t="shared" ca="1" si="123"/>
        <v>10984</v>
      </c>
      <c r="H2340" s="3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5000000</v>
      </c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</row>
    <row r="2341" spans="1:26" ht="13.5" customHeight="1" x14ac:dyDescent="0.3">
      <c r="A2341" s="17" t="s">
        <v>652</v>
      </c>
      <c r="B2341" s="17">
        <f t="shared" si="116"/>
        <v>11</v>
      </c>
      <c r="C2341" s="17">
        <f t="shared" si="117"/>
        <v>5</v>
      </c>
      <c r="D2341" s="17"/>
      <c r="E2341" s="17">
        <f t="shared" si="122"/>
        <v>65919</v>
      </c>
      <c r="F2341" s="17">
        <f t="shared" ca="1" si="1"/>
        <v>2009</v>
      </c>
      <c r="G2341" s="17">
        <f t="shared" ca="1" si="123"/>
        <v>10985</v>
      </c>
      <c r="H2341" s="3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6350000</v>
      </c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</row>
    <row r="2342" spans="1:26" ht="13.5" customHeight="1" x14ac:dyDescent="0.3">
      <c r="A2342" s="17" t="s">
        <v>652</v>
      </c>
      <c r="B2342" s="17">
        <f t="shared" si="116"/>
        <v>11</v>
      </c>
      <c r="C2342" s="17">
        <f t="shared" si="117"/>
        <v>6</v>
      </c>
      <c r="D2342" s="17"/>
      <c r="E2342" s="17">
        <f t="shared" si="122"/>
        <v>65919</v>
      </c>
      <c r="F2342" s="17">
        <f t="shared" ca="1" si="1"/>
        <v>2009</v>
      </c>
      <c r="G2342" s="17">
        <f t="shared" ca="1" si="123"/>
        <v>10986</v>
      </c>
      <c r="H2342" s="3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-1350000</v>
      </c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</row>
    <row r="2343" spans="1:26" ht="13.5" customHeight="1" x14ac:dyDescent="0.3">
      <c r="A2343" s="17" t="s">
        <v>652</v>
      </c>
      <c r="B2343" s="17">
        <f t="shared" si="116"/>
        <v>11</v>
      </c>
      <c r="C2343" s="17">
        <f t="shared" si="117"/>
        <v>7</v>
      </c>
      <c r="D2343" s="17"/>
      <c r="E2343" s="17">
        <f t="shared" si="122"/>
        <v>65919</v>
      </c>
      <c r="F2343" s="17">
        <f t="shared" ca="1" si="1"/>
        <v>2009</v>
      </c>
      <c r="G2343" s="17">
        <f t="shared" ca="1" si="123"/>
        <v>10974</v>
      </c>
      <c r="H2343" s="29" t="str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Aggregate</v>
      </c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</row>
    <row r="2344" spans="1:26" ht="13.5" customHeight="1" x14ac:dyDescent="0.3">
      <c r="A2344" s="17" t="s">
        <v>652</v>
      </c>
      <c r="B2344" s="17">
        <f t="shared" si="116"/>
        <v>11</v>
      </c>
      <c r="C2344" s="17">
        <f t="shared" si="117"/>
        <v>8</v>
      </c>
      <c r="D2344" s="17"/>
      <c r="E2344" s="17">
        <f t="shared" si="122"/>
        <v>65919</v>
      </c>
      <c r="F2344" s="17">
        <f t="shared" ca="1" si="1"/>
        <v>2009</v>
      </c>
      <c r="G2344" s="17">
        <f t="shared" ca="1" si="123"/>
        <v>10987</v>
      </c>
      <c r="H2344" s="3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1.27</v>
      </c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</row>
    <row r="2345" spans="1:26" ht="13.5" customHeight="1" x14ac:dyDescent="0.3">
      <c r="A2345" s="17" t="s">
        <v>652</v>
      </c>
      <c r="B2345" s="17">
        <f t="shared" si="116"/>
        <v>11</v>
      </c>
      <c r="C2345" s="17">
        <f t="shared" si="117"/>
        <v>9</v>
      </c>
      <c r="D2345" s="17"/>
      <c r="E2345" s="17">
        <f t="shared" si="122"/>
        <v>65919</v>
      </c>
      <c r="F2345" s="17">
        <f t="shared" ca="1" si="1"/>
        <v>2009</v>
      </c>
      <c r="G2345" s="17">
        <f t="shared" ca="1" si="123"/>
        <v>10885</v>
      </c>
      <c r="H2345" s="2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NA</v>
      </c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</row>
    <row r="2346" spans="1:26" ht="13.5" customHeight="1" x14ac:dyDescent="0.3">
      <c r="A2346" s="17" t="s">
        <v>652</v>
      </c>
      <c r="B2346" s="17">
        <f t="shared" si="116"/>
        <v>11</v>
      </c>
      <c r="C2346" s="17">
        <f t="shared" si="117"/>
        <v>10</v>
      </c>
      <c r="D2346" s="17"/>
      <c r="E2346" s="17">
        <f t="shared" si="122"/>
        <v>65919</v>
      </c>
      <c r="F2346" s="17">
        <f t="shared" ca="1" si="1"/>
        <v>2009</v>
      </c>
      <c r="G2346" s="17">
        <f t="shared" ca="1" si="123"/>
        <v>10886</v>
      </c>
      <c r="H2346" s="29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NA</v>
      </c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</row>
    <row r="2347" spans="1:26" ht="13.5" customHeight="1" x14ac:dyDescent="0.3">
      <c r="A2347" s="17" t="s">
        <v>652</v>
      </c>
      <c r="B2347" s="17">
        <f t="shared" si="116"/>
        <v>11</v>
      </c>
      <c r="C2347" s="17">
        <f t="shared" si="117"/>
        <v>11</v>
      </c>
      <c r="D2347" s="17"/>
      <c r="E2347" s="17">
        <f t="shared" si="122"/>
        <v>65919</v>
      </c>
      <c r="F2347" s="17">
        <f t="shared" ca="1" si="1"/>
        <v>2009</v>
      </c>
      <c r="G2347" s="17">
        <f t="shared" ca="1" si="123"/>
        <v>10887</v>
      </c>
      <c r="H2347" s="29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NA</v>
      </c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</row>
    <row r="2348" spans="1:26" ht="13.5" customHeight="1" x14ac:dyDescent="0.3">
      <c r="A2348" s="17" t="s">
        <v>652</v>
      </c>
      <c r="B2348" s="17">
        <f t="shared" si="116"/>
        <v>11</v>
      </c>
      <c r="C2348" s="17">
        <f t="shared" si="117"/>
        <v>12</v>
      </c>
      <c r="D2348" s="17"/>
      <c r="E2348" s="17">
        <f t="shared" si="122"/>
        <v>65919</v>
      </c>
      <c r="F2348" s="17">
        <f t="shared" ca="1" si="1"/>
        <v>2009</v>
      </c>
      <c r="G2348" s="17">
        <f t="shared" ca="1" si="123"/>
        <v>10883</v>
      </c>
      <c r="H2348" s="29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NA</v>
      </c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</row>
    <row r="2349" spans="1:26" ht="13.5" customHeight="1" x14ac:dyDescent="0.3">
      <c r="A2349" s="17" t="s">
        <v>652</v>
      </c>
      <c r="B2349" s="17">
        <f t="shared" si="116"/>
        <v>11</v>
      </c>
      <c r="C2349" s="17">
        <f t="shared" si="117"/>
        <v>13</v>
      </c>
      <c r="D2349" s="17"/>
      <c r="E2349" s="17">
        <f t="shared" si="122"/>
        <v>65919</v>
      </c>
      <c r="F2349" s="17">
        <f t="shared" ca="1" si="1"/>
        <v>2009</v>
      </c>
      <c r="G2349" s="17">
        <f t="shared" ca="1" si="123"/>
        <v>10989</v>
      </c>
      <c r="H2349" s="3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900000000</v>
      </c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</row>
    <row r="2350" spans="1:26" ht="13.5" customHeight="1" x14ac:dyDescent="0.3">
      <c r="A2350" s="17" t="s">
        <v>652</v>
      </c>
      <c r="B2350" s="17">
        <f t="shared" si="116"/>
        <v>11</v>
      </c>
      <c r="C2350" s="17">
        <f t="shared" si="117"/>
        <v>14</v>
      </c>
      <c r="D2350" s="17"/>
      <c r="E2350" s="17">
        <f t="shared" si="122"/>
        <v>65919</v>
      </c>
      <c r="F2350" s="17">
        <f t="shared" ca="1" si="1"/>
        <v>2009</v>
      </c>
      <c r="G2350" s="17">
        <f t="shared" ca="1" si="123"/>
        <v>10990</v>
      </c>
      <c r="H2350" s="3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790000000</v>
      </c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</row>
    <row r="2351" spans="1:26" ht="13.5" customHeight="1" x14ac:dyDescent="0.3">
      <c r="A2351" s="17" t="s">
        <v>652</v>
      </c>
      <c r="B2351" s="17">
        <f t="shared" si="116"/>
        <v>11</v>
      </c>
      <c r="C2351" s="17">
        <f t="shared" si="117"/>
        <v>15</v>
      </c>
      <c r="D2351" s="17"/>
      <c r="E2351" s="17">
        <f t="shared" si="122"/>
        <v>65919</v>
      </c>
      <c r="F2351" s="17">
        <f t="shared" ca="1" si="1"/>
        <v>2009</v>
      </c>
      <c r="G2351" s="17">
        <f t="shared" ca="1" si="123"/>
        <v>10991</v>
      </c>
      <c r="H2351" s="3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-110000000</v>
      </c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</row>
    <row r="2352" spans="1:26" ht="13.5" customHeight="1" x14ac:dyDescent="0.3">
      <c r="A2352" s="17" t="s">
        <v>652</v>
      </c>
      <c r="B2352" s="17">
        <f t="shared" si="116"/>
        <v>11</v>
      </c>
      <c r="C2352" s="17">
        <f t="shared" si="117"/>
        <v>16</v>
      </c>
      <c r="D2352" s="17"/>
      <c r="E2352" s="17">
        <f t="shared" si="122"/>
        <v>65919</v>
      </c>
      <c r="F2352" s="17">
        <f t="shared" ca="1" si="1"/>
        <v>2009</v>
      </c>
      <c r="G2352" s="17">
        <f t="shared" ca="1" si="123"/>
        <v>10992</v>
      </c>
      <c r="H2352" s="3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1.1399999999999999</v>
      </c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</row>
    <row r="2353" spans="1:26" ht="13.5" customHeight="1" x14ac:dyDescent="0.3">
      <c r="A2353" s="17" t="s">
        <v>652</v>
      </c>
      <c r="B2353" s="17">
        <f t="shared" si="116"/>
        <v>11</v>
      </c>
      <c r="C2353" s="17">
        <f t="shared" si="117"/>
        <v>17</v>
      </c>
      <c r="D2353" s="17"/>
      <c r="E2353" s="17">
        <f t="shared" si="122"/>
        <v>65919</v>
      </c>
      <c r="F2353" s="17">
        <f t="shared" ca="1" si="1"/>
        <v>2009</v>
      </c>
      <c r="G2353" s="17">
        <f t="shared" ca="1" si="123"/>
        <v>10993</v>
      </c>
      <c r="H2353" s="3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83000000</v>
      </c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</row>
    <row r="2354" spans="1:26" ht="13.5" customHeight="1" x14ac:dyDescent="0.3">
      <c r="A2354" s="17" t="s">
        <v>652</v>
      </c>
      <c r="B2354" s="17">
        <f t="shared" si="116"/>
        <v>11</v>
      </c>
      <c r="C2354" s="17">
        <f t="shared" si="117"/>
        <v>18</v>
      </c>
      <c r="D2354" s="17"/>
      <c r="E2354" s="17">
        <f t="shared" si="122"/>
        <v>65919</v>
      </c>
      <c r="F2354" s="17">
        <f t="shared" ca="1" si="1"/>
        <v>2009</v>
      </c>
      <c r="G2354" s="17">
        <f t="shared" ca="1" si="123"/>
        <v>11005</v>
      </c>
      <c r="H2354" s="31" t="str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NA</v>
      </c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</row>
    <row r="2355" spans="1:26" ht="13.5" customHeight="1" x14ac:dyDescent="0.3">
      <c r="A2355" s="17" t="s">
        <v>652</v>
      </c>
      <c r="B2355" s="17">
        <f t="shared" si="116"/>
        <v>11</v>
      </c>
      <c r="C2355" s="17">
        <f t="shared" si="117"/>
        <v>19</v>
      </c>
      <c r="D2355" s="17"/>
      <c r="E2355" s="17">
        <f t="shared" si="122"/>
        <v>65919</v>
      </c>
      <c r="F2355" s="17">
        <f t="shared" ca="1" si="1"/>
        <v>2009</v>
      </c>
      <c r="G2355" s="17">
        <f t="shared" ca="1" si="123"/>
        <v>10988</v>
      </c>
      <c r="H2355" s="3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6.0240963855421686E-2</v>
      </c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</row>
    <row r="2356" spans="1:26" ht="13.5" customHeight="1" x14ac:dyDescent="0.3">
      <c r="A2356" s="17" t="s">
        <v>652</v>
      </c>
      <c r="B2356" s="17">
        <f t="shared" si="116"/>
        <v>11</v>
      </c>
      <c r="C2356" s="17">
        <f t="shared" si="117"/>
        <v>20</v>
      </c>
      <c r="D2356" s="17"/>
      <c r="E2356" s="17">
        <f t="shared" si="122"/>
        <v>65919</v>
      </c>
      <c r="F2356" s="17">
        <f t="shared" ca="1" si="1"/>
        <v>2009</v>
      </c>
      <c r="G2356" s="17">
        <f t="shared" ca="1" si="123"/>
        <v>10996</v>
      </c>
      <c r="H2356" s="3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698624000</v>
      </c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</row>
    <row r="2357" spans="1:26" ht="13.5" customHeight="1" x14ac:dyDescent="0.3">
      <c r="A2357" s="17" t="s">
        <v>652</v>
      </c>
      <c r="B2357" s="17">
        <f t="shared" si="116"/>
        <v>11</v>
      </c>
      <c r="C2357" s="17">
        <f t="shared" si="117"/>
        <v>21</v>
      </c>
      <c r="D2357" s="17"/>
      <c r="E2357" s="17">
        <f t="shared" si="122"/>
        <v>65919</v>
      </c>
      <c r="F2357" s="17">
        <f t="shared" ca="1" si="1"/>
        <v>2009</v>
      </c>
      <c r="G2357" s="17">
        <f t="shared" ca="1" si="123"/>
        <v>10997</v>
      </c>
      <c r="H2357" s="3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0.88433417721518992</v>
      </c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</row>
    <row r="2358" spans="1:26" ht="13.5" customHeight="1" x14ac:dyDescent="0.3">
      <c r="A2358" s="17" t="s">
        <v>652</v>
      </c>
      <c r="B2358" s="17">
        <f t="shared" si="116"/>
        <v>11</v>
      </c>
      <c r="C2358" s="17">
        <f t="shared" si="117"/>
        <v>22</v>
      </c>
      <c r="D2358" s="17"/>
      <c r="E2358" s="17">
        <f t="shared" si="122"/>
        <v>65919</v>
      </c>
      <c r="F2358" s="17">
        <f t="shared" ca="1" si="1"/>
        <v>2009</v>
      </c>
      <c r="G2358" s="17">
        <f t="shared" ca="1" si="123"/>
        <v>10980</v>
      </c>
      <c r="H2358" s="3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</row>
    <row r="2359" spans="1:26" ht="13.5" customHeight="1" x14ac:dyDescent="0.3">
      <c r="A2359" s="17" t="s">
        <v>652</v>
      </c>
      <c r="B2359" s="17">
        <f t="shared" si="116"/>
        <v>11</v>
      </c>
      <c r="C2359" s="17">
        <f t="shared" si="117"/>
        <v>23</v>
      </c>
      <c r="D2359" s="17"/>
      <c r="E2359" s="17">
        <f t="shared" si="122"/>
        <v>65919</v>
      </c>
      <c r="F2359" s="17">
        <f t="shared" ca="1" si="1"/>
        <v>2009</v>
      </c>
      <c r="G2359" s="17">
        <f t="shared" ca="1" si="123"/>
        <v>10981</v>
      </c>
      <c r="H2359" s="3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</v>
      </c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</row>
    <row r="2360" spans="1:26" ht="13.5" customHeight="1" x14ac:dyDescent="0.3">
      <c r="A2360" s="17" t="s">
        <v>652</v>
      </c>
      <c r="B2360" s="17">
        <f t="shared" si="116"/>
        <v>11</v>
      </c>
      <c r="C2360" s="17">
        <f t="shared" si="117"/>
        <v>24</v>
      </c>
      <c r="D2360" s="17"/>
      <c r="E2360" s="17">
        <f t="shared" si="122"/>
        <v>65919</v>
      </c>
      <c r="F2360" s="17">
        <f t="shared" ca="1" si="1"/>
        <v>2009</v>
      </c>
      <c r="G2360" s="17">
        <f t="shared" ca="1" si="123"/>
        <v>10998</v>
      </c>
      <c r="H2360" s="30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-6200000</v>
      </c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</row>
    <row r="2361" spans="1:26" ht="13.5" customHeight="1" x14ac:dyDescent="0.3">
      <c r="A2361" s="17" t="s">
        <v>652</v>
      </c>
      <c r="B2361" s="17">
        <f t="shared" si="116"/>
        <v>11</v>
      </c>
      <c r="C2361" s="17">
        <f t="shared" si="117"/>
        <v>25</v>
      </c>
      <c r="D2361" s="17"/>
      <c r="E2361" s="17">
        <f t="shared" si="122"/>
        <v>65919</v>
      </c>
      <c r="F2361" s="17">
        <f t="shared" ca="1" si="1"/>
        <v>2009</v>
      </c>
      <c r="G2361" s="17">
        <f t="shared" ca="1" si="123"/>
        <v>10999</v>
      </c>
      <c r="H2361" s="3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34522000</v>
      </c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</row>
    <row r="2362" spans="1:26" ht="13.5" customHeight="1" x14ac:dyDescent="0.3">
      <c r="A2362" s="17" t="s">
        <v>652</v>
      </c>
      <c r="B2362" s="17">
        <f t="shared" si="116"/>
        <v>11</v>
      </c>
      <c r="C2362" s="17">
        <f t="shared" si="117"/>
        <v>26</v>
      </c>
      <c r="D2362" s="17"/>
      <c r="E2362" s="17">
        <f t="shared" si="122"/>
        <v>65919</v>
      </c>
      <c r="F2362" s="17">
        <f t="shared" ca="1" si="1"/>
        <v>2009</v>
      </c>
      <c r="G2362" s="17">
        <f t="shared" ca="1" si="123"/>
        <v>11000</v>
      </c>
      <c r="H2362" s="3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211000</v>
      </c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</row>
    <row r="2363" spans="1:26" ht="13.5" customHeight="1" x14ac:dyDescent="0.3">
      <c r="A2363" s="17" t="s">
        <v>652</v>
      </c>
      <c r="B2363" s="17">
        <f t="shared" si="116"/>
        <v>11</v>
      </c>
      <c r="C2363" s="17">
        <f t="shared" si="117"/>
        <v>27</v>
      </c>
      <c r="D2363" s="17"/>
      <c r="E2363" s="17">
        <f t="shared" si="122"/>
        <v>65919</v>
      </c>
      <c r="F2363" s="17">
        <f t="shared" ca="1" si="1"/>
        <v>2009</v>
      </c>
      <c r="G2363" s="17">
        <f t="shared" ca="1" si="123"/>
        <v>11001</v>
      </c>
      <c r="H2363" s="30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354000</v>
      </c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</row>
    <row r="2364" spans="1:26" ht="13.5" customHeight="1" x14ac:dyDescent="0.3">
      <c r="A2364" s="17" t="s">
        <v>652</v>
      </c>
      <c r="B2364" s="17">
        <f t="shared" si="116"/>
        <v>11</v>
      </c>
      <c r="C2364" s="17">
        <f t="shared" si="117"/>
        <v>28</v>
      </c>
      <c r="D2364" s="17"/>
      <c r="E2364" s="17">
        <f t="shared" si="122"/>
        <v>65919</v>
      </c>
      <c r="F2364" s="17">
        <f t="shared" ca="1" si="1"/>
        <v>2009</v>
      </c>
      <c r="G2364" s="17">
        <f t="shared" ca="1" si="123"/>
        <v>11002</v>
      </c>
      <c r="H2364" s="30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160000</v>
      </c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</row>
    <row r="2365" spans="1:26" ht="13.5" customHeight="1" x14ac:dyDescent="0.3">
      <c r="A2365" s="17" t="s">
        <v>652</v>
      </c>
      <c r="B2365" s="17">
        <f t="shared" si="116"/>
        <v>11</v>
      </c>
      <c r="C2365" s="17">
        <f t="shared" si="117"/>
        <v>29</v>
      </c>
      <c r="D2365" s="17"/>
      <c r="E2365" s="17">
        <f t="shared" si="122"/>
        <v>65919</v>
      </c>
      <c r="F2365" s="17">
        <f t="shared" ca="1" si="1"/>
        <v>2009</v>
      </c>
      <c r="G2365" s="17">
        <f t="shared" ca="1" si="123"/>
        <v>11003</v>
      </c>
      <c r="H2365" s="30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35247000</v>
      </c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</row>
    <row r="2366" spans="1:26" ht="13.5" customHeight="1" x14ac:dyDescent="0.3">
      <c r="A2366" s="17" t="s">
        <v>652</v>
      </c>
      <c r="B2366" s="17">
        <f t="shared" si="116"/>
        <v>12</v>
      </c>
      <c r="C2366" s="17">
        <f t="shared" si="117"/>
        <v>3</v>
      </c>
      <c r="D2366" s="17"/>
      <c r="E2366" s="17">
        <f t="shared" si="122"/>
        <v>65919</v>
      </c>
      <c r="F2366" s="17">
        <f t="shared" ca="1" si="1"/>
        <v>2010</v>
      </c>
      <c r="G2366" s="17">
        <f t="shared" ca="1" si="123"/>
        <v>10982</v>
      </c>
      <c r="H2366" s="29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No</v>
      </c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</row>
    <row r="2367" spans="1:26" ht="13.5" customHeight="1" x14ac:dyDescent="0.3">
      <c r="A2367" s="17" t="s">
        <v>652</v>
      </c>
      <c r="B2367" s="17">
        <f t="shared" si="116"/>
        <v>12</v>
      </c>
      <c r="C2367" s="17">
        <f t="shared" si="117"/>
        <v>4</v>
      </c>
      <c r="D2367" s="17"/>
      <c r="E2367" s="17">
        <f t="shared" si="122"/>
        <v>65919</v>
      </c>
      <c r="F2367" s="17">
        <f t="shared" ca="1" si="1"/>
        <v>2010</v>
      </c>
      <c r="G2367" s="17">
        <f t="shared" ca="1" si="123"/>
        <v>10984</v>
      </c>
      <c r="H2367" s="3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6600000</v>
      </c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</row>
    <row r="2368" spans="1:26" ht="13.5" customHeight="1" x14ac:dyDescent="0.3">
      <c r="A2368" s="17" t="s">
        <v>652</v>
      </c>
      <c r="B2368" s="17">
        <f t="shared" si="116"/>
        <v>12</v>
      </c>
      <c r="C2368" s="17">
        <f t="shared" si="117"/>
        <v>5</v>
      </c>
      <c r="D2368" s="17"/>
      <c r="E2368" s="17">
        <f t="shared" si="122"/>
        <v>65919</v>
      </c>
      <c r="F2368" s="17">
        <f t="shared" ca="1" si="1"/>
        <v>2010</v>
      </c>
      <c r="G2368" s="17">
        <f t="shared" ca="1" si="123"/>
        <v>10985</v>
      </c>
      <c r="H2368" s="3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5280000</v>
      </c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</row>
    <row r="2369" spans="1:26" ht="13.5" customHeight="1" x14ac:dyDescent="0.3">
      <c r="A2369" s="17" t="s">
        <v>652</v>
      </c>
      <c r="B2369" s="17">
        <f t="shared" si="116"/>
        <v>12</v>
      </c>
      <c r="C2369" s="17">
        <f t="shared" si="117"/>
        <v>6</v>
      </c>
      <c r="D2369" s="17"/>
      <c r="E2369" s="17">
        <f t="shared" si="122"/>
        <v>65919</v>
      </c>
      <c r="F2369" s="17">
        <f t="shared" ca="1" si="1"/>
        <v>2010</v>
      </c>
      <c r="G2369" s="17">
        <f t="shared" ca="1" si="123"/>
        <v>10986</v>
      </c>
      <c r="H2369" s="30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1320000</v>
      </c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</row>
    <row r="2370" spans="1:26" ht="13.5" customHeight="1" x14ac:dyDescent="0.3">
      <c r="A2370" s="17" t="s">
        <v>652</v>
      </c>
      <c r="B2370" s="17">
        <f t="shared" si="116"/>
        <v>12</v>
      </c>
      <c r="C2370" s="17">
        <f t="shared" si="117"/>
        <v>7</v>
      </c>
      <c r="D2370" s="17"/>
      <c r="E2370" s="17">
        <f t="shared" si="122"/>
        <v>65919</v>
      </c>
      <c r="F2370" s="17">
        <f t="shared" ca="1" si="1"/>
        <v>2010</v>
      </c>
      <c r="G2370" s="17">
        <f t="shared" ca="1" si="123"/>
        <v>10974</v>
      </c>
      <c r="H2370" s="2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Aggregate</v>
      </c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</row>
    <row r="2371" spans="1:26" ht="13.5" customHeight="1" x14ac:dyDescent="0.3">
      <c r="A2371" s="17" t="s">
        <v>652</v>
      </c>
      <c r="B2371" s="17">
        <f t="shared" si="116"/>
        <v>12</v>
      </c>
      <c r="C2371" s="17">
        <f t="shared" si="117"/>
        <v>8</v>
      </c>
      <c r="D2371" s="17"/>
      <c r="E2371" s="17">
        <f t="shared" si="122"/>
        <v>65919</v>
      </c>
      <c r="F2371" s="17">
        <f t="shared" ca="1" si="1"/>
        <v>2010</v>
      </c>
      <c r="G2371" s="17">
        <f t="shared" ca="1" si="123"/>
        <v>10987</v>
      </c>
      <c r="H2371" s="31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0.8</v>
      </c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</row>
    <row r="2372" spans="1:26" ht="13.5" customHeight="1" x14ac:dyDescent="0.3">
      <c r="A2372" s="17" t="s">
        <v>652</v>
      </c>
      <c r="B2372" s="17">
        <f t="shared" si="116"/>
        <v>12</v>
      </c>
      <c r="C2372" s="17">
        <f t="shared" si="117"/>
        <v>9</v>
      </c>
      <c r="D2372" s="17"/>
      <c r="E2372" s="17">
        <f t="shared" ref="E2372:E2435" si="124">plan_id</f>
        <v>65919</v>
      </c>
      <c r="F2372" s="17">
        <f t="shared" ca="1" si="1"/>
        <v>2010</v>
      </c>
      <c r="G2372" s="17">
        <f t="shared" ref="G2372:G2435" ca="1" si="125">VLOOKUP(INDIRECT(CHAR(39)&amp;$A2372&amp;CHAR(39)&amp;"!r2c"&amp;$C2372,0),variables,2,0)</f>
        <v>10885</v>
      </c>
      <c r="H2372" s="2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NA</v>
      </c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</row>
    <row r="2373" spans="1:26" ht="13.5" customHeight="1" x14ac:dyDescent="0.3">
      <c r="A2373" s="17" t="s">
        <v>652</v>
      </c>
      <c r="B2373" s="17">
        <f t="shared" si="116"/>
        <v>12</v>
      </c>
      <c r="C2373" s="17">
        <f t="shared" si="117"/>
        <v>10</v>
      </c>
      <c r="D2373" s="17"/>
      <c r="E2373" s="17">
        <f t="shared" si="124"/>
        <v>65919</v>
      </c>
      <c r="F2373" s="17">
        <f t="shared" ca="1" si="1"/>
        <v>2010</v>
      </c>
      <c r="G2373" s="17">
        <f t="shared" ca="1" si="125"/>
        <v>10886</v>
      </c>
      <c r="H2373" s="2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NA</v>
      </c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</row>
    <row r="2374" spans="1:26" ht="13.5" customHeight="1" x14ac:dyDescent="0.3">
      <c r="A2374" s="17" t="s">
        <v>652</v>
      </c>
      <c r="B2374" s="17">
        <f t="shared" si="116"/>
        <v>12</v>
      </c>
      <c r="C2374" s="17">
        <f t="shared" si="117"/>
        <v>11</v>
      </c>
      <c r="D2374" s="17"/>
      <c r="E2374" s="17">
        <f t="shared" si="124"/>
        <v>65919</v>
      </c>
      <c r="F2374" s="17">
        <f t="shared" ca="1" si="1"/>
        <v>2010</v>
      </c>
      <c r="G2374" s="17">
        <f t="shared" ca="1" si="125"/>
        <v>10887</v>
      </c>
      <c r="H2374" s="2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NA</v>
      </c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</row>
    <row r="2375" spans="1:26" ht="13.5" customHeight="1" x14ac:dyDescent="0.3">
      <c r="A2375" s="17" t="s">
        <v>652</v>
      </c>
      <c r="B2375" s="17">
        <f t="shared" si="116"/>
        <v>12</v>
      </c>
      <c r="C2375" s="17">
        <f t="shared" si="117"/>
        <v>12</v>
      </c>
      <c r="D2375" s="17"/>
      <c r="E2375" s="17">
        <f t="shared" si="124"/>
        <v>65919</v>
      </c>
      <c r="F2375" s="17">
        <f t="shared" ca="1" si="1"/>
        <v>2010</v>
      </c>
      <c r="G2375" s="17">
        <f t="shared" ca="1" si="125"/>
        <v>10883</v>
      </c>
      <c r="H2375" s="2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NA</v>
      </c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</row>
    <row r="2376" spans="1:26" ht="13.5" customHeight="1" x14ac:dyDescent="0.3">
      <c r="A2376" s="17" t="s">
        <v>652</v>
      </c>
      <c r="B2376" s="17">
        <f t="shared" si="116"/>
        <v>12</v>
      </c>
      <c r="C2376" s="17">
        <f t="shared" si="117"/>
        <v>13</v>
      </c>
      <c r="D2376" s="17"/>
      <c r="E2376" s="17">
        <f t="shared" si="124"/>
        <v>65919</v>
      </c>
      <c r="F2376" s="17">
        <f t="shared" ca="1" si="1"/>
        <v>2010</v>
      </c>
      <c r="G2376" s="17">
        <f t="shared" ca="1" si="125"/>
        <v>10989</v>
      </c>
      <c r="H2376" s="3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920000000</v>
      </c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</row>
    <row r="2377" spans="1:26" ht="13.5" customHeight="1" x14ac:dyDescent="0.3">
      <c r="A2377" s="17" t="s">
        <v>652</v>
      </c>
      <c r="B2377" s="17">
        <f t="shared" si="116"/>
        <v>12</v>
      </c>
      <c r="C2377" s="17">
        <f t="shared" si="117"/>
        <v>14</v>
      </c>
      <c r="D2377" s="17"/>
      <c r="E2377" s="17">
        <f t="shared" si="124"/>
        <v>65919</v>
      </c>
      <c r="F2377" s="17">
        <f t="shared" ca="1" si="1"/>
        <v>2010</v>
      </c>
      <c r="G2377" s="17">
        <f t="shared" ca="1" si="125"/>
        <v>10990</v>
      </c>
      <c r="H2377" s="3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812000000</v>
      </c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</row>
    <row r="2378" spans="1:26" ht="13.5" customHeight="1" x14ac:dyDescent="0.3">
      <c r="A2378" s="17" t="s">
        <v>652</v>
      </c>
      <c r="B2378" s="17">
        <f t="shared" si="116"/>
        <v>12</v>
      </c>
      <c r="C2378" s="17">
        <f t="shared" si="117"/>
        <v>15</v>
      </c>
      <c r="D2378" s="17"/>
      <c r="E2378" s="17">
        <f t="shared" si="124"/>
        <v>65919</v>
      </c>
      <c r="F2378" s="17">
        <f t="shared" ca="1" si="1"/>
        <v>2010</v>
      </c>
      <c r="G2378" s="17">
        <f t="shared" ca="1" si="125"/>
        <v>10991</v>
      </c>
      <c r="H2378" s="3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-107000000</v>
      </c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</row>
    <row r="2379" spans="1:26" ht="13.5" customHeight="1" x14ac:dyDescent="0.3">
      <c r="A2379" s="17" t="s">
        <v>652</v>
      </c>
      <c r="B2379" s="17">
        <f t="shared" si="116"/>
        <v>12</v>
      </c>
      <c r="C2379" s="17">
        <f t="shared" si="117"/>
        <v>16</v>
      </c>
      <c r="D2379" s="17"/>
      <c r="E2379" s="17">
        <f t="shared" si="124"/>
        <v>65919</v>
      </c>
      <c r="F2379" s="17">
        <f t="shared" ca="1" si="1"/>
        <v>2010</v>
      </c>
      <c r="G2379" s="17">
        <f t="shared" ca="1" si="125"/>
        <v>10992</v>
      </c>
      <c r="H2379" s="31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1.1299999999999999</v>
      </c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</row>
    <row r="2380" spans="1:26" ht="13.5" customHeight="1" x14ac:dyDescent="0.3">
      <c r="A2380" s="17" t="s">
        <v>652</v>
      </c>
      <c r="B2380" s="17">
        <f t="shared" si="116"/>
        <v>12</v>
      </c>
      <c r="C2380" s="17">
        <f t="shared" si="117"/>
        <v>17</v>
      </c>
      <c r="D2380" s="17"/>
      <c r="E2380" s="17">
        <f t="shared" si="124"/>
        <v>65919</v>
      </c>
      <c r="F2380" s="17">
        <f t="shared" ca="1" si="1"/>
        <v>2010</v>
      </c>
      <c r="G2380" s="17">
        <f t="shared" ca="1" si="125"/>
        <v>10993</v>
      </c>
      <c r="H2380" s="30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83000000</v>
      </c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</row>
    <row r="2381" spans="1:26" ht="13.5" customHeight="1" x14ac:dyDescent="0.3">
      <c r="A2381" s="17" t="s">
        <v>652</v>
      </c>
      <c r="B2381" s="17">
        <f t="shared" si="116"/>
        <v>12</v>
      </c>
      <c r="C2381" s="17">
        <f t="shared" si="117"/>
        <v>18</v>
      </c>
      <c r="D2381" s="17"/>
      <c r="E2381" s="17">
        <f t="shared" si="124"/>
        <v>65919</v>
      </c>
      <c r="F2381" s="17">
        <f t="shared" ca="1" si="1"/>
        <v>2010</v>
      </c>
      <c r="G2381" s="17">
        <f t="shared" ca="1" si="125"/>
        <v>11005</v>
      </c>
      <c r="H2381" s="3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NA</v>
      </c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</row>
    <row r="2382" spans="1:26" ht="13.5" customHeight="1" x14ac:dyDescent="0.3">
      <c r="A2382" s="17" t="s">
        <v>652</v>
      </c>
      <c r="B2382" s="17">
        <f t="shared" si="116"/>
        <v>12</v>
      </c>
      <c r="C2382" s="17">
        <f t="shared" si="117"/>
        <v>19</v>
      </c>
      <c r="D2382" s="17"/>
      <c r="E2382" s="17">
        <f t="shared" si="124"/>
        <v>65919</v>
      </c>
      <c r="F2382" s="17">
        <f t="shared" ca="1" si="1"/>
        <v>2010</v>
      </c>
      <c r="G2382" s="17">
        <f t="shared" ca="1" si="125"/>
        <v>10988</v>
      </c>
      <c r="H2382" s="31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7.9518072289156624E-2</v>
      </c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</row>
    <row r="2383" spans="1:26" ht="13.5" customHeight="1" x14ac:dyDescent="0.3">
      <c r="A2383" s="17" t="s">
        <v>652</v>
      </c>
      <c r="B2383" s="17">
        <f t="shared" si="116"/>
        <v>12</v>
      </c>
      <c r="C2383" s="17">
        <f t="shared" si="117"/>
        <v>20</v>
      </c>
      <c r="D2383" s="17"/>
      <c r="E2383" s="17">
        <f t="shared" si="124"/>
        <v>65919</v>
      </c>
      <c r="F2383" s="17">
        <f t="shared" ca="1" si="1"/>
        <v>2010</v>
      </c>
      <c r="G2383" s="17">
        <f t="shared" ca="1" si="125"/>
        <v>10996</v>
      </c>
      <c r="H2383" s="3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764191000</v>
      </c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</row>
    <row r="2384" spans="1:26" ht="13.5" customHeight="1" x14ac:dyDescent="0.3">
      <c r="A2384" s="17" t="s">
        <v>652</v>
      </c>
      <c r="B2384" s="17">
        <f t="shared" si="116"/>
        <v>12</v>
      </c>
      <c r="C2384" s="17">
        <f t="shared" si="117"/>
        <v>21</v>
      </c>
      <c r="D2384" s="17"/>
      <c r="E2384" s="17">
        <f t="shared" si="124"/>
        <v>65919</v>
      </c>
      <c r="F2384" s="17">
        <f t="shared" ca="1" si="1"/>
        <v>2010</v>
      </c>
      <c r="G2384" s="17">
        <f t="shared" ca="1" si="125"/>
        <v>10997</v>
      </c>
      <c r="H2384" s="31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0.94112192118226601</v>
      </c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</row>
    <row r="2385" spans="1:26" ht="13.5" customHeight="1" x14ac:dyDescent="0.3">
      <c r="A2385" s="17" t="s">
        <v>652</v>
      </c>
      <c r="B2385" s="17">
        <f t="shared" si="116"/>
        <v>12</v>
      </c>
      <c r="C2385" s="17">
        <f t="shared" si="117"/>
        <v>22</v>
      </c>
      <c r="D2385" s="17"/>
      <c r="E2385" s="17">
        <f t="shared" si="124"/>
        <v>65919</v>
      </c>
      <c r="F2385" s="17">
        <f t="shared" ca="1" si="1"/>
        <v>2010</v>
      </c>
      <c r="G2385" s="17">
        <f t="shared" ca="1" si="125"/>
        <v>10980</v>
      </c>
      <c r="H2385" s="3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</row>
    <row r="2386" spans="1:26" ht="13.5" customHeight="1" x14ac:dyDescent="0.3">
      <c r="A2386" s="17" t="s">
        <v>652</v>
      </c>
      <c r="B2386" s="17">
        <f t="shared" si="116"/>
        <v>12</v>
      </c>
      <c r="C2386" s="17">
        <f t="shared" si="117"/>
        <v>23</v>
      </c>
      <c r="D2386" s="17"/>
      <c r="E2386" s="17">
        <f t="shared" si="124"/>
        <v>65919</v>
      </c>
      <c r="F2386" s="17">
        <f t="shared" ca="1" si="1"/>
        <v>2010</v>
      </c>
      <c r="G2386" s="17">
        <f t="shared" ca="1" si="125"/>
        <v>10981</v>
      </c>
      <c r="H2386" s="3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</row>
    <row r="2387" spans="1:26" ht="13.5" customHeight="1" x14ac:dyDescent="0.3">
      <c r="A2387" s="17" t="s">
        <v>652</v>
      </c>
      <c r="B2387" s="17">
        <f t="shared" si="116"/>
        <v>12</v>
      </c>
      <c r="C2387" s="17">
        <f t="shared" si="117"/>
        <v>24</v>
      </c>
      <c r="D2387" s="17"/>
      <c r="E2387" s="17">
        <f t="shared" si="124"/>
        <v>65919</v>
      </c>
      <c r="F2387" s="17">
        <f t="shared" ca="1" si="1"/>
        <v>2010</v>
      </c>
      <c r="G2387" s="17">
        <f t="shared" ca="1" si="125"/>
        <v>10998</v>
      </c>
      <c r="H2387" s="30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-3000000</v>
      </c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</row>
    <row r="2388" spans="1:26" ht="13.5" customHeight="1" x14ac:dyDescent="0.3">
      <c r="A2388" s="17" t="s">
        <v>652</v>
      </c>
      <c r="B2388" s="17">
        <f t="shared" si="116"/>
        <v>12</v>
      </c>
      <c r="C2388" s="17">
        <f t="shared" si="117"/>
        <v>25</v>
      </c>
      <c r="D2388" s="17"/>
      <c r="E2388" s="17">
        <f t="shared" si="124"/>
        <v>65919</v>
      </c>
      <c r="F2388" s="17">
        <f t="shared" ca="1" si="1"/>
        <v>2010</v>
      </c>
      <c r="G2388" s="17">
        <f t="shared" ca="1" si="125"/>
        <v>10999</v>
      </c>
      <c r="H2388" s="30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36116000</v>
      </c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</row>
    <row r="2389" spans="1:26" ht="13.5" customHeight="1" x14ac:dyDescent="0.3">
      <c r="A2389" s="17" t="s">
        <v>652</v>
      </c>
      <c r="B2389" s="17">
        <f t="shared" si="116"/>
        <v>12</v>
      </c>
      <c r="C2389" s="17">
        <f t="shared" si="117"/>
        <v>26</v>
      </c>
      <c r="D2389" s="17"/>
      <c r="E2389" s="17">
        <f t="shared" si="124"/>
        <v>65919</v>
      </c>
      <c r="F2389" s="17">
        <f t="shared" ca="1" si="1"/>
        <v>2010</v>
      </c>
      <c r="G2389" s="17">
        <f t="shared" ca="1" si="125"/>
        <v>11000</v>
      </c>
      <c r="H2389" s="30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127000</v>
      </c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</row>
    <row r="2390" spans="1:26" ht="13.5" customHeight="1" x14ac:dyDescent="0.3">
      <c r="A2390" s="17" t="s">
        <v>652</v>
      </c>
      <c r="B2390" s="17">
        <f t="shared" si="116"/>
        <v>12</v>
      </c>
      <c r="C2390" s="17">
        <f t="shared" si="117"/>
        <v>27</v>
      </c>
      <c r="D2390" s="17"/>
      <c r="E2390" s="17">
        <f t="shared" si="124"/>
        <v>65919</v>
      </c>
      <c r="F2390" s="17">
        <f t="shared" ca="1" si="1"/>
        <v>2010</v>
      </c>
      <c r="G2390" s="17">
        <f t="shared" ca="1" si="125"/>
        <v>11001</v>
      </c>
      <c r="H2390" s="3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364000</v>
      </c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</row>
    <row r="2391" spans="1:26" ht="13.5" customHeight="1" x14ac:dyDescent="0.3">
      <c r="A2391" s="17" t="s">
        <v>652</v>
      </c>
      <c r="B2391" s="17">
        <f t="shared" si="116"/>
        <v>12</v>
      </c>
      <c r="C2391" s="17">
        <f t="shared" si="117"/>
        <v>28</v>
      </c>
      <c r="D2391" s="17"/>
      <c r="E2391" s="17">
        <f t="shared" si="124"/>
        <v>65919</v>
      </c>
      <c r="F2391" s="17">
        <f t="shared" ca="1" si="1"/>
        <v>2010</v>
      </c>
      <c r="G2391" s="17">
        <f t="shared" ca="1" si="125"/>
        <v>11002</v>
      </c>
      <c r="H2391" s="30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14000</v>
      </c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</row>
    <row r="2392" spans="1:26" ht="13.5" customHeight="1" x14ac:dyDescent="0.3">
      <c r="A2392" s="17" t="s">
        <v>652</v>
      </c>
      <c r="B2392" s="17">
        <f t="shared" si="116"/>
        <v>12</v>
      </c>
      <c r="C2392" s="17">
        <f t="shared" si="117"/>
        <v>29</v>
      </c>
      <c r="D2392" s="17"/>
      <c r="E2392" s="17">
        <f t="shared" si="124"/>
        <v>65919</v>
      </c>
      <c r="F2392" s="17">
        <f t="shared" ca="1" si="1"/>
        <v>2010</v>
      </c>
      <c r="G2392" s="17">
        <f t="shared" ca="1" si="125"/>
        <v>11003</v>
      </c>
      <c r="H2392" s="3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36621000</v>
      </c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</row>
    <row r="2393" spans="1:26" ht="13.5" customHeight="1" x14ac:dyDescent="0.3">
      <c r="A2393" s="17" t="s">
        <v>652</v>
      </c>
      <c r="B2393" s="17">
        <f t="shared" si="116"/>
        <v>13</v>
      </c>
      <c r="C2393" s="17">
        <f t="shared" si="117"/>
        <v>3</v>
      </c>
      <c r="D2393" s="17"/>
      <c r="E2393" s="17">
        <f t="shared" si="124"/>
        <v>65919</v>
      </c>
      <c r="F2393" s="17">
        <f t="shared" ca="1" si="1"/>
        <v>2011</v>
      </c>
      <c r="G2393" s="17">
        <f t="shared" ca="1" si="125"/>
        <v>10982</v>
      </c>
      <c r="H2393" s="2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No</v>
      </c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</row>
    <row r="2394" spans="1:26" ht="13.5" customHeight="1" x14ac:dyDescent="0.3">
      <c r="A2394" s="17" t="s">
        <v>652</v>
      </c>
      <c r="B2394" s="17">
        <f t="shared" si="116"/>
        <v>13</v>
      </c>
      <c r="C2394" s="17">
        <f t="shared" si="117"/>
        <v>4</v>
      </c>
      <c r="D2394" s="17"/>
      <c r="E2394" s="17">
        <f t="shared" si="124"/>
        <v>65919</v>
      </c>
      <c r="F2394" s="17">
        <f t="shared" ca="1" si="1"/>
        <v>2011</v>
      </c>
      <c r="G2394" s="17">
        <f t="shared" ca="1" si="125"/>
        <v>10984</v>
      </c>
      <c r="H2394" s="3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2300000</v>
      </c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</row>
    <row r="2395" spans="1:26" ht="13.5" customHeight="1" x14ac:dyDescent="0.3">
      <c r="A2395" s="17" t="s">
        <v>652</v>
      </c>
      <c r="B2395" s="17">
        <f t="shared" si="116"/>
        <v>13</v>
      </c>
      <c r="C2395" s="17">
        <f t="shared" si="117"/>
        <v>5</v>
      </c>
      <c r="D2395" s="17"/>
      <c r="E2395" s="17">
        <f t="shared" si="124"/>
        <v>65919</v>
      </c>
      <c r="F2395" s="17">
        <f t="shared" ca="1" si="1"/>
        <v>2011</v>
      </c>
      <c r="G2395" s="17">
        <f t="shared" ca="1" si="125"/>
        <v>10985</v>
      </c>
      <c r="H2395" s="3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5244000</v>
      </c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</row>
    <row r="2396" spans="1:26" ht="13.5" customHeight="1" x14ac:dyDescent="0.3">
      <c r="A2396" s="17" t="s">
        <v>652</v>
      </c>
      <c r="B2396" s="17">
        <f t="shared" si="116"/>
        <v>13</v>
      </c>
      <c r="C2396" s="17">
        <f t="shared" si="117"/>
        <v>6</v>
      </c>
      <c r="D2396" s="17"/>
      <c r="E2396" s="17">
        <f t="shared" si="124"/>
        <v>65919</v>
      </c>
      <c r="F2396" s="17">
        <f t="shared" ca="1" si="1"/>
        <v>2011</v>
      </c>
      <c r="G2396" s="17">
        <f t="shared" ca="1" si="125"/>
        <v>10986</v>
      </c>
      <c r="H2396" s="3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-2944000</v>
      </c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</row>
    <row r="2397" spans="1:26" ht="13.5" customHeight="1" x14ac:dyDescent="0.3">
      <c r="A2397" s="17" t="s">
        <v>652</v>
      </c>
      <c r="B2397" s="17">
        <f t="shared" si="116"/>
        <v>13</v>
      </c>
      <c r="C2397" s="17">
        <f t="shared" si="117"/>
        <v>7</v>
      </c>
      <c r="D2397" s="17"/>
      <c r="E2397" s="17">
        <f t="shared" si="124"/>
        <v>65919</v>
      </c>
      <c r="F2397" s="17">
        <f t="shared" ca="1" si="1"/>
        <v>2011</v>
      </c>
      <c r="G2397" s="17">
        <f t="shared" ca="1" si="125"/>
        <v>10974</v>
      </c>
      <c r="H2397" s="2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Aggregate</v>
      </c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</row>
    <row r="2398" spans="1:26" ht="13.5" customHeight="1" x14ac:dyDescent="0.3">
      <c r="A2398" s="17" t="s">
        <v>652</v>
      </c>
      <c r="B2398" s="17">
        <f t="shared" si="116"/>
        <v>13</v>
      </c>
      <c r="C2398" s="17">
        <f t="shared" si="117"/>
        <v>8</v>
      </c>
      <c r="D2398" s="17"/>
      <c r="E2398" s="17">
        <f t="shared" si="124"/>
        <v>65919</v>
      </c>
      <c r="F2398" s="17">
        <f t="shared" ca="1" si="1"/>
        <v>2011</v>
      </c>
      <c r="G2398" s="17">
        <f t="shared" ca="1" si="125"/>
        <v>10987</v>
      </c>
      <c r="H2398" s="3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2.2799999999999998</v>
      </c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</row>
    <row r="2399" spans="1:26" ht="13.5" customHeight="1" x14ac:dyDescent="0.3">
      <c r="A2399" s="17" t="s">
        <v>652</v>
      </c>
      <c r="B2399" s="17">
        <f t="shared" si="116"/>
        <v>13</v>
      </c>
      <c r="C2399" s="17">
        <f t="shared" si="117"/>
        <v>9</v>
      </c>
      <c r="D2399" s="17"/>
      <c r="E2399" s="17">
        <f t="shared" si="124"/>
        <v>65919</v>
      </c>
      <c r="F2399" s="17">
        <f t="shared" ca="1" si="1"/>
        <v>2011</v>
      </c>
      <c r="G2399" s="17">
        <f t="shared" ca="1" si="125"/>
        <v>10885</v>
      </c>
      <c r="H2399" s="29" t="str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NA</v>
      </c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</row>
    <row r="2400" spans="1:26" ht="13.5" customHeight="1" x14ac:dyDescent="0.3">
      <c r="A2400" s="17" t="s">
        <v>652</v>
      </c>
      <c r="B2400" s="17">
        <f t="shared" si="116"/>
        <v>13</v>
      </c>
      <c r="C2400" s="17">
        <f t="shared" si="117"/>
        <v>10</v>
      </c>
      <c r="D2400" s="17"/>
      <c r="E2400" s="17">
        <f t="shared" si="124"/>
        <v>65919</v>
      </c>
      <c r="F2400" s="17">
        <f t="shared" ca="1" si="1"/>
        <v>2011</v>
      </c>
      <c r="G2400" s="17">
        <f t="shared" ca="1" si="125"/>
        <v>10886</v>
      </c>
      <c r="H2400" s="29" t="str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NA</v>
      </c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</row>
    <row r="2401" spans="1:26" ht="13.5" customHeight="1" x14ac:dyDescent="0.3">
      <c r="A2401" s="17" t="s">
        <v>652</v>
      </c>
      <c r="B2401" s="17">
        <f t="shared" si="116"/>
        <v>13</v>
      </c>
      <c r="C2401" s="17">
        <f t="shared" si="117"/>
        <v>11</v>
      </c>
      <c r="D2401" s="17"/>
      <c r="E2401" s="17">
        <f t="shared" si="124"/>
        <v>65919</v>
      </c>
      <c r="F2401" s="17">
        <f t="shared" ca="1" si="1"/>
        <v>2011</v>
      </c>
      <c r="G2401" s="17">
        <f t="shared" ca="1" si="125"/>
        <v>10887</v>
      </c>
      <c r="H2401" s="29" t="str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NA</v>
      </c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</row>
    <row r="2402" spans="1:26" ht="13.5" customHeight="1" x14ac:dyDescent="0.3">
      <c r="A2402" s="17" t="s">
        <v>652</v>
      </c>
      <c r="B2402" s="17">
        <f t="shared" si="116"/>
        <v>13</v>
      </c>
      <c r="C2402" s="17">
        <f t="shared" si="117"/>
        <v>12</v>
      </c>
      <c r="D2402" s="17"/>
      <c r="E2402" s="17">
        <f t="shared" si="124"/>
        <v>65919</v>
      </c>
      <c r="F2402" s="17">
        <f t="shared" ca="1" si="1"/>
        <v>2011</v>
      </c>
      <c r="G2402" s="17">
        <f t="shared" ca="1" si="125"/>
        <v>10883</v>
      </c>
      <c r="H2402" s="29" t="str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NA</v>
      </c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</row>
    <row r="2403" spans="1:26" ht="13.5" customHeight="1" x14ac:dyDescent="0.3">
      <c r="A2403" s="17" t="s">
        <v>652</v>
      </c>
      <c r="B2403" s="17">
        <f t="shared" si="116"/>
        <v>13</v>
      </c>
      <c r="C2403" s="17">
        <f t="shared" si="117"/>
        <v>13</v>
      </c>
      <c r="D2403" s="17"/>
      <c r="E2403" s="17">
        <f t="shared" si="124"/>
        <v>65919</v>
      </c>
      <c r="F2403" s="17">
        <f t="shared" ca="1" si="1"/>
        <v>2011</v>
      </c>
      <c r="G2403" s="17">
        <f t="shared" ca="1" si="125"/>
        <v>10989</v>
      </c>
      <c r="H2403" s="3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949000000</v>
      </c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</row>
    <row r="2404" spans="1:26" ht="13.5" customHeight="1" x14ac:dyDescent="0.3">
      <c r="A2404" s="17" t="s">
        <v>652</v>
      </c>
      <c r="B2404" s="17">
        <f t="shared" si="116"/>
        <v>13</v>
      </c>
      <c r="C2404" s="17">
        <f t="shared" si="117"/>
        <v>14</v>
      </c>
      <c r="D2404" s="17"/>
      <c r="E2404" s="17">
        <f t="shared" si="124"/>
        <v>65919</v>
      </c>
      <c r="F2404" s="17">
        <f t="shared" ca="1" si="1"/>
        <v>2011</v>
      </c>
      <c r="G2404" s="17">
        <f t="shared" ca="1" si="125"/>
        <v>10990</v>
      </c>
      <c r="H2404" s="3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859000000</v>
      </c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</row>
    <row r="2405" spans="1:26" ht="13.5" customHeight="1" x14ac:dyDescent="0.3">
      <c r="A2405" s="17" t="s">
        <v>652</v>
      </c>
      <c r="B2405" s="17">
        <f t="shared" si="116"/>
        <v>13</v>
      </c>
      <c r="C2405" s="17">
        <f t="shared" si="117"/>
        <v>15</v>
      </c>
      <c r="D2405" s="17"/>
      <c r="E2405" s="17">
        <f t="shared" si="124"/>
        <v>65919</v>
      </c>
      <c r="F2405" s="17">
        <f t="shared" ca="1" si="1"/>
        <v>2011</v>
      </c>
      <c r="G2405" s="17">
        <f t="shared" ca="1" si="125"/>
        <v>10991</v>
      </c>
      <c r="H2405" s="3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-90000000</v>
      </c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</row>
    <row r="2406" spans="1:26" ht="13.5" customHeight="1" x14ac:dyDescent="0.3">
      <c r="A2406" s="17" t="s">
        <v>652</v>
      </c>
      <c r="B2406" s="17">
        <f t="shared" si="116"/>
        <v>13</v>
      </c>
      <c r="C2406" s="17">
        <f t="shared" si="117"/>
        <v>16</v>
      </c>
      <c r="D2406" s="17"/>
      <c r="E2406" s="17">
        <f t="shared" si="124"/>
        <v>65919</v>
      </c>
      <c r="F2406" s="17">
        <f t="shared" ca="1" si="1"/>
        <v>2011</v>
      </c>
      <c r="G2406" s="17">
        <f t="shared" ca="1" si="125"/>
        <v>10992</v>
      </c>
      <c r="H2406" s="3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1.1000000000000001</v>
      </c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</row>
    <row r="2407" spans="1:26" ht="13.5" customHeight="1" x14ac:dyDescent="0.3">
      <c r="A2407" s="17" t="s">
        <v>652</v>
      </c>
      <c r="B2407" s="17">
        <f t="shared" si="116"/>
        <v>13</v>
      </c>
      <c r="C2407" s="17">
        <f t="shared" si="117"/>
        <v>17</v>
      </c>
      <c r="D2407" s="17"/>
      <c r="E2407" s="17">
        <f t="shared" si="124"/>
        <v>65919</v>
      </c>
      <c r="F2407" s="17">
        <f t="shared" ca="1" si="1"/>
        <v>2011</v>
      </c>
      <c r="G2407" s="17">
        <f t="shared" ca="1" si="125"/>
        <v>10993</v>
      </c>
      <c r="H2407" s="3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82000000</v>
      </c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</row>
    <row r="2408" spans="1:26" ht="13.5" customHeight="1" x14ac:dyDescent="0.3">
      <c r="A2408" s="17" t="s">
        <v>652</v>
      </c>
      <c r="B2408" s="17">
        <f t="shared" si="116"/>
        <v>13</v>
      </c>
      <c r="C2408" s="17">
        <f t="shared" si="117"/>
        <v>18</v>
      </c>
      <c r="D2408" s="17"/>
      <c r="E2408" s="17">
        <f t="shared" si="124"/>
        <v>65919</v>
      </c>
      <c r="F2408" s="17">
        <f t="shared" ca="1" si="1"/>
        <v>2011</v>
      </c>
      <c r="G2408" s="17">
        <f t="shared" ca="1" si="125"/>
        <v>11005</v>
      </c>
      <c r="H2408" s="31" t="str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NA</v>
      </c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</row>
    <row r="2409" spans="1:26" ht="13.5" customHeight="1" x14ac:dyDescent="0.3">
      <c r="A2409" s="17" t="s">
        <v>652</v>
      </c>
      <c r="B2409" s="17">
        <f t="shared" si="116"/>
        <v>13</v>
      </c>
      <c r="C2409" s="17">
        <f t="shared" si="117"/>
        <v>19</v>
      </c>
      <c r="D2409" s="17"/>
      <c r="E2409" s="17">
        <f t="shared" si="124"/>
        <v>65919</v>
      </c>
      <c r="F2409" s="17">
        <f t="shared" ca="1" si="1"/>
        <v>2011</v>
      </c>
      <c r="G2409" s="17">
        <f t="shared" ca="1" si="125"/>
        <v>10988</v>
      </c>
      <c r="H2409" s="3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2.8048780487804879E-2</v>
      </c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</row>
    <row r="2410" spans="1:26" ht="13.5" customHeight="1" x14ac:dyDescent="0.3">
      <c r="A2410" s="17" t="s">
        <v>652</v>
      </c>
      <c r="B2410" s="17">
        <f t="shared" si="116"/>
        <v>13</v>
      </c>
      <c r="C2410" s="17">
        <f t="shared" si="117"/>
        <v>20</v>
      </c>
      <c r="D2410" s="17"/>
      <c r="E2410" s="17">
        <f t="shared" si="124"/>
        <v>65919</v>
      </c>
      <c r="F2410" s="17">
        <f t="shared" ca="1" si="1"/>
        <v>2011</v>
      </c>
      <c r="G2410" s="17">
        <f t="shared" ca="1" si="125"/>
        <v>10996</v>
      </c>
      <c r="H2410" s="3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894899000</v>
      </c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</row>
    <row r="2411" spans="1:26" ht="13.5" customHeight="1" x14ac:dyDescent="0.3">
      <c r="A2411" s="17" t="s">
        <v>652</v>
      </c>
      <c r="B2411" s="17">
        <f t="shared" si="116"/>
        <v>13</v>
      </c>
      <c r="C2411" s="17">
        <f t="shared" si="117"/>
        <v>21</v>
      </c>
      <c r="D2411" s="17"/>
      <c r="E2411" s="17">
        <f t="shared" si="124"/>
        <v>65919</v>
      </c>
      <c r="F2411" s="17">
        <f t="shared" ca="1" si="1"/>
        <v>2011</v>
      </c>
      <c r="G2411" s="17">
        <f t="shared" ca="1" si="125"/>
        <v>10997</v>
      </c>
      <c r="H2411" s="3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1.0417916181606519</v>
      </c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</row>
    <row r="2412" spans="1:26" ht="13.5" customHeight="1" x14ac:dyDescent="0.3">
      <c r="A2412" s="17" t="s">
        <v>652</v>
      </c>
      <c r="B2412" s="17">
        <f t="shared" si="116"/>
        <v>13</v>
      </c>
      <c r="C2412" s="17">
        <f t="shared" si="117"/>
        <v>22</v>
      </c>
      <c r="D2412" s="17"/>
      <c r="E2412" s="17">
        <f t="shared" si="124"/>
        <v>65919</v>
      </c>
      <c r="F2412" s="17">
        <f t="shared" ca="1" si="1"/>
        <v>2011</v>
      </c>
      <c r="G2412" s="17">
        <f t="shared" ca="1" si="125"/>
        <v>10980</v>
      </c>
      <c r="H2412" s="3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</row>
    <row r="2413" spans="1:26" ht="13.5" customHeight="1" x14ac:dyDescent="0.3">
      <c r="A2413" s="17" t="s">
        <v>652</v>
      </c>
      <c r="B2413" s="17">
        <f t="shared" si="116"/>
        <v>13</v>
      </c>
      <c r="C2413" s="17">
        <f t="shared" si="117"/>
        <v>23</v>
      </c>
      <c r="D2413" s="17"/>
      <c r="E2413" s="17">
        <f t="shared" si="124"/>
        <v>65919</v>
      </c>
      <c r="F2413" s="17">
        <f t="shared" ca="1" si="1"/>
        <v>2011</v>
      </c>
      <c r="G2413" s="17">
        <f t="shared" ca="1" si="125"/>
        <v>10981</v>
      </c>
      <c r="H2413" s="3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</row>
    <row r="2414" spans="1:26" ht="13.5" customHeight="1" x14ac:dyDescent="0.3">
      <c r="A2414" s="17" t="s">
        <v>652</v>
      </c>
      <c r="B2414" s="17">
        <f t="shared" si="116"/>
        <v>13</v>
      </c>
      <c r="C2414" s="17">
        <f t="shared" si="117"/>
        <v>24</v>
      </c>
      <c r="D2414" s="17"/>
      <c r="E2414" s="17">
        <f t="shared" si="124"/>
        <v>65919</v>
      </c>
      <c r="F2414" s="17">
        <f t="shared" ca="1" si="1"/>
        <v>2011</v>
      </c>
      <c r="G2414" s="17">
        <f t="shared" ca="1" si="125"/>
        <v>10998</v>
      </c>
      <c r="H2414" s="3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10200000</v>
      </c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</row>
    <row r="2415" spans="1:26" ht="13.5" customHeight="1" x14ac:dyDescent="0.3">
      <c r="A2415" s="17" t="s">
        <v>652</v>
      </c>
      <c r="B2415" s="17">
        <f t="shared" si="116"/>
        <v>13</v>
      </c>
      <c r="C2415" s="17">
        <f t="shared" si="117"/>
        <v>25</v>
      </c>
      <c r="D2415" s="17"/>
      <c r="E2415" s="17">
        <f t="shared" si="124"/>
        <v>65919</v>
      </c>
      <c r="F2415" s="17">
        <f t="shared" ca="1" si="1"/>
        <v>2011</v>
      </c>
      <c r="G2415" s="17">
        <f t="shared" ca="1" si="125"/>
        <v>10999</v>
      </c>
      <c r="H2415" s="3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38387000</v>
      </c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</row>
    <row r="2416" spans="1:26" ht="13.5" customHeight="1" x14ac:dyDescent="0.3">
      <c r="A2416" s="17" t="s">
        <v>652</v>
      </c>
      <c r="B2416" s="17">
        <f t="shared" si="116"/>
        <v>13</v>
      </c>
      <c r="C2416" s="17">
        <f t="shared" si="117"/>
        <v>26</v>
      </c>
      <c r="D2416" s="17"/>
      <c r="E2416" s="17">
        <f t="shared" si="124"/>
        <v>65919</v>
      </c>
      <c r="F2416" s="17">
        <f t="shared" ca="1" si="1"/>
        <v>2011</v>
      </c>
      <c r="G2416" s="17">
        <f t="shared" ca="1" si="125"/>
        <v>11000</v>
      </c>
      <c r="H2416" s="3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315000</v>
      </c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</row>
    <row r="2417" spans="1:26" ht="13.5" customHeight="1" x14ac:dyDescent="0.3">
      <c r="A2417" s="17" t="s">
        <v>652</v>
      </c>
      <c r="B2417" s="17">
        <f t="shared" si="116"/>
        <v>13</v>
      </c>
      <c r="C2417" s="17">
        <f t="shared" si="117"/>
        <v>27</v>
      </c>
      <c r="D2417" s="17"/>
      <c r="E2417" s="17">
        <f t="shared" si="124"/>
        <v>65919</v>
      </c>
      <c r="F2417" s="17">
        <f t="shared" ca="1" si="1"/>
        <v>2011</v>
      </c>
      <c r="G2417" s="17">
        <f t="shared" ca="1" si="125"/>
        <v>11001</v>
      </c>
      <c r="H2417" s="3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356000</v>
      </c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</row>
    <row r="2418" spans="1:26" ht="13.5" customHeight="1" x14ac:dyDescent="0.3">
      <c r="A2418" s="17" t="s">
        <v>652</v>
      </c>
      <c r="B2418" s="17">
        <f t="shared" si="116"/>
        <v>13</v>
      </c>
      <c r="C2418" s="17">
        <f t="shared" si="117"/>
        <v>28</v>
      </c>
      <c r="D2418" s="17"/>
      <c r="E2418" s="17">
        <f t="shared" si="124"/>
        <v>65919</v>
      </c>
      <c r="F2418" s="17">
        <f t="shared" ca="1" si="1"/>
        <v>2011</v>
      </c>
      <c r="G2418" s="17">
        <f t="shared" ca="1" si="125"/>
        <v>11002</v>
      </c>
      <c r="H2418" s="3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22000</v>
      </c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</row>
    <row r="2419" spans="1:26" ht="13.5" customHeight="1" x14ac:dyDescent="0.3">
      <c r="A2419" s="17" t="s">
        <v>652</v>
      </c>
      <c r="B2419" s="17">
        <f t="shared" si="116"/>
        <v>13</v>
      </c>
      <c r="C2419" s="17">
        <f t="shared" si="117"/>
        <v>29</v>
      </c>
      <c r="D2419" s="17"/>
      <c r="E2419" s="17">
        <f t="shared" si="124"/>
        <v>65919</v>
      </c>
      <c r="F2419" s="17">
        <f t="shared" ca="1" si="1"/>
        <v>2011</v>
      </c>
      <c r="G2419" s="17">
        <f t="shared" ca="1" si="125"/>
        <v>11003</v>
      </c>
      <c r="H2419" s="3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39080000</v>
      </c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</row>
    <row r="2420" spans="1:26" ht="13.5" customHeight="1" x14ac:dyDescent="0.3">
      <c r="A2420" s="17" t="s">
        <v>652</v>
      </c>
      <c r="B2420" s="17">
        <f t="shared" si="116"/>
        <v>14</v>
      </c>
      <c r="C2420" s="17">
        <f t="shared" si="117"/>
        <v>3</v>
      </c>
      <c r="D2420" s="17"/>
      <c r="E2420" s="17">
        <f t="shared" si="124"/>
        <v>65919</v>
      </c>
      <c r="F2420" s="17">
        <f t="shared" ca="1" si="1"/>
        <v>2012</v>
      </c>
      <c r="G2420" s="17">
        <f t="shared" ca="1" si="125"/>
        <v>10982</v>
      </c>
      <c r="H2420" s="29" t="str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No</v>
      </c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</row>
    <row r="2421" spans="1:26" ht="13.5" customHeight="1" x14ac:dyDescent="0.3">
      <c r="A2421" s="17" t="s">
        <v>652</v>
      </c>
      <c r="B2421" s="17">
        <f t="shared" si="116"/>
        <v>14</v>
      </c>
      <c r="C2421" s="17">
        <f t="shared" si="117"/>
        <v>4</v>
      </c>
      <c r="D2421" s="17"/>
      <c r="E2421" s="17">
        <f t="shared" si="124"/>
        <v>65919</v>
      </c>
      <c r="F2421" s="17">
        <f t="shared" ca="1" si="1"/>
        <v>2012</v>
      </c>
      <c r="G2421" s="17">
        <f t="shared" ca="1" si="125"/>
        <v>10984</v>
      </c>
      <c r="H2421" s="3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2900000</v>
      </c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</row>
    <row r="2422" spans="1:26" ht="13.5" customHeight="1" x14ac:dyDescent="0.3">
      <c r="A2422" s="17" t="s">
        <v>652</v>
      </c>
      <c r="B2422" s="17">
        <f t="shared" si="116"/>
        <v>14</v>
      </c>
      <c r="C2422" s="17">
        <f t="shared" si="117"/>
        <v>5</v>
      </c>
      <c r="D2422" s="17"/>
      <c r="E2422" s="17">
        <f t="shared" si="124"/>
        <v>65919</v>
      </c>
      <c r="F2422" s="17">
        <f t="shared" ca="1" si="1"/>
        <v>2012</v>
      </c>
      <c r="G2422" s="17">
        <f t="shared" ca="1" si="125"/>
        <v>10985</v>
      </c>
      <c r="H2422" s="3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6496000.0000000009</v>
      </c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</row>
    <row r="2423" spans="1:26" ht="13.5" customHeight="1" x14ac:dyDescent="0.3">
      <c r="A2423" s="17" t="s">
        <v>652</v>
      </c>
      <c r="B2423" s="17">
        <f t="shared" si="116"/>
        <v>14</v>
      </c>
      <c r="C2423" s="17">
        <f t="shared" si="117"/>
        <v>6</v>
      </c>
      <c r="D2423" s="17"/>
      <c r="E2423" s="17">
        <f t="shared" si="124"/>
        <v>65919</v>
      </c>
      <c r="F2423" s="17">
        <f t="shared" ca="1" si="1"/>
        <v>2012</v>
      </c>
      <c r="G2423" s="17">
        <f t="shared" ca="1" si="125"/>
        <v>10986</v>
      </c>
      <c r="H2423" s="3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-3596000.0000000009</v>
      </c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</row>
    <row r="2424" spans="1:26" ht="13.5" customHeight="1" x14ac:dyDescent="0.3">
      <c r="A2424" s="17" t="s">
        <v>652</v>
      </c>
      <c r="B2424" s="17">
        <f t="shared" si="116"/>
        <v>14</v>
      </c>
      <c r="C2424" s="17">
        <f t="shared" si="117"/>
        <v>7</v>
      </c>
      <c r="D2424" s="17"/>
      <c r="E2424" s="17">
        <f t="shared" si="124"/>
        <v>65919</v>
      </c>
      <c r="F2424" s="17">
        <f t="shared" ca="1" si="1"/>
        <v>2012</v>
      </c>
      <c r="G2424" s="17">
        <f t="shared" ca="1" si="125"/>
        <v>10974</v>
      </c>
      <c r="H2424" s="29" t="str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Aggregate</v>
      </c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</row>
    <row r="2425" spans="1:26" ht="13.5" customHeight="1" x14ac:dyDescent="0.3">
      <c r="A2425" s="17" t="s">
        <v>652</v>
      </c>
      <c r="B2425" s="17">
        <f t="shared" si="116"/>
        <v>14</v>
      </c>
      <c r="C2425" s="17">
        <f t="shared" si="117"/>
        <v>8</v>
      </c>
      <c r="D2425" s="17"/>
      <c r="E2425" s="17">
        <f t="shared" si="124"/>
        <v>65919</v>
      </c>
      <c r="F2425" s="17">
        <f t="shared" ca="1" si="1"/>
        <v>2012</v>
      </c>
      <c r="G2425" s="17">
        <f t="shared" ca="1" si="125"/>
        <v>10987</v>
      </c>
      <c r="H2425" s="3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2.2400000000000002</v>
      </c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</row>
    <row r="2426" spans="1:26" ht="13.5" customHeight="1" x14ac:dyDescent="0.3">
      <c r="A2426" s="17" t="s">
        <v>652</v>
      </c>
      <c r="B2426" s="17">
        <f t="shared" si="116"/>
        <v>14</v>
      </c>
      <c r="C2426" s="17">
        <f t="shared" si="117"/>
        <v>9</v>
      </c>
      <c r="D2426" s="17"/>
      <c r="E2426" s="17">
        <f t="shared" si="124"/>
        <v>65919</v>
      </c>
      <c r="F2426" s="17">
        <f t="shared" ca="1" si="1"/>
        <v>2012</v>
      </c>
      <c r="G2426" s="17">
        <f t="shared" ca="1" si="125"/>
        <v>10885</v>
      </c>
      <c r="H2426" s="29" t="str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NA</v>
      </c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</row>
    <row r="2427" spans="1:26" ht="13.5" customHeight="1" x14ac:dyDescent="0.3">
      <c r="A2427" s="17" t="s">
        <v>652</v>
      </c>
      <c r="B2427" s="17">
        <f t="shared" si="116"/>
        <v>14</v>
      </c>
      <c r="C2427" s="17">
        <f t="shared" si="117"/>
        <v>10</v>
      </c>
      <c r="D2427" s="17"/>
      <c r="E2427" s="17">
        <f t="shared" si="124"/>
        <v>65919</v>
      </c>
      <c r="F2427" s="17">
        <f t="shared" ca="1" si="1"/>
        <v>2012</v>
      </c>
      <c r="G2427" s="17">
        <f t="shared" ca="1" si="125"/>
        <v>10886</v>
      </c>
      <c r="H2427" s="29" t="str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NA</v>
      </c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</row>
    <row r="2428" spans="1:26" ht="13.5" customHeight="1" x14ac:dyDescent="0.3">
      <c r="A2428" s="17" t="s">
        <v>652</v>
      </c>
      <c r="B2428" s="17">
        <f t="shared" si="116"/>
        <v>14</v>
      </c>
      <c r="C2428" s="17">
        <f t="shared" si="117"/>
        <v>11</v>
      </c>
      <c r="D2428" s="17"/>
      <c r="E2428" s="17">
        <f t="shared" si="124"/>
        <v>65919</v>
      </c>
      <c r="F2428" s="17">
        <f t="shared" ca="1" si="1"/>
        <v>2012</v>
      </c>
      <c r="G2428" s="17">
        <f t="shared" ca="1" si="125"/>
        <v>10887</v>
      </c>
      <c r="H2428" s="29" t="str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NA</v>
      </c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</row>
    <row r="2429" spans="1:26" ht="13.5" customHeight="1" x14ac:dyDescent="0.3">
      <c r="A2429" s="17" t="s">
        <v>652</v>
      </c>
      <c r="B2429" s="17">
        <f t="shared" si="116"/>
        <v>14</v>
      </c>
      <c r="C2429" s="17">
        <f t="shared" si="117"/>
        <v>12</v>
      </c>
      <c r="D2429" s="17"/>
      <c r="E2429" s="17">
        <f t="shared" si="124"/>
        <v>65919</v>
      </c>
      <c r="F2429" s="17">
        <f t="shared" ca="1" si="1"/>
        <v>2012</v>
      </c>
      <c r="G2429" s="17">
        <f t="shared" ca="1" si="125"/>
        <v>10883</v>
      </c>
      <c r="H2429" s="29" t="str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NA</v>
      </c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</row>
    <row r="2430" spans="1:26" ht="13.5" customHeight="1" x14ac:dyDescent="0.3">
      <c r="A2430" s="17" t="s">
        <v>652</v>
      </c>
      <c r="B2430" s="17">
        <f t="shared" si="116"/>
        <v>14</v>
      </c>
      <c r="C2430" s="17">
        <f t="shared" si="117"/>
        <v>13</v>
      </c>
      <c r="D2430" s="17"/>
      <c r="E2430" s="17">
        <f t="shared" si="124"/>
        <v>65919</v>
      </c>
      <c r="F2430" s="17">
        <f t="shared" ca="1" si="1"/>
        <v>2012</v>
      </c>
      <c r="G2430" s="17">
        <f t="shared" ca="1" si="125"/>
        <v>10989</v>
      </c>
      <c r="H2430" s="3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982000000</v>
      </c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</row>
    <row r="2431" spans="1:26" ht="13.5" customHeight="1" x14ac:dyDescent="0.3">
      <c r="A2431" s="17" t="s">
        <v>652</v>
      </c>
      <c r="B2431" s="17">
        <f t="shared" si="116"/>
        <v>14</v>
      </c>
      <c r="C2431" s="17">
        <f t="shared" si="117"/>
        <v>14</v>
      </c>
      <c r="D2431" s="17"/>
      <c r="E2431" s="17">
        <f t="shared" si="124"/>
        <v>65919</v>
      </c>
      <c r="F2431" s="17">
        <f t="shared" ca="1" si="1"/>
        <v>2012</v>
      </c>
      <c r="G2431" s="17">
        <f t="shared" ca="1" si="125"/>
        <v>10990</v>
      </c>
      <c r="H2431" s="3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884000000</v>
      </c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</row>
    <row r="2432" spans="1:26" ht="13.5" customHeight="1" x14ac:dyDescent="0.3">
      <c r="A2432" s="17" t="s">
        <v>652</v>
      </c>
      <c r="B2432" s="17">
        <f t="shared" si="116"/>
        <v>14</v>
      </c>
      <c r="C2432" s="17">
        <f t="shared" si="117"/>
        <v>15</v>
      </c>
      <c r="D2432" s="17"/>
      <c r="E2432" s="17">
        <f t="shared" si="124"/>
        <v>65919</v>
      </c>
      <c r="F2432" s="17">
        <f t="shared" ca="1" si="1"/>
        <v>2012</v>
      </c>
      <c r="G2432" s="17">
        <f t="shared" ca="1" si="125"/>
        <v>10991</v>
      </c>
      <c r="H2432" s="3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-97000000</v>
      </c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</row>
    <row r="2433" spans="1:26" ht="13.5" customHeight="1" x14ac:dyDescent="0.3">
      <c r="A2433" s="17" t="s">
        <v>652</v>
      </c>
      <c r="B2433" s="17">
        <f t="shared" si="116"/>
        <v>14</v>
      </c>
      <c r="C2433" s="17">
        <f t="shared" si="117"/>
        <v>16</v>
      </c>
      <c r="D2433" s="17"/>
      <c r="E2433" s="17">
        <f t="shared" si="124"/>
        <v>65919</v>
      </c>
      <c r="F2433" s="17">
        <f t="shared" ca="1" si="1"/>
        <v>2012</v>
      </c>
      <c r="G2433" s="17">
        <f t="shared" ca="1" si="125"/>
        <v>10992</v>
      </c>
      <c r="H2433" s="3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1.1100000000000001</v>
      </c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</row>
    <row r="2434" spans="1:26" ht="13.5" customHeight="1" x14ac:dyDescent="0.3">
      <c r="A2434" s="17" t="s">
        <v>652</v>
      </c>
      <c r="B2434" s="17">
        <f t="shared" si="116"/>
        <v>14</v>
      </c>
      <c r="C2434" s="17">
        <f t="shared" si="117"/>
        <v>17</v>
      </c>
      <c r="D2434" s="17"/>
      <c r="E2434" s="17">
        <f t="shared" si="124"/>
        <v>65919</v>
      </c>
      <c r="F2434" s="17">
        <f t="shared" ca="1" si="1"/>
        <v>2012</v>
      </c>
      <c r="G2434" s="17">
        <f t="shared" ca="1" si="125"/>
        <v>10993</v>
      </c>
      <c r="H2434" s="3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80000000</v>
      </c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</row>
    <row r="2435" spans="1:26" ht="13.5" customHeight="1" x14ac:dyDescent="0.3">
      <c r="A2435" s="17" t="s">
        <v>652</v>
      </c>
      <c r="B2435" s="17">
        <f t="shared" si="116"/>
        <v>14</v>
      </c>
      <c r="C2435" s="17">
        <f t="shared" si="117"/>
        <v>18</v>
      </c>
      <c r="D2435" s="17"/>
      <c r="E2435" s="17">
        <f t="shared" si="124"/>
        <v>65919</v>
      </c>
      <c r="F2435" s="17">
        <f t="shared" ca="1" si="1"/>
        <v>2012</v>
      </c>
      <c r="G2435" s="17">
        <f t="shared" ca="1" si="125"/>
        <v>11005</v>
      </c>
      <c r="H2435" s="3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NA</v>
      </c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</row>
    <row r="2436" spans="1:26" ht="13.5" customHeight="1" x14ac:dyDescent="0.3">
      <c r="A2436" s="17" t="s">
        <v>652</v>
      </c>
      <c r="B2436" s="17">
        <f t="shared" si="116"/>
        <v>14</v>
      </c>
      <c r="C2436" s="17">
        <f t="shared" si="117"/>
        <v>19</v>
      </c>
      <c r="D2436" s="17"/>
      <c r="E2436" s="17">
        <f t="shared" ref="E2436:E2499" si="126">plan_id</f>
        <v>65919</v>
      </c>
      <c r="F2436" s="17">
        <f t="shared" ca="1" si="1"/>
        <v>2012</v>
      </c>
      <c r="G2436" s="17">
        <f t="shared" ref="G2436:G2499" ca="1" si="127">VLOOKUP(INDIRECT(CHAR(39)&amp;$A2436&amp;CHAR(39)&amp;"!r2c"&amp;$C2436,0),variables,2,0)</f>
        <v>10988</v>
      </c>
      <c r="H2436" s="3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3.6249999999999998E-2</v>
      </c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</row>
    <row r="2437" spans="1:26" ht="13.5" customHeight="1" x14ac:dyDescent="0.3">
      <c r="A2437" s="17" t="s">
        <v>652</v>
      </c>
      <c r="B2437" s="17">
        <f t="shared" si="116"/>
        <v>14</v>
      </c>
      <c r="C2437" s="17">
        <f t="shared" si="117"/>
        <v>20</v>
      </c>
      <c r="D2437" s="17"/>
      <c r="E2437" s="17">
        <f t="shared" si="126"/>
        <v>65919</v>
      </c>
      <c r="F2437" s="17">
        <f t="shared" ca="1" si="1"/>
        <v>2012</v>
      </c>
      <c r="G2437" s="17">
        <f t="shared" ca="1" si="127"/>
        <v>10996</v>
      </c>
      <c r="H2437" s="3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879220000</v>
      </c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</row>
    <row r="2438" spans="1:26" ht="13.5" customHeight="1" x14ac:dyDescent="0.3">
      <c r="A2438" s="17" t="s">
        <v>652</v>
      </c>
      <c r="B2438" s="17">
        <f t="shared" si="116"/>
        <v>14</v>
      </c>
      <c r="C2438" s="17">
        <f t="shared" si="117"/>
        <v>21</v>
      </c>
      <c r="D2438" s="17"/>
      <c r="E2438" s="17">
        <f t="shared" si="126"/>
        <v>65919</v>
      </c>
      <c r="F2438" s="17">
        <f t="shared" ca="1" si="1"/>
        <v>2012</v>
      </c>
      <c r="G2438" s="17">
        <f t="shared" ca="1" si="127"/>
        <v>10997</v>
      </c>
      <c r="H2438" s="3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0.99459276018099552</v>
      </c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</row>
    <row r="2439" spans="1:26" ht="13.5" customHeight="1" x14ac:dyDescent="0.3">
      <c r="A2439" s="17" t="s">
        <v>652</v>
      </c>
      <c r="B2439" s="17">
        <f t="shared" si="116"/>
        <v>14</v>
      </c>
      <c r="C2439" s="17">
        <f t="shared" si="117"/>
        <v>22</v>
      </c>
      <c r="D2439" s="17"/>
      <c r="E2439" s="17">
        <f t="shared" si="126"/>
        <v>65919</v>
      </c>
      <c r="F2439" s="17">
        <f t="shared" ca="1" si="1"/>
        <v>2012</v>
      </c>
      <c r="G2439" s="17">
        <f t="shared" ca="1" si="127"/>
        <v>10980</v>
      </c>
      <c r="H2439" s="31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</row>
    <row r="2440" spans="1:26" ht="13.5" customHeight="1" x14ac:dyDescent="0.3">
      <c r="A2440" s="17" t="s">
        <v>652</v>
      </c>
      <c r="B2440" s="17">
        <f t="shared" si="116"/>
        <v>14</v>
      </c>
      <c r="C2440" s="17">
        <f t="shared" si="117"/>
        <v>23</v>
      </c>
      <c r="D2440" s="17"/>
      <c r="E2440" s="17">
        <f t="shared" si="126"/>
        <v>65919</v>
      </c>
      <c r="F2440" s="17">
        <f t="shared" ca="1" si="1"/>
        <v>2012</v>
      </c>
      <c r="G2440" s="17">
        <f t="shared" ca="1" si="127"/>
        <v>10981</v>
      </c>
      <c r="H2440" s="3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</v>
      </c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</row>
    <row r="2441" spans="1:26" ht="13.5" customHeight="1" x14ac:dyDescent="0.3">
      <c r="A2441" s="17" t="s">
        <v>652</v>
      </c>
      <c r="B2441" s="17">
        <f t="shared" si="116"/>
        <v>14</v>
      </c>
      <c r="C2441" s="17">
        <f t="shared" si="117"/>
        <v>24</v>
      </c>
      <c r="D2441" s="17"/>
      <c r="E2441" s="17">
        <f t="shared" si="126"/>
        <v>65919</v>
      </c>
      <c r="F2441" s="17">
        <f t="shared" ca="1" si="1"/>
        <v>2012</v>
      </c>
      <c r="G2441" s="17">
        <f t="shared" ca="1" si="127"/>
        <v>10998</v>
      </c>
      <c r="H2441" s="30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8000000</v>
      </c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</row>
    <row r="2442" spans="1:26" ht="13.5" customHeight="1" x14ac:dyDescent="0.3">
      <c r="A2442" s="17" t="s">
        <v>652</v>
      </c>
      <c r="B2442" s="17">
        <f t="shared" si="116"/>
        <v>14</v>
      </c>
      <c r="C2442" s="17">
        <f t="shared" si="117"/>
        <v>25</v>
      </c>
      <c r="D2442" s="17"/>
      <c r="E2442" s="17">
        <f t="shared" si="126"/>
        <v>65919</v>
      </c>
      <c r="F2442" s="17">
        <f t="shared" ca="1" si="1"/>
        <v>2012</v>
      </c>
      <c r="G2442" s="17">
        <f t="shared" ca="1" si="127"/>
        <v>10999</v>
      </c>
      <c r="H2442" s="30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40368000</v>
      </c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</row>
    <row r="2443" spans="1:26" ht="13.5" customHeight="1" x14ac:dyDescent="0.3">
      <c r="A2443" s="17" t="s">
        <v>652</v>
      </c>
      <c r="B2443" s="17">
        <f t="shared" si="116"/>
        <v>14</v>
      </c>
      <c r="C2443" s="17">
        <f t="shared" si="117"/>
        <v>26</v>
      </c>
      <c r="D2443" s="17"/>
      <c r="E2443" s="17">
        <f t="shared" si="126"/>
        <v>65919</v>
      </c>
      <c r="F2443" s="17">
        <f t="shared" ca="1" si="1"/>
        <v>2012</v>
      </c>
      <c r="G2443" s="17">
        <f t="shared" ca="1" si="127"/>
        <v>11000</v>
      </c>
      <c r="H2443" s="30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262000</v>
      </c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</row>
    <row r="2444" spans="1:26" ht="13.5" customHeight="1" x14ac:dyDescent="0.3">
      <c r="A2444" s="17" t="s">
        <v>652</v>
      </c>
      <c r="B2444" s="17">
        <f t="shared" si="116"/>
        <v>14</v>
      </c>
      <c r="C2444" s="17">
        <f t="shared" si="117"/>
        <v>27</v>
      </c>
      <c r="D2444" s="17"/>
      <c r="E2444" s="17">
        <f t="shared" si="126"/>
        <v>65919</v>
      </c>
      <c r="F2444" s="17">
        <f t="shared" ca="1" si="1"/>
        <v>2012</v>
      </c>
      <c r="G2444" s="17">
        <f t="shared" ca="1" si="127"/>
        <v>11001</v>
      </c>
      <c r="H2444" s="30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392000</v>
      </c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</row>
    <row r="2445" spans="1:26" ht="13.5" customHeight="1" x14ac:dyDescent="0.3">
      <c r="A2445" s="17" t="s">
        <v>652</v>
      </c>
      <c r="B2445" s="17">
        <f t="shared" si="116"/>
        <v>14</v>
      </c>
      <c r="C2445" s="17">
        <f t="shared" si="117"/>
        <v>28</v>
      </c>
      <c r="D2445" s="17"/>
      <c r="E2445" s="17">
        <f t="shared" si="126"/>
        <v>65919</v>
      </c>
      <c r="F2445" s="17">
        <f t="shared" ca="1" si="1"/>
        <v>2012</v>
      </c>
      <c r="G2445" s="17">
        <f t="shared" ca="1" si="127"/>
        <v>11002</v>
      </c>
      <c r="H2445" s="3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32000</v>
      </c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</row>
    <row r="2446" spans="1:26" ht="13.5" customHeight="1" x14ac:dyDescent="0.3">
      <c r="A2446" s="17" t="s">
        <v>652</v>
      </c>
      <c r="B2446" s="17">
        <f t="shared" si="116"/>
        <v>14</v>
      </c>
      <c r="C2446" s="17">
        <f t="shared" si="117"/>
        <v>29</v>
      </c>
      <c r="D2446" s="17"/>
      <c r="E2446" s="17">
        <f t="shared" si="126"/>
        <v>65919</v>
      </c>
      <c r="F2446" s="17">
        <f t="shared" ca="1" si="1"/>
        <v>2012</v>
      </c>
      <c r="G2446" s="17">
        <f t="shared" ca="1" si="127"/>
        <v>11003</v>
      </c>
      <c r="H2446" s="3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41054000</v>
      </c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</row>
    <row r="2447" spans="1:26" ht="13.5" customHeight="1" x14ac:dyDescent="0.3">
      <c r="A2447" s="17" t="s">
        <v>652</v>
      </c>
      <c r="B2447" s="17">
        <f t="shared" si="116"/>
        <v>15</v>
      </c>
      <c r="C2447" s="17">
        <f t="shared" si="117"/>
        <v>3</v>
      </c>
      <c r="D2447" s="17"/>
      <c r="E2447" s="17">
        <f t="shared" si="126"/>
        <v>65919</v>
      </c>
      <c r="F2447" s="17">
        <f t="shared" ca="1" si="1"/>
        <v>2013</v>
      </c>
      <c r="G2447" s="17">
        <f t="shared" ca="1" si="127"/>
        <v>10982</v>
      </c>
      <c r="H2447" s="29" t="str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No</v>
      </c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</row>
    <row r="2448" spans="1:26" ht="13.5" customHeight="1" x14ac:dyDescent="0.3">
      <c r="A2448" s="17" t="s">
        <v>652</v>
      </c>
      <c r="B2448" s="17">
        <f t="shared" si="116"/>
        <v>15</v>
      </c>
      <c r="C2448" s="17">
        <f t="shared" si="117"/>
        <v>4</v>
      </c>
      <c r="D2448" s="17"/>
      <c r="E2448" s="17">
        <f t="shared" si="126"/>
        <v>65919</v>
      </c>
      <c r="F2448" s="17">
        <f t="shared" ca="1" si="1"/>
        <v>2013</v>
      </c>
      <c r="G2448" s="17">
        <f t="shared" ca="1" si="127"/>
        <v>10984</v>
      </c>
      <c r="H2448" s="3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2500000</v>
      </c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</row>
    <row r="2449" spans="1:26" ht="13.5" customHeight="1" x14ac:dyDescent="0.3">
      <c r="A2449" s="17" t="s">
        <v>652</v>
      </c>
      <c r="B2449" s="17">
        <f t="shared" si="116"/>
        <v>15</v>
      </c>
      <c r="C2449" s="17">
        <f t="shared" si="117"/>
        <v>5</v>
      </c>
      <c r="D2449" s="17"/>
      <c r="E2449" s="17">
        <f t="shared" si="126"/>
        <v>65919</v>
      </c>
      <c r="F2449" s="17">
        <f t="shared" ca="1" si="1"/>
        <v>2013</v>
      </c>
      <c r="G2449" s="17">
        <f t="shared" ca="1" si="127"/>
        <v>10985</v>
      </c>
      <c r="H2449" s="3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6500000</v>
      </c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</row>
    <row r="2450" spans="1:26" ht="13.5" customHeight="1" x14ac:dyDescent="0.3">
      <c r="A2450" s="17" t="s">
        <v>652</v>
      </c>
      <c r="B2450" s="17">
        <f t="shared" si="116"/>
        <v>15</v>
      </c>
      <c r="C2450" s="17">
        <f t="shared" si="117"/>
        <v>6</v>
      </c>
      <c r="D2450" s="17"/>
      <c r="E2450" s="17">
        <f t="shared" si="126"/>
        <v>65919</v>
      </c>
      <c r="F2450" s="17">
        <f t="shared" ca="1" si="1"/>
        <v>2013</v>
      </c>
      <c r="G2450" s="17">
        <f t="shared" ca="1" si="127"/>
        <v>10986</v>
      </c>
      <c r="H2450" s="30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-4000000</v>
      </c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</row>
    <row r="2451" spans="1:26" ht="13.5" customHeight="1" x14ac:dyDescent="0.3">
      <c r="A2451" s="17" t="s">
        <v>652</v>
      </c>
      <c r="B2451" s="17">
        <f t="shared" si="116"/>
        <v>15</v>
      </c>
      <c r="C2451" s="17">
        <f t="shared" si="117"/>
        <v>7</v>
      </c>
      <c r="D2451" s="17"/>
      <c r="E2451" s="17">
        <f t="shared" si="126"/>
        <v>65919</v>
      </c>
      <c r="F2451" s="17">
        <f t="shared" ca="1" si="1"/>
        <v>2013</v>
      </c>
      <c r="G2451" s="17">
        <f t="shared" ca="1" si="127"/>
        <v>10974</v>
      </c>
      <c r="H2451" s="29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Aggregate</v>
      </c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</row>
    <row r="2452" spans="1:26" ht="13.5" customHeight="1" x14ac:dyDescent="0.3">
      <c r="A2452" s="17" t="s">
        <v>652</v>
      </c>
      <c r="B2452" s="17">
        <f t="shared" si="116"/>
        <v>15</v>
      </c>
      <c r="C2452" s="17">
        <f t="shared" si="117"/>
        <v>8</v>
      </c>
      <c r="D2452" s="17"/>
      <c r="E2452" s="17">
        <f t="shared" si="126"/>
        <v>65919</v>
      </c>
      <c r="F2452" s="17">
        <f t="shared" ca="1" si="1"/>
        <v>2013</v>
      </c>
      <c r="G2452" s="17">
        <f t="shared" ca="1" si="127"/>
        <v>10987</v>
      </c>
      <c r="H2452" s="3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2.6</v>
      </c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</row>
    <row r="2453" spans="1:26" ht="13.5" customHeight="1" x14ac:dyDescent="0.3">
      <c r="A2453" s="17" t="s">
        <v>652</v>
      </c>
      <c r="B2453" s="17">
        <f t="shared" si="116"/>
        <v>15</v>
      </c>
      <c r="C2453" s="17">
        <f t="shared" si="117"/>
        <v>9</v>
      </c>
      <c r="D2453" s="17"/>
      <c r="E2453" s="17">
        <f t="shared" si="126"/>
        <v>65919</v>
      </c>
      <c r="F2453" s="17">
        <f t="shared" ca="1" si="1"/>
        <v>2013</v>
      </c>
      <c r="G2453" s="17">
        <f t="shared" ca="1" si="127"/>
        <v>10885</v>
      </c>
      <c r="H2453" s="29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NA</v>
      </c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</row>
    <row r="2454" spans="1:26" ht="13.5" customHeight="1" x14ac:dyDescent="0.3">
      <c r="A2454" s="17" t="s">
        <v>652</v>
      </c>
      <c r="B2454" s="17">
        <f t="shared" si="116"/>
        <v>15</v>
      </c>
      <c r="C2454" s="17">
        <f t="shared" si="117"/>
        <v>10</v>
      </c>
      <c r="D2454" s="17"/>
      <c r="E2454" s="17">
        <f t="shared" si="126"/>
        <v>65919</v>
      </c>
      <c r="F2454" s="17">
        <f t="shared" ca="1" si="1"/>
        <v>2013</v>
      </c>
      <c r="G2454" s="17">
        <f t="shared" ca="1" si="127"/>
        <v>10886</v>
      </c>
      <c r="H2454" s="29" t="str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NA</v>
      </c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</row>
    <row r="2455" spans="1:26" ht="13.5" customHeight="1" x14ac:dyDescent="0.3">
      <c r="A2455" s="17" t="s">
        <v>652</v>
      </c>
      <c r="B2455" s="17">
        <f t="shared" si="116"/>
        <v>15</v>
      </c>
      <c r="C2455" s="17">
        <f t="shared" si="117"/>
        <v>11</v>
      </c>
      <c r="D2455" s="17"/>
      <c r="E2455" s="17">
        <f t="shared" si="126"/>
        <v>65919</v>
      </c>
      <c r="F2455" s="17">
        <f t="shared" ca="1" si="1"/>
        <v>2013</v>
      </c>
      <c r="G2455" s="17">
        <f t="shared" ca="1" si="127"/>
        <v>10887</v>
      </c>
      <c r="H2455" s="29" t="str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NA</v>
      </c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</row>
    <row r="2456" spans="1:26" ht="13.5" customHeight="1" x14ac:dyDescent="0.3">
      <c r="A2456" s="17" t="s">
        <v>652</v>
      </c>
      <c r="B2456" s="17">
        <f t="shared" si="116"/>
        <v>15</v>
      </c>
      <c r="C2456" s="17">
        <f t="shared" si="117"/>
        <v>12</v>
      </c>
      <c r="D2456" s="17"/>
      <c r="E2456" s="17">
        <f t="shared" si="126"/>
        <v>65919</v>
      </c>
      <c r="F2456" s="17">
        <f t="shared" ca="1" si="1"/>
        <v>2013</v>
      </c>
      <c r="G2456" s="17">
        <f t="shared" ca="1" si="127"/>
        <v>10883</v>
      </c>
      <c r="H2456" s="29" t="str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NA</v>
      </c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</row>
    <row r="2457" spans="1:26" ht="13.5" customHeight="1" x14ac:dyDescent="0.3">
      <c r="A2457" s="17" t="s">
        <v>652</v>
      </c>
      <c r="B2457" s="17">
        <f t="shared" si="116"/>
        <v>15</v>
      </c>
      <c r="C2457" s="17">
        <f t="shared" si="117"/>
        <v>13</v>
      </c>
      <c r="D2457" s="17"/>
      <c r="E2457" s="17">
        <f t="shared" si="126"/>
        <v>65919</v>
      </c>
      <c r="F2457" s="17">
        <f t="shared" ca="1" si="1"/>
        <v>2013</v>
      </c>
      <c r="G2457" s="17">
        <f t="shared" ca="1" si="127"/>
        <v>10989</v>
      </c>
      <c r="H2457" s="3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1009000000</v>
      </c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</row>
    <row r="2458" spans="1:26" ht="13.5" customHeight="1" x14ac:dyDescent="0.3">
      <c r="A2458" s="17" t="s">
        <v>652</v>
      </c>
      <c r="B2458" s="17">
        <f t="shared" si="116"/>
        <v>15</v>
      </c>
      <c r="C2458" s="17">
        <f t="shared" si="117"/>
        <v>14</v>
      </c>
      <c r="D2458" s="17"/>
      <c r="E2458" s="17">
        <f t="shared" si="126"/>
        <v>65919</v>
      </c>
      <c r="F2458" s="17">
        <f t="shared" ca="1" si="1"/>
        <v>2013</v>
      </c>
      <c r="G2458" s="17">
        <f t="shared" ca="1" si="127"/>
        <v>10990</v>
      </c>
      <c r="H2458" s="3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987000000</v>
      </c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</row>
    <row r="2459" spans="1:26" ht="13.5" customHeight="1" x14ac:dyDescent="0.3">
      <c r="A2459" s="17" t="s">
        <v>652</v>
      </c>
      <c r="B2459" s="17">
        <f t="shared" si="116"/>
        <v>15</v>
      </c>
      <c r="C2459" s="17">
        <f t="shared" si="117"/>
        <v>15</v>
      </c>
      <c r="D2459" s="17"/>
      <c r="E2459" s="17">
        <f t="shared" si="126"/>
        <v>65919</v>
      </c>
      <c r="F2459" s="17">
        <f t="shared" ca="1" si="1"/>
        <v>2013</v>
      </c>
      <c r="G2459" s="17">
        <f t="shared" ca="1" si="127"/>
        <v>10991</v>
      </c>
      <c r="H2459" s="3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-22000000</v>
      </c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</row>
    <row r="2460" spans="1:26" ht="13.5" customHeight="1" x14ac:dyDescent="0.3">
      <c r="A2460" s="17" t="s">
        <v>652</v>
      </c>
      <c r="B2460" s="17">
        <f t="shared" si="116"/>
        <v>15</v>
      </c>
      <c r="C2460" s="17">
        <f t="shared" si="117"/>
        <v>16</v>
      </c>
      <c r="D2460" s="17"/>
      <c r="E2460" s="17">
        <f t="shared" si="126"/>
        <v>65919</v>
      </c>
      <c r="F2460" s="17">
        <f t="shared" ca="1" si="1"/>
        <v>2013</v>
      </c>
      <c r="G2460" s="17">
        <f t="shared" ca="1" si="127"/>
        <v>10992</v>
      </c>
      <c r="H2460" s="3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1.02</v>
      </c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</row>
    <row r="2461" spans="1:26" ht="13.5" customHeight="1" x14ac:dyDescent="0.3">
      <c r="A2461" s="17" t="s">
        <v>652</v>
      </c>
      <c r="B2461" s="17">
        <f t="shared" si="116"/>
        <v>15</v>
      </c>
      <c r="C2461" s="17">
        <f t="shared" si="117"/>
        <v>17</v>
      </c>
      <c r="D2461" s="17"/>
      <c r="E2461" s="17">
        <f t="shared" si="126"/>
        <v>65919</v>
      </c>
      <c r="F2461" s="17">
        <f t="shared" ca="1" si="1"/>
        <v>2013</v>
      </c>
      <c r="G2461" s="17">
        <f t="shared" ca="1" si="127"/>
        <v>10993</v>
      </c>
      <c r="H2461" s="3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80000000</v>
      </c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</row>
    <row r="2462" spans="1:26" ht="13.5" customHeight="1" x14ac:dyDescent="0.3">
      <c r="A2462" s="17" t="s">
        <v>652</v>
      </c>
      <c r="B2462" s="17">
        <f t="shared" si="116"/>
        <v>15</v>
      </c>
      <c r="C2462" s="17">
        <f t="shared" si="117"/>
        <v>18</v>
      </c>
      <c r="D2462" s="17"/>
      <c r="E2462" s="17">
        <f t="shared" si="126"/>
        <v>65919</v>
      </c>
      <c r="F2462" s="17">
        <f t="shared" ca="1" si="1"/>
        <v>2013</v>
      </c>
      <c r="G2462" s="17">
        <f t="shared" ca="1" si="127"/>
        <v>11005</v>
      </c>
      <c r="H2462" s="3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NA</v>
      </c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</row>
    <row r="2463" spans="1:26" ht="13.5" customHeight="1" x14ac:dyDescent="0.3">
      <c r="A2463" s="17" t="s">
        <v>652</v>
      </c>
      <c r="B2463" s="17">
        <f t="shared" si="116"/>
        <v>15</v>
      </c>
      <c r="C2463" s="17">
        <f t="shared" si="117"/>
        <v>19</v>
      </c>
      <c r="D2463" s="17"/>
      <c r="E2463" s="17">
        <f t="shared" si="126"/>
        <v>65919</v>
      </c>
      <c r="F2463" s="17">
        <f t="shared" ca="1" si="1"/>
        <v>2013</v>
      </c>
      <c r="G2463" s="17">
        <f t="shared" ca="1" si="127"/>
        <v>10988</v>
      </c>
      <c r="H2463" s="3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3.125E-2</v>
      </c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</row>
    <row r="2464" spans="1:26" ht="13.5" customHeight="1" x14ac:dyDescent="0.3">
      <c r="A2464" s="17" t="s">
        <v>652</v>
      </c>
      <c r="B2464" s="17">
        <f t="shared" si="116"/>
        <v>15</v>
      </c>
      <c r="C2464" s="17">
        <f t="shared" si="117"/>
        <v>20</v>
      </c>
      <c r="D2464" s="17"/>
      <c r="E2464" s="17">
        <f t="shared" si="126"/>
        <v>65919</v>
      </c>
      <c r="F2464" s="17">
        <f t="shared" ca="1" si="1"/>
        <v>2013</v>
      </c>
      <c r="G2464" s="17">
        <f t="shared" ca="1" si="127"/>
        <v>10996</v>
      </c>
      <c r="H2464" s="3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955573000</v>
      </c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</row>
    <row r="2465" spans="1:26" ht="13.5" customHeight="1" x14ac:dyDescent="0.3">
      <c r="A2465" s="17" t="s">
        <v>652</v>
      </c>
      <c r="B2465" s="17">
        <f t="shared" si="116"/>
        <v>15</v>
      </c>
      <c r="C2465" s="17">
        <f t="shared" si="117"/>
        <v>21</v>
      </c>
      <c r="D2465" s="17"/>
      <c r="E2465" s="17">
        <f t="shared" si="126"/>
        <v>65919</v>
      </c>
      <c r="F2465" s="17">
        <f t="shared" ca="1" si="1"/>
        <v>2013</v>
      </c>
      <c r="G2465" s="17">
        <f t="shared" ca="1" si="127"/>
        <v>10997</v>
      </c>
      <c r="H2465" s="3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0.96815906788247219</v>
      </c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</row>
    <row r="2466" spans="1:26" ht="13.5" customHeight="1" x14ac:dyDescent="0.3">
      <c r="A2466" s="17" t="s">
        <v>652</v>
      </c>
      <c r="B2466" s="17">
        <f t="shared" si="116"/>
        <v>15</v>
      </c>
      <c r="C2466" s="17">
        <f t="shared" si="117"/>
        <v>22</v>
      </c>
      <c r="D2466" s="17"/>
      <c r="E2466" s="17">
        <f t="shared" si="126"/>
        <v>65919</v>
      </c>
      <c r="F2466" s="17">
        <f t="shared" ca="1" si="1"/>
        <v>2013</v>
      </c>
      <c r="G2466" s="17">
        <f t="shared" ca="1" si="127"/>
        <v>10980</v>
      </c>
      <c r="H2466" s="31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</row>
    <row r="2467" spans="1:26" ht="13.5" customHeight="1" x14ac:dyDescent="0.3">
      <c r="A2467" s="17" t="s">
        <v>652</v>
      </c>
      <c r="B2467" s="17">
        <f t="shared" si="116"/>
        <v>15</v>
      </c>
      <c r="C2467" s="17">
        <f t="shared" si="117"/>
        <v>23</v>
      </c>
      <c r="D2467" s="17"/>
      <c r="E2467" s="17">
        <f t="shared" si="126"/>
        <v>65919</v>
      </c>
      <c r="F2467" s="17">
        <f t="shared" ca="1" si="1"/>
        <v>2013</v>
      </c>
      <c r="G2467" s="17">
        <f t="shared" ca="1" si="127"/>
        <v>10981</v>
      </c>
      <c r="H2467" s="3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</row>
    <row r="2468" spans="1:26" ht="13.5" customHeight="1" x14ac:dyDescent="0.3">
      <c r="A2468" s="17" t="s">
        <v>652</v>
      </c>
      <c r="B2468" s="17">
        <f t="shared" si="116"/>
        <v>15</v>
      </c>
      <c r="C2468" s="17">
        <f t="shared" si="117"/>
        <v>24</v>
      </c>
      <c r="D2468" s="17"/>
      <c r="E2468" s="17">
        <f t="shared" si="126"/>
        <v>65919</v>
      </c>
      <c r="F2468" s="17">
        <f t="shared" ca="1" si="1"/>
        <v>2013</v>
      </c>
      <c r="G2468" s="17">
        <f t="shared" ca="1" si="127"/>
        <v>10998</v>
      </c>
      <c r="H2468" s="30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-2300000</v>
      </c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</row>
    <row r="2469" spans="1:26" ht="13.5" customHeight="1" x14ac:dyDescent="0.3">
      <c r="A2469" s="17" t="s">
        <v>652</v>
      </c>
      <c r="B2469" s="17">
        <f t="shared" si="116"/>
        <v>15</v>
      </c>
      <c r="C2469" s="17">
        <f t="shared" si="117"/>
        <v>25</v>
      </c>
      <c r="D2469" s="17"/>
      <c r="E2469" s="17">
        <f t="shared" si="126"/>
        <v>65919</v>
      </c>
      <c r="F2469" s="17">
        <f t="shared" ca="1" si="1"/>
        <v>2013</v>
      </c>
      <c r="G2469" s="17">
        <f t="shared" ca="1" si="127"/>
        <v>10999</v>
      </c>
      <c r="H2469" s="30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43521000</v>
      </c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</row>
    <row r="2470" spans="1:26" ht="13.5" customHeight="1" x14ac:dyDescent="0.3">
      <c r="A2470" s="17" t="s">
        <v>652</v>
      </c>
      <c r="B2470" s="17">
        <f t="shared" si="116"/>
        <v>15</v>
      </c>
      <c r="C2470" s="17">
        <f t="shared" si="117"/>
        <v>26</v>
      </c>
      <c r="D2470" s="17"/>
      <c r="E2470" s="17">
        <f t="shared" si="126"/>
        <v>65919</v>
      </c>
      <c r="F2470" s="17">
        <f t="shared" ca="1" si="1"/>
        <v>2013</v>
      </c>
      <c r="G2470" s="17">
        <f t="shared" ca="1" si="127"/>
        <v>11000</v>
      </c>
      <c r="H2470" s="30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304000</v>
      </c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</row>
    <row r="2471" spans="1:26" ht="13.5" customHeight="1" x14ac:dyDescent="0.3">
      <c r="A2471" s="17" t="s">
        <v>652</v>
      </c>
      <c r="B2471" s="17">
        <f t="shared" si="116"/>
        <v>15</v>
      </c>
      <c r="C2471" s="17">
        <f t="shared" si="117"/>
        <v>27</v>
      </c>
      <c r="D2471" s="17"/>
      <c r="E2471" s="17">
        <f t="shared" si="126"/>
        <v>65919</v>
      </c>
      <c r="F2471" s="17">
        <f t="shared" ca="1" si="1"/>
        <v>2013</v>
      </c>
      <c r="G2471" s="17">
        <f t="shared" ca="1" si="127"/>
        <v>11001</v>
      </c>
      <c r="H2471" s="30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538000</v>
      </c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</row>
    <row r="2472" spans="1:26" ht="13.5" customHeight="1" x14ac:dyDescent="0.3">
      <c r="A2472" s="17" t="s">
        <v>652</v>
      </c>
      <c r="B2472" s="17">
        <f t="shared" si="116"/>
        <v>15</v>
      </c>
      <c r="C2472" s="17">
        <f t="shared" si="117"/>
        <v>28</v>
      </c>
      <c r="D2472" s="17"/>
      <c r="E2472" s="17">
        <f t="shared" si="126"/>
        <v>65919</v>
      </c>
      <c r="F2472" s="17">
        <f t="shared" ca="1" si="1"/>
        <v>2013</v>
      </c>
      <c r="G2472" s="17">
        <f t="shared" ca="1" si="127"/>
        <v>11002</v>
      </c>
      <c r="H2472" s="3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88000</v>
      </c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</row>
    <row r="2473" spans="1:26" ht="13.5" customHeight="1" x14ac:dyDescent="0.3">
      <c r="A2473" s="17" t="s">
        <v>652</v>
      </c>
      <c r="B2473" s="17">
        <f t="shared" si="116"/>
        <v>15</v>
      </c>
      <c r="C2473" s="17">
        <f t="shared" si="117"/>
        <v>29</v>
      </c>
      <c r="D2473" s="17"/>
      <c r="E2473" s="17">
        <f t="shared" si="126"/>
        <v>65919</v>
      </c>
      <c r="F2473" s="17">
        <f t="shared" ca="1" si="1"/>
        <v>2013</v>
      </c>
      <c r="G2473" s="17">
        <f t="shared" ca="1" si="127"/>
        <v>11003</v>
      </c>
      <c r="H2473" s="3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44451000</v>
      </c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</row>
    <row r="2474" spans="1:26" ht="13.5" customHeight="1" x14ac:dyDescent="0.3">
      <c r="A2474" s="17" t="s">
        <v>652</v>
      </c>
      <c r="B2474" s="17">
        <f t="shared" si="116"/>
        <v>16</v>
      </c>
      <c r="C2474" s="17">
        <f t="shared" si="117"/>
        <v>3</v>
      </c>
      <c r="D2474" s="17"/>
      <c r="E2474" s="17">
        <f t="shared" si="126"/>
        <v>65919</v>
      </c>
      <c r="F2474" s="17">
        <f t="shared" ca="1" si="1"/>
        <v>2014</v>
      </c>
      <c r="G2474" s="17">
        <f t="shared" ca="1" si="127"/>
        <v>10982</v>
      </c>
      <c r="H2474" s="29" t="str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No</v>
      </c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</row>
    <row r="2475" spans="1:26" ht="13.5" customHeight="1" x14ac:dyDescent="0.3">
      <c r="A2475" s="17" t="s">
        <v>652</v>
      </c>
      <c r="B2475" s="17">
        <f t="shared" si="116"/>
        <v>16</v>
      </c>
      <c r="C2475" s="17">
        <f t="shared" si="117"/>
        <v>4</v>
      </c>
      <c r="D2475" s="17"/>
      <c r="E2475" s="17">
        <f t="shared" si="126"/>
        <v>65919</v>
      </c>
      <c r="F2475" s="17">
        <f t="shared" ca="1" si="1"/>
        <v>2014</v>
      </c>
      <c r="G2475" s="17">
        <f t="shared" ca="1" si="127"/>
        <v>10984</v>
      </c>
      <c r="H2475" s="29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NA</v>
      </c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</row>
    <row r="2476" spans="1:26" ht="13.5" customHeight="1" x14ac:dyDescent="0.3">
      <c r="A2476" s="17" t="s">
        <v>652</v>
      </c>
      <c r="B2476" s="17">
        <f t="shared" si="116"/>
        <v>16</v>
      </c>
      <c r="C2476" s="17">
        <f t="shared" si="117"/>
        <v>5</v>
      </c>
      <c r="D2476" s="17"/>
      <c r="E2476" s="17">
        <f t="shared" si="126"/>
        <v>65919</v>
      </c>
      <c r="F2476" s="17">
        <f t="shared" ca="1" si="1"/>
        <v>2014</v>
      </c>
      <c r="G2476" s="17">
        <f t="shared" ca="1" si="127"/>
        <v>10985</v>
      </c>
      <c r="H2476" s="29" t="str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NA</v>
      </c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</row>
    <row r="2477" spans="1:26" ht="13.5" customHeight="1" x14ac:dyDescent="0.3">
      <c r="A2477" s="17" t="s">
        <v>652</v>
      </c>
      <c r="B2477" s="17">
        <f t="shared" si="116"/>
        <v>16</v>
      </c>
      <c r="C2477" s="17">
        <f t="shared" si="117"/>
        <v>6</v>
      </c>
      <c r="D2477" s="17"/>
      <c r="E2477" s="17">
        <f t="shared" si="126"/>
        <v>65919</v>
      </c>
      <c r="F2477" s="17">
        <f t="shared" ca="1" si="1"/>
        <v>2014</v>
      </c>
      <c r="G2477" s="17">
        <f t="shared" ca="1" si="127"/>
        <v>10986</v>
      </c>
      <c r="H2477" s="2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</row>
    <row r="2478" spans="1:26" ht="13.5" customHeight="1" x14ac:dyDescent="0.3">
      <c r="A2478" s="17" t="s">
        <v>652</v>
      </c>
      <c r="B2478" s="17">
        <f t="shared" si="116"/>
        <v>16</v>
      </c>
      <c r="C2478" s="17">
        <f t="shared" si="117"/>
        <v>7</v>
      </c>
      <c r="D2478" s="17"/>
      <c r="E2478" s="17">
        <f t="shared" si="126"/>
        <v>65919</v>
      </c>
      <c r="F2478" s="17">
        <f t="shared" ca="1" si="1"/>
        <v>2014</v>
      </c>
      <c r="G2478" s="17">
        <f t="shared" ca="1" si="127"/>
        <v>10974</v>
      </c>
      <c r="H2478" s="29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Aggregate</v>
      </c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</row>
    <row r="2479" spans="1:26" ht="13.5" customHeight="1" x14ac:dyDescent="0.3">
      <c r="A2479" s="17" t="s">
        <v>652</v>
      </c>
      <c r="B2479" s="17">
        <f t="shared" si="116"/>
        <v>16</v>
      </c>
      <c r="C2479" s="17">
        <f t="shared" si="117"/>
        <v>8</v>
      </c>
      <c r="D2479" s="17"/>
      <c r="E2479" s="17">
        <f t="shared" si="126"/>
        <v>65919</v>
      </c>
      <c r="F2479" s="17">
        <f t="shared" ca="1" si="1"/>
        <v>2014</v>
      </c>
      <c r="G2479" s="17">
        <f t="shared" ca="1" si="127"/>
        <v>10987</v>
      </c>
      <c r="H2479" s="29" t="str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NA</v>
      </c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</row>
    <row r="2480" spans="1:26" ht="13.5" customHeight="1" x14ac:dyDescent="0.3">
      <c r="A2480" s="17" t="s">
        <v>652</v>
      </c>
      <c r="B2480" s="17">
        <f t="shared" si="116"/>
        <v>16</v>
      </c>
      <c r="C2480" s="17">
        <f t="shared" si="117"/>
        <v>9</v>
      </c>
      <c r="D2480" s="17"/>
      <c r="E2480" s="17">
        <f t="shared" si="126"/>
        <v>65919</v>
      </c>
      <c r="F2480" s="17">
        <f t="shared" ca="1" si="1"/>
        <v>2014</v>
      </c>
      <c r="G2480" s="17">
        <f t="shared" ca="1" si="127"/>
        <v>10885</v>
      </c>
      <c r="H2480" s="3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6677000</v>
      </c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</row>
    <row r="2481" spans="1:26" ht="13.5" customHeight="1" x14ac:dyDescent="0.3">
      <c r="A2481" s="17" t="s">
        <v>652</v>
      </c>
      <c r="B2481" s="17">
        <f t="shared" si="116"/>
        <v>16</v>
      </c>
      <c r="C2481" s="17">
        <f t="shared" si="117"/>
        <v>10</v>
      </c>
      <c r="D2481" s="17"/>
      <c r="E2481" s="17">
        <f t="shared" si="126"/>
        <v>65919</v>
      </c>
      <c r="F2481" s="17">
        <f t="shared" ca="1" si="1"/>
        <v>2014</v>
      </c>
      <c r="G2481" s="17">
        <f t="shared" ca="1" si="127"/>
        <v>10886</v>
      </c>
      <c r="H2481" s="3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6587000</v>
      </c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</row>
    <row r="2482" spans="1:26" ht="13.5" customHeight="1" x14ac:dyDescent="0.3">
      <c r="A2482" s="17" t="s">
        <v>652</v>
      </c>
      <c r="B2482" s="17">
        <f t="shared" si="116"/>
        <v>16</v>
      </c>
      <c r="C2482" s="17">
        <f t="shared" si="117"/>
        <v>11</v>
      </c>
      <c r="D2482" s="17"/>
      <c r="E2482" s="17">
        <f t="shared" si="126"/>
        <v>65919</v>
      </c>
      <c r="F2482" s="17">
        <f t="shared" ca="1" si="1"/>
        <v>2014</v>
      </c>
      <c r="G2482" s="17">
        <f t="shared" ca="1" si="127"/>
        <v>10887</v>
      </c>
      <c r="H2482" s="3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90000</v>
      </c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</row>
    <row r="2483" spans="1:26" ht="13.5" customHeight="1" x14ac:dyDescent="0.3">
      <c r="A2483" s="17" t="s">
        <v>652</v>
      </c>
      <c r="B2483" s="17">
        <f t="shared" si="116"/>
        <v>16</v>
      </c>
      <c r="C2483" s="17">
        <f t="shared" si="117"/>
        <v>12</v>
      </c>
      <c r="D2483" s="17"/>
      <c r="E2483" s="17">
        <f t="shared" si="126"/>
        <v>65919</v>
      </c>
      <c r="F2483" s="17">
        <f t="shared" ca="1" si="1"/>
        <v>2014</v>
      </c>
      <c r="G2483" s="17">
        <f t="shared" ca="1" si="127"/>
        <v>10883</v>
      </c>
      <c r="H2483" s="3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0.98652089261644449</v>
      </c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</row>
    <row r="2484" spans="1:26" ht="13.5" customHeight="1" x14ac:dyDescent="0.3">
      <c r="A2484" s="17" t="s">
        <v>652</v>
      </c>
      <c r="B2484" s="17">
        <f t="shared" si="116"/>
        <v>16</v>
      </c>
      <c r="C2484" s="17">
        <f t="shared" si="117"/>
        <v>13</v>
      </c>
      <c r="D2484" s="17"/>
      <c r="E2484" s="17">
        <f t="shared" si="126"/>
        <v>65919</v>
      </c>
      <c r="F2484" s="17">
        <f t="shared" ca="1" si="1"/>
        <v>2014</v>
      </c>
      <c r="G2484" s="17">
        <f t="shared" ca="1" si="127"/>
        <v>10989</v>
      </c>
      <c r="H2484" s="3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1044000000</v>
      </c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</row>
    <row r="2485" spans="1:26" ht="13.5" customHeight="1" x14ac:dyDescent="0.3">
      <c r="A2485" s="17" t="s">
        <v>652</v>
      </c>
      <c r="B2485" s="17">
        <f t="shared" si="116"/>
        <v>16</v>
      </c>
      <c r="C2485" s="17">
        <f t="shared" si="117"/>
        <v>14</v>
      </c>
      <c r="D2485" s="17"/>
      <c r="E2485" s="17">
        <f t="shared" si="126"/>
        <v>65919</v>
      </c>
      <c r="F2485" s="17">
        <f t="shared" ca="1" si="1"/>
        <v>2014</v>
      </c>
      <c r="G2485" s="17">
        <f t="shared" ca="1" si="127"/>
        <v>10990</v>
      </c>
      <c r="H2485" s="3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1042000000</v>
      </c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</row>
    <row r="2486" spans="1:26" ht="13.5" customHeight="1" x14ac:dyDescent="0.3">
      <c r="A2486" s="17" t="s">
        <v>652</v>
      </c>
      <c r="B2486" s="17">
        <f t="shared" si="116"/>
        <v>16</v>
      </c>
      <c r="C2486" s="17">
        <f t="shared" si="117"/>
        <v>15</v>
      </c>
      <c r="D2486" s="17"/>
      <c r="E2486" s="17">
        <f t="shared" si="126"/>
        <v>65919</v>
      </c>
      <c r="F2486" s="17">
        <f t="shared" ca="1" si="1"/>
        <v>2014</v>
      </c>
      <c r="G2486" s="17">
        <f t="shared" ca="1" si="127"/>
        <v>10991</v>
      </c>
      <c r="H2486" s="3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-2000000</v>
      </c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</row>
    <row r="2487" spans="1:26" ht="13.5" customHeight="1" x14ac:dyDescent="0.3">
      <c r="A2487" s="17" t="s">
        <v>652</v>
      </c>
      <c r="B2487" s="17">
        <f t="shared" si="116"/>
        <v>16</v>
      </c>
      <c r="C2487" s="17">
        <f t="shared" si="117"/>
        <v>16</v>
      </c>
      <c r="D2487" s="17"/>
      <c r="E2487" s="17">
        <f t="shared" si="126"/>
        <v>65919</v>
      </c>
      <c r="F2487" s="17">
        <f t="shared" ca="1" si="1"/>
        <v>2014</v>
      </c>
      <c r="G2487" s="17">
        <f t="shared" ca="1" si="127"/>
        <v>10992</v>
      </c>
      <c r="H2487" s="3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</v>
      </c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</row>
    <row r="2488" spans="1:26" ht="13.5" customHeight="1" x14ac:dyDescent="0.3">
      <c r="A2488" s="17" t="s">
        <v>652</v>
      </c>
      <c r="B2488" s="17">
        <f t="shared" si="116"/>
        <v>16</v>
      </c>
      <c r="C2488" s="17">
        <f t="shared" si="117"/>
        <v>17</v>
      </c>
      <c r="D2488" s="17"/>
      <c r="E2488" s="17">
        <f t="shared" si="126"/>
        <v>65919</v>
      </c>
      <c r="F2488" s="17">
        <f t="shared" ca="1" si="1"/>
        <v>2014</v>
      </c>
      <c r="G2488" s="17">
        <f t="shared" ca="1" si="127"/>
        <v>10993</v>
      </c>
      <c r="H2488" s="3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82000000</v>
      </c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</row>
    <row r="2489" spans="1:26" ht="13.5" customHeight="1" x14ac:dyDescent="0.3">
      <c r="A2489" s="17" t="s">
        <v>652</v>
      </c>
      <c r="B2489" s="17">
        <f t="shared" si="116"/>
        <v>16</v>
      </c>
      <c r="C2489" s="17">
        <f t="shared" si="117"/>
        <v>18</v>
      </c>
      <c r="D2489" s="17"/>
      <c r="E2489" s="17">
        <f t="shared" si="126"/>
        <v>65919</v>
      </c>
      <c r="F2489" s="17">
        <f t="shared" ca="1" si="1"/>
        <v>2014</v>
      </c>
      <c r="G2489" s="17">
        <f t="shared" ca="1" si="127"/>
        <v>11005</v>
      </c>
      <c r="H2489" s="31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8.1426829268292686E-2</v>
      </c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</row>
    <row r="2490" spans="1:26" ht="13.5" customHeight="1" x14ac:dyDescent="0.3">
      <c r="A2490" s="17" t="s">
        <v>652</v>
      </c>
      <c r="B2490" s="17">
        <f t="shared" si="116"/>
        <v>16</v>
      </c>
      <c r="C2490" s="17">
        <f t="shared" si="117"/>
        <v>19</v>
      </c>
      <c r="D2490" s="17"/>
      <c r="E2490" s="17">
        <f t="shared" si="126"/>
        <v>65919</v>
      </c>
      <c r="F2490" s="17">
        <f t="shared" ca="1" si="1"/>
        <v>2014</v>
      </c>
      <c r="G2490" s="17">
        <f t="shared" ca="1" si="127"/>
        <v>10988</v>
      </c>
      <c r="H2490" s="29" t="str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NA</v>
      </c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</row>
    <row r="2491" spans="1:26" ht="13.5" customHeight="1" x14ac:dyDescent="0.3">
      <c r="A2491" s="17" t="s">
        <v>652</v>
      </c>
      <c r="B2491" s="17">
        <f t="shared" si="116"/>
        <v>16</v>
      </c>
      <c r="C2491" s="17">
        <f t="shared" si="117"/>
        <v>20</v>
      </c>
      <c r="D2491" s="17"/>
      <c r="E2491" s="17">
        <f t="shared" si="126"/>
        <v>65919</v>
      </c>
      <c r="F2491" s="17">
        <f t="shared" ca="1" si="1"/>
        <v>2014</v>
      </c>
      <c r="G2491" s="17">
        <f t="shared" ca="1" si="127"/>
        <v>10996</v>
      </c>
      <c r="H2491" s="3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1098541000</v>
      </c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</row>
    <row r="2492" spans="1:26" ht="13.5" customHeight="1" x14ac:dyDescent="0.3">
      <c r="A2492" s="17" t="s">
        <v>652</v>
      </c>
      <c r="B2492" s="17">
        <f t="shared" si="116"/>
        <v>16</v>
      </c>
      <c r="C2492" s="17">
        <f t="shared" si="117"/>
        <v>21</v>
      </c>
      <c r="D2492" s="17"/>
      <c r="E2492" s="17">
        <f t="shared" si="126"/>
        <v>65919</v>
      </c>
      <c r="F2492" s="17">
        <f t="shared" ca="1" si="1"/>
        <v>2014</v>
      </c>
      <c r="G2492" s="17">
        <f t="shared" ca="1" si="127"/>
        <v>10997</v>
      </c>
      <c r="H2492" s="3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1.0542619961612285</v>
      </c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</row>
    <row r="2493" spans="1:26" ht="13.5" customHeight="1" x14ac:dyDescent="0.3">
      <c r="A2493" s="17" t="s">
        <v>652</v>
      </c>
      <c r="B2493" s="17">
        <f t="shared" si="116"/>
        <v>16</v>
      </c>
      <c r="C2493" s="17">
        <f t="shared" si="117"/>
        <v>22</v>
      </c>
      <c r="D2493" s="17"/>
      <c r="E2493" s="17">
        <f t="shared" si="126"/>
        <v>65919</v>
      </c>
      <c r="F2493" s="17">
        <f t="shared" ca="1" si="1"/>
        <v>2014</v>
      </c>
      <c r="G2493" s="17">
        <f t="shared" ca="1" si="127"/>
        <v>10980</v>
      </c>
      <c r="H2493" s="31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</row>
    <row r="2494" spans="1:26" ht="13.5" customHeight="1" x14ac:dyDescent="0.3">
      <c r="A2494" s="17" t="s">
        <v>652</v>
      </c>
      <c r="B2494" s="17">
        <f t="shared" si="116"/>
        <v>16</v>
      </c>
      <c r="C2494" s="17">
        <f t="shared" si="117"/>
        <v>23</v>
      </c>
      <c r="D2494" s="17"/>
      <c r="E2494" s="17">
        <f t="shared" si="126"/>
        <v>65919</v>
      </c>
      <c r="F2494" s="17">
        <f t="shared" ca="1" si="1"/>
        <v>2014</v>
      </c>
      <c r="G2494" s="17">
        <f t="shared" ca="1" si="127"/>
        <v>10981</v>
      </c>
      <c r="H2494" s="3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0.17030000000000001</v>
      </c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</row>
    <row r="2495" spans="1:26" ht="13.5" customHeight="1" x14ac:dyDescent="0.3">
      <c r="A2495" s="17" t="s">
        <v>652</v>
      </c>
      <c r="B2495" s="17">
        <f t="shared" si="116"/>
        <v>16</v>
      </c>
      <c r="C2495" s="17">
        <f t="shared" si="117"/>
        <v>24</v>
      </c>
      <c r="D2495" s="17"/>
      <c r="E2495" s="17">
        <f t="shared" si="126"/>
        <v>65919</v>
      </c>
      <c r="F2495" s="17">
        <f t="shared" ca="1" si="1"/>
        <v>2014</v>
      </c>
      <c r="G2495" s="17">
        <f t="shared" ca="1" si="127"/>
        <v>10998</v>
      </c>
      <c r="H2495" s="30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-8500000</v>
      </c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</row>
    <row r="2496" spans="1:26" ht="13.5" customHeight="1" x14ac:dyDescent="0.3">
      <c r="A2496" s="17" t="s">
        <v>652</v>
      </c>
      <c r="B2496" s="17">
        <f t="shared" si="116"/>
        <v>16</v>
      </c>
      <c r="C2496" s="17">
        <f t="shared" si="117"/>
        <v>25</v>
      </c>
      <c r="D2496" s="17"/>
      <c r="E2496" s="17">
        <f t="shared" si="126"/>
        <v>65919</v>
      </c>
      <c r="F2496" s="17">
        <f t="shared" ca="1" si="1"/>
        <v>2014</v>
      </c>
      <c r="G2496" s="17">
        <f t="shared" ca="1" si="127"/>
        <v>10999</v>
      </c>
      <c r="H2496" s="30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47143000</v>
      </c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</row>
    <row r="2497" spans="1:26" ht="13.5" customHeight="1" x14ac:dyDescent="0.3">
      <c r="A2497" s="17" t="s">
        <v>652</v>
      </c>
      <c r="B2497" s="17">
        <f t="shared" si="116"/>
        <v>16</v>
      </c>
      <c r="C2497" s="17">
        <f t="shared" si="117"/>
        <v>26</v>
      </c>
      <c r="D2497" s="17"/>
      <c r="E2497" s="17">
        <f t="shared" si="126"/>
        <v>65919</v>
      </c>
      <c r="F2497" s="17">
        <f t="shared" ca="1" si="1"/>
        <v>2014</v>
      </c>
      <c r="G2497" s="17">
        <f t="shared" ca="1" si="127"/>
        <v>11000</v>
      </c>
      <c r="H2497" s="30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367000</v>
      </c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</row>
    <row r="2498" spans="1:26" ht="13.5" customHeight="1" x14ac:dyDescent="0.3">
      <c r="A2498" s="17" t="s">
        <v>652</v>
      </c>
      <c r="B2498" s="17">
        <f t="shared" si="116"/>
        <v>16</v>
      </c>
      <c r="C2498" s="17">
        <f t="shared" si="117"/>
        <v>27</v>
      </c>
      <c r="D2498" s="17"/>
      <c r="E2498" s="17">
        <f t="shared" si="126"/>
        <v>65919</v>
      </c>
      <c r="F2498" s="17">
        <f t="shared" ca="1" si="1"/>
        <v>2014</v>
      </c>
      <c r="G2498" s="17">
        <f t="shared" ca="1" si="127"/>
        <v>11001</v>
      </c>
      <c r="H2498" s="30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431000</v>
      </c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</row>
    <row r="2499" spans="1:26" ht="13.5" customHeight="1" x14ac:dyDescent="0.3">
      <c r="A2499" s="17" t="s">
        <v>652</v>
      </c>
      <c r="B2499" s="17">
        <f t="shared" si="116"/>
        <v>16</v>
      </c>
      <c r="C2499" s="17">
        <f t="shared" si="117"/>
        <v>28</v>
      </c>
      <c r="D2499" s="17"/>
      <c r="E2499" s="17">
        <f t="shared" si="126"/>
        <v>65919</v>
      </c>
      <c r="F2499" s="17">
        <f t="shared" ca="1" si="1"/>
        <v>2014</v>
      </c>
      <c r="G2499" s="17">
        <f t="shared" ca="1" si="127"/>
        <v>11002</v>
      </c>
      <c r="H2499" s="3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</row>
    <row r="2500" spans="1:26" ht="13.5" customHeight="1" x14ac:dyDescent="0.3">
      <c r="A2500" s="17" t="s">
        <v>652</v>
      </c>
      <c r="B2500" s="17">
        <f t="shared" si="116"/>
        <v>16</v>
      </c>
      <c r="C2500" s="17">
        <f t="shared" si="117"/>
        <v>29</v>
      </c>
      <c r="D2500" s="17"/>
      <c r="E2500" s="17">
        <f t="shared" ref="E2500:E2563" si="128">plan_id</f>
        <v>65919</v>
      </c>
      <c r="F2500" s="17">
        <f t="shared" ca="1" si="1"/>
        <v>2014</v>
      </c>
      <c r="G2500" s="17">
        <f t="shared" ref="G2500:G2563" ca="1" si="129">VLOOKUP(INDIRECT(CHAR(39)&amp;$A2500&amp;CHAR(39)&amp;"!r2c"&amp;$C2500,0),variables,2,0)</f>
        <v>11003</v>
      </c>
      <c r="H2500" s="3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47941000</v>
      </c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</row>
    <row r="2501" spans="1:26" ht="13.5" customHeight="1" x14ac:dyDescent="0.3">
      <c r="A2501" s="17" t="s">
        <v>652</v>
      </c>
      <c r="B2501" s="17">
        <f t="shared" si="116"/>
        <v>17</v>
      </c>
      <c r="C2501" s="17">
        <f t="shared" si="117"/>
        <v>3</v>
      </c>
      <c r="D2501" s="17"/>
      <c r="E2501" s="17">
        <f t="shared" si="128"/>
        <v>65919</v>
      </c>
      <c r="F2501" s="17">
        <f t="shared" ca="1" si="1"/>
        <v>2015</v>
      </c>
      <c r="G2501" s="17">
        <f t="shared" ca="1" si="129"/>
        <v>10982</v>
      </c>
      <c r="H2501" s="29" t="str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No</v>
      </c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</row>
    <row r="2502" spans="1:26" ht="13.5" customHeight="1" x14ac:dyDescent="0.3">
      <c r="A2502" s="17" t="s">
        <v>652</v>
      </c>
      <c r="B2502" s="17">
        <f t="shared" si="116"/>
        <v>17</v>
      </c>
      <c r="C2502" s="17">
        <f t="shared" si="117"/>
        <v>4</v>
      </c>
      <c r="D2502" s="17"/>
      <c r="E2502" s="17">
        <f t="shared" si="128"/>
        <v>65919</v>
      </c>
      <c r="F2502" s="17">
        <f t="shared" ca="1" si="1"/>
        <v>2015</v>
      </c>
      <c r="G2502" s="17">
        <f t="shared" ca="1" si="129"/>
        <v>10984</v>
      </c>
      <c r="H2502" s="29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NA</v>
      </c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</row>
    <row r="2503" spans="1:26" ht="13.5" customHeight="1" x14ac:dyDescent="0.3">
      <c r="A2503" s="17" t="s">
        <v>652</v>
      </c>
      <c r="B2503" s="17">
        <f t="shared" si="116"/>
        <v>17</v>
      </c>
      <c r="C2503" s="17">
        <f t="shared" si="117"/>
        <v>5</v>
      </c>
      <c r="D2503" s="17"/>
      <c r="E2503" s="17">
        <f t="shared" si="128"/>
        <v>65919</v>
      </c>
      <c r="F2503" s="17">
        <f t="shared" ca="1" si="1"/>
        <v>2015</v>
      </c>
      <c r="G2503" s="17">
        <f t="shared" ca="1" si="129"/>
        <v>10985</v>
      </c>
      <c r="H2503" s="29" t="str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NA</v>
      </c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</row>
    <row r="2504" spans="1:26" ht="13.5" customHeight="1" x14ac:dyDescent="0.3">
      <c r="A2504" s="17" t="s">
        <v>652</v>
      </c>
      <c r="B2504" s="17">
        <f t="shared" si="116"/>
        <v>17</v>
      </c>
      <c r="C2504" s="17">
        <f t="shared" si="117"/>
        <v>6</v>
      </c>
      <c r="D2504" s="17"/>
      <c r="E2504" s="17">
        <f t="shared" si="128"/>
        <v>65919</v>
      </c>
      <c r="F2504" s="17">
        <f t="shared" ca="1" si="1"/>
        <v>2015</v>
      </c>
      <c r="G2504" s="17">
        <f t="shared" ca="1" si="129"/>
        <v>10986</v>
      </c>
      <c r="H2504" s="2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</row>
    <row r="2505" spans="1:26" ht="13.5" customHeight="1" x14ac:dyDescent="0.3">
      <c r="A2505" s="17" t="s">
        <v>652</v>
      </c>
      <c r="B2505" s="17">
        <f t="shared" si="116"/>
        <v>17</v>
      </c>
      <c r="C2505" s="17">
        <f t="shared" si="117"/>
        <v>7</v>
      </c>
      <c r="D2505" s="17"/>
      <c r="E2505" s="17">
        <f t="shared" si="128"/>
        <v>65919</v>
      </c>
      <c r="F2505" s="17">
        <f t="shared" ca="1" si="1"/>
        <v>2015</v>
      </c>
      <c r="G2505" s="17">
        <f t="shared" ca="1" si="129"/>
        <v>10974</v>
      </c>
      <c r="H2505" s="29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Aggregate</v>
      </c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</row>
    <row r="2506" spans="1:26" ht="13.5" customHeight="1" x14ac:dyDescent="0.3">
      <c r="A2506" s="17" t="s">
        <v>652</v>
      </c>
      <c r="B2506" s="17">
        <f t="shared" si="116"/>
        <v>17</v>
      </c>
      <c r="C2506" s="17">
        <f t="shared" si="117"/>
        <v>8</v>
      </c>
      <c r="D2506" s="17"/>
      <c r="E2506" s="17">
        <f t="shared" si="128"/>
        <v>65919</v>
      </c>
      <c r="F2506" s="17">
        <f t="shared" ca="1" si="1"/>
        <v>2015</v>
      </c>
      <c r="G2506" s="17">
        <f t="shared" ca="1" si="129"/>
        <v>10987</v>
      </c>
      <c r="H2506" s="29" t="str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NA</v>
      </c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</row>
    <row r="2507" spans="1:26" ht="13.5" customHeight="1" x14ac:dyDescent="0.3">
      <c r="A2507" s="17" t="s">
        <v>652</v>
      </c>
      <c r="B2507" s="17">
        <f t="shared" si="116"/>
        <v>17</v>
      </c>
      <c r="C2507" s="17">
        <f t="shared" si="117"/>
        <v>9</v>
      </c>
      <c r="D2507" s="17"/>
      <c r="E2507" s="17">
        <f t="shared" si="128"/>
        <v>65919</v>
      </c>
      <c r="F2507" s="17">
        <f t="shared" ca="1" si="1"/>
        <v>2015</v>
      </c>
      <c r="G2507" s="17">
        <f t="shared" ca="1" si="129"/>
        <v>10885</v>
      </c>
      <c r="H2507" s="3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6810000</v>
      </c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</row>
    <row r="2508" spans="1:26" ht="13.5" customHeight="1" x14ac:dyDescent="0.3">
      <c r="A2508" s="17" t="s">
        <v>652</v>
      </c>
      <c r="B2508" s="17">
        <f t="shared" si="116"/>
        <v>17</v>
      </c>
      <c r="C2508" s="17">
        <f t="shared" si="117"/>
        <v>10</v>
      </c>
      <c r="D2508" s="17"/>
      <c r="E2508" s="17">
        <f t="shared" si="128"/>
        <v>65919</v>
      </c>
      <c r="F2508" s="17">
        <f t="shared" ca="1" si="1"/>
        <v>2015</v>
      </c>
      <c r="G2508" s="17">
        <f t="shared" ca="1" si="129"/>
        <v>10886</v>
      </c>
      <c r="H2508" s="3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6679000</v>
      </c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</row>
    <row r="2509" spans="1:26" ht="13.5" customHeight="1" x14ac:dyDescent="0.3">
      <c r="A2509" s="17" t="s">
        <v>652</v>
      </c>
      <c r="B2509" s="17">
        <f t="shared" si="116"/>
        <v>17</v>
      </c>
      <c r="C2509" s="17">
        <f t="shared" si="117"/>
        <v>11</v>
      </c>
      <c r="D2509" s="17"/>
      <c r="E2509" s="17">
        <f t="shared" si="128"/>
        <v>65919</v>
      </c>
      <c r="F2509" s="17">
        <f t="shared" ca="1" si="1"/>
        <v>2015</v>
      </c>
      <c r="G2509" s="17">
        <f t="shared" ca="1" si="129"/>
        <v>10887</v>
      </c>
      <c r="H2509" s="3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131000</v>
      </c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</row>
    <row r="2510" spans="1:26" ht="13.5" customHeight="1" x14ac:dyDescent="0.3">
      <c r="A2510" s="17" t="s">
        <v>652</v>
      </c>
      <c r="B2510" s="17">
        <f t="shared" si="116"/>
        <v>17</v>
      </c>
      <c r="C2510" s="17">
        <f t="shared" si="117"/>
        <v>12</v>
      </c>
      <c r="D2510" s="17"/>
      <c r="E2510" s="17">
        <f t="shared" si="128"/>
        <v>65919</v>
      </c>
      <c r="F2510" s="17">
        <f t="shared" ca="1" si="1"/>
        <v>2015</v>
      </c>
      <c r="G2510" s="17">
        <f t="shared" ca="1" si="129"/>
        <v>10883</v>
      </c>
      <c r="H2510" s="3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0.98076358296622612</v>
      </c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</row>
    <row r="2511" spans="1:26" ht="13.5" customHeight="1" x14ac:dyDescent="0.3">
      <c r="A2511" s="17" t="s">
        <v>652</v>
      </c>
      <c r="B2511" s="17">
        <f t="shared" si="116"/>
        <v>17</v>
      </c>
      <c r="C2511" s="17">
        <f t="shared" si="117"/>
        <v>13</v>
      </c>
      <c r="D2511" s="17"/>
      <c r="E2511" s="17">
        <f t="shared" si="128"/>
        <v>65919</v>
      </c>
      <c r="F2511" s="17">
        <f t="shared" ca="1" si="1"/>
        <v>2015</v>
      </c>
      <c r="G2511" s="17">
        <f t="shared" ca="1" si="129"/>
        <v>10989</v>
      </c>
      <c r="H2511" s="3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1067000000</v>
      </c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</row>
    <row r="2512" spans="1:26" ht="13.5" customHeight="1" x14ac:dyDescent="0.3">
      <c r="A2512" s="17" t="s">
        <v>652</v>
      </c>
      <c r="B2512" s="17">
        <f t="shared" si="116"/>
        <v>17</v>
      </c>
      <c r="C2512" s="17">
        <f t="shared" si="117"/>
        <v>14</v>
      </c>
      <c r="D2512" s="17"/>
      <c r="E2512" s="17">
        <f t="shared" si="128"/>
        <v>65919</v>
      </c>
      <c r="F2512" s="17">
        <f t="shared" ca="1" si="1"/>
        <v>2015</v>
      </c>
      <c r="G2512" s="17">
        <f t="shared" ca="1" si="129"/>
        <v>10990</v>
      </c>
      <c r="H2512" s="3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1093000000</v>
      </c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</row>
    <row r="2513" spans="1:26" ht="13.5" customHeight="1" x14ac:dyDescent="0.3">
      <c r="A2513" s="17" t="s">
        <v>652</v>
      </c>
      <c r="B2513" s="17">
        <f t="shared" si="116"/>
        <v>17</v>
      </c>
      <c r="C2513" s="17">
        <f t="shared" si="117"/>
        <v>15</v>
      </c>
      <c r="D2513" s="17"/>
      <c r="E2513" s="17">
        <f t="shared" si="128"/>
        <v>65919</v>
      </c>
      <c r="F2513" s="17">
        <f t="shared" ca="1" si="1"/>
        <v>2015</v>
      </c>
      <c r="G2513" s="17">
        <f t="shared" ca="1" si="129"/>
        <v>10991</v>
      </c>
      <c r="H2513" s="3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26000000</v>
      </c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</row>
    <row r="2514" spans="1:26" ht="13.5" customHeight="1" x14ac:dyDescent="0.3">
      <c r="A2514" s="17" t="s">
        <v>652</v>
      </c>
      <c r="B2514" s="17">
        <f t="shared" si="116"/>
        <v>17</v>
      </c>
      <c r="C2514" s="17">
        <f t="shared" si="117"/>
        <v>16</v>
      </c>
      <c r="D2514" s="17"/>
      <c r="E2514" s="17">
        <f t="shared" si="128"/>
        <v>65919</v>
      </c>
      <c r="F2514" s="17">
        <f t="shared" ca="1" si="1"/>
        <v>2015</v>
      </c>
      <c r="G2514" s="17">
        <f t="shared" ca="1" si="129"/>
        <v>10992</v>
      </c>
      <c r="H2514" s="3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0.98</v>
      </c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</row>
    <row r="2515" spans="1:26" ht="13.5" customHeight="1" x14ac:dyDescent="0.3">
      <c r="A2515" s="17" t="s">
        <v>652</v>
      </c>
      <c r="B2515" s="17">
        <f t="shared" si="116"/>
        <v>17</v>
      </c>
      <c r="C2515" s="17">
        <f t="shared" si="117"/>
        <v>17</v>
      </c>
      <c r="D2515" s="17"/>
      <c r="E2515" s="17">
        <f t="shared" si="128"/>
        <v>65919</v>
      </c>
      <c r="F2515" s="17">
        <f t="shared" ca="1" si="1"/>
        <v>2015</v>
      </c>
      <c r="G2515" s="17">
        <f t="shared" ca="1" si="129"/>
        <v>10993</v>
      </c>
      <c r="H2515" s="3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82000000</v>
      </c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</row>
    <row r="2516" spans="1:26" ht="13.5" customHeight="1" x14ac:dyDescent="0.3">
      <c r="A2516" s="17" t="s">
        <v>652</v>
      </c>
      <c r="B2516" s="17">
        <f t="shared" si="116"/>
        <v>17</v>
      </c>
      <c r="C2516" s="17">
        <f t="shared" si="117"/>
        <v>18</v>
      </c>
      <c r="D2516" s="17"/>
      <c r="E2516" s="17">
        <f t="shared" si="128"/>
        <v>65919</v>
      </c>
      <c r="F2516" s="17">
        <f t="shared" ca="1" si="1"/>
        <v>2015</v>
      </c>
      <c r="G2516" s="17">
        <f t="shared" ca="1" si="129"/>
        <v>11005</v>
      </c>
      <c r="H2516" s="31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8.3048780487804882E-2</v>
      </c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</row>
    <row r="2517" spans="1:26" ht="13.5" customHeight="1" x14ac:dyDescent="0.3">
      <c r="A2517" s="17" t="s">
        <v>652</v>
      </c>
      <c r="B2517" s="17">
        <f t="shared" si="116"/>
        <v>17</v>
      </c>
      <c r="C2517" s="17">
        <f t="shared" si="117"/>
        <v>19</v>
      </c>
      <c r="D2517" s="17"/>
      <c r="E2517" s="17">
        <f t="shared" si="128"/>
        <v>65919</v>
      </c>
      <c r="F2517" s="17">
        <f t="shared" ca="1" si="1"/>
        <v>2015</v>
      </c>
      <c r="G2517" s="17">
        <f t="shared" ca="1" si="129"/>
        <v>10988</v>
      </c>
      <c r="H2517" s="29" t="str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NA</v>
      </c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</row>
    <row r="2518" spans="1:26" ht="13.5" customHeight="1" x14ac:dyDescent="0.3">
      <c r="A2518" s="17" t="s">
        <v>652</v>
      </c>
      <c r="B2518" s="17">
        <f t="shared" si="116"/>
        <v>17</v>
      </c>
      <c r="C2518" s="17">
        <f t="shared" si="117"/>
        <v>20</v>
      </c>
      <c r="D2518" s="17"/>
      <c r="E2518" s="17">
        <f t="shared" si="128"/>
        <v>65919</v>
      </c>
      <c r="F2518" s="17">
        <f t="shared" ca="1" si="1"/>
        <v>2015</v>
      </c>
      <c r="G2518" s="17">
        <f t="shared" ca="1" si="129"/>
        <v>10996</v>
      </c>
      <c r="H2518" s="3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1110799000</v>
      </c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</row>
    <row r="2519" spans="1:26" ht="13.5" customHeight="1" x14ac:dyDescent="0.3">
      <c r="A2519" s="17" t="s">
        <v>652</v>
      </c>
      <c r="B2519" s="17">
        <f t="shared" si="116"/>
        <v>17</v>
      </c>
      <c r="C2519" s="17">
        <f t="shared" si="117"/>
        <v>21</v>
      </c>
      <c r="D2519" s="17"/>
      <c r="E2519" s="17">
        <f t="shared" si="128"/>
        <v>65919</v>
      </c>
      <c r="F2519" s="17">
        <f t="shared" ca="1" si="1"/>
        <v>2015</v>
      </c>
      <c r="G2519" s="17">
        <f t="shared" ca="1" si="129"/>
        <v>10997</v>
      </c>
      <c r="H2519" s="3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1.016284537968893</v>
      </c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</row>
    <row r="2520" spans="1:26" ht="13.5" customHeight="1" x14ac:dyDescent="0.3">
      <c r="A2520" s="17" t="s">
        <v>652</v>
      </c>
      <c r="B2520" s="17">
        <f t="shared" si="116"/>
        <v>17</v>
      </c>
      <c r="C2520" s="17">
        <f t="shared" si="117"/>
        <v>22</v>
      </c>
      <c r="D2520" s="17"/>
      <c r="E2520" s="17">
        <f t="shared" si="128"/>
        <v>65919</v>
      </c>
      <c r="F2520" s="17">
        <f t="shared" ca="1" si="1"/>
        <v>2015</v>
      </c>
      <c r="G2520" s="17">
        <f t="shared" ca="1" si="129"/>
        <v>10980</v>
      </c>
      <c r="H2520" s="31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</row>
    <row r="2521" spans="1:26" ht="13.5" customHeight="1" x14ac:dyDescent="0.3">
      <c r="A2521" s="17" t="s">
        <v>652</v>
      </c>
      <c r="B2521" s="17">
        <f t="shared" si="116"/>
        <v>17</v>
      </c>
      <c r="C2521" s="17">
        <f t="shared" si="117"/>
        <v>23</v>
      </c>
      <c r="D2521" s="17"/>
      <c r="E2521" s="17">
        <f t="shared" si="128"/>
        <v>65919</v>
      </c>
      <c r="F2521" s="17">
        <f t="shared" ca="1" si="1"/>
        <v>2015</v>
      </c>
      <c r="G2521" s="17">
        <f t="shared" ca="1" si="129"/>
        <v>10981</v>
      </c>
      <c r="H2521" s="3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4.5600000000000002E-2</v>
      </c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</row>
    <row r="2522" spans="1:26" ht="13.5" customHeight="1" x14ac:dyDescent="0.3">
      <c r="A2522" s="17" t="s">
        <v>652</v>
      </c>
      <c r="B2522" s="17">
        <f t="shared" si="116"/>
        <v>17</v>
      </c>
      <c r="C2522" s="17">
        <f t="shared" si="117"/>
        <v>24</v>
      </c>
      <c r="D2522" s="17"/>
      <c r="E2522" s="17">
        <f t="shared" si="128"/>
        <v>65919</v>
      </c>
      <c r="F2522" s="17">
        <f t="shared" ca="1" si="1"/>
        <v>2015</v>
      </c>
      <c r="G2522" s="17">
        <f t="shared" ca="1" si="129"/>
        <v>10998</v>
      </c>
      <c r="H2522" s="30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-10900000</v>
      </c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</row>
    <row r="2523" spans="1:26" ht="13.5" customHeight="1" x14ac:dyDescent="0.3">
      <c r="A2523" s="17" t="s">
        <v>652</v>
      </c>
      <c r="B2523" s="17">
        <f t="shared" si="116"/>
        <v>17</v>
      </c>
      <c r="C2523" s="17">
        <f t="shared" si="117"/>
        <v>25</v>
      </c>
      <c r="D2523" s="17"/>
      <c r="E2523" s="17">
        <f t="shared" si="128"/>
        <v>65919</v>
      </c>
      <c r="F2523" s="17">
        <f t="shared" ca="1" si="1"/>
        <v>2015</v>
      </c>
      <c r="G2523" s="17">
        <f t="shared" ca="1" si="129"/>
        <v>10999</v>
      </c>
      <c r="H2523" s="30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49772000</v>
      </c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</row>
    <row r="2524" spans="1:26" ht="13.5" customHeight="1" x14ac:dyDescent="0.3">
      <c r="A2524" s="17" t="s">
        <v>652</v>
      </c>
      <c r="B2524" s="17">
        <f t="shared" si="116"/>
        <v>17</v>
      </c>
      <c r="C2524" s="17">
        <f t="shared" si="117"/>
        <v>26</v>
      </c>
      <c r="D2524" s="17"/>
      <c r="E2524" s="17">
        <f t="shared" si="128"/>
        <v>65919</v>
      </c>
      <c r="F2524" s="17">
        <f t="shared" ca="1" si="1"/>
        <v>2015</v>
      </c>
      <c r="G2524" s="17">
        <f t="shared" ca="1" si="129"/>
        <v>11000</v>
      </c>
      <c r="H2524" s="30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303000</v>
      </c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</row>
    <row r="2525" spans="1:26" ht="13.5" customHeight="1" x14ac:dyDescent="0.3">
      <c r="A2525" s="17" t="s">
        <v>652</v>
      </c>
      <c r="B2525" s="17">
        <f t="shared" si="116"/>
        <v>17</v>
      </c>
      <c r="C2525" s="17">
        <f t="shared" si="117"/>
        <v>27</v>
      </c>
      <c r="D2525" s="17"/>
      <c r="E2525" s="17">
        <f t="shared" si="128"/>
        <v>65919</v>
      </c>
      <c r="F2525" s="17">
        <f t="shared" ca="1" si="1"/>
        <v>2015</v>
      </c>
      <c r="G2525" s="17">
        <f t="shared" ca="1" si="129"/>
        <v>11001</v>
      </c>
      <c r="H2525" s="30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425000</v>
      </c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</row>
    <row r="2526" spans="1:26" ht="13.5" customHeight="1" x14ac:dyDescent="0.3">
      <c r="A2526" s="17" t="s">
        <v>652</v>
      </c>
      <c r="B2526" s="17">
        <f t="shared" si="116"/>
        <v>17</v>
      </c>
      <c r="C2526" s="17">
        <f t="shared" si="117"/>
        <v>28</v>
      </c>
      <c r="D2526" s="17"/>
      <c r="E2526" s="17">
        <f t="shared" si="128"/>
        <v>65919</v>
      </c>
      <c r="F2526" s="17">
        <f t="shared" ca="1" si="1"/>
        <v>2015</v>
      </c>
      <c r="G2526" s="17">
        <f t="shared" ca="1" si="129"/>
        <v>11002</v>
      </c>
      <c r="H2526" s="3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</row>
    <row r="2527" spans="1:26" ht="13.5" customHeight="1" x14ac:dyDescent="0.3">
      <c r="A2527" s="17" t="s">
        <v>652</v>
      </c>
      <c r="B2527" s="17">
        <f t="shared" si="116"/>
        <v>17</v>
      </c>
      <c r="C2527" s="17">
        <f t="shared" si="117"/>
        <v>29</v>
      </c>
      <c r="D2527" s="17"/>
      <c r="E2527" s="17">
        <f t="shared" si="128"/>
        <v>65919</v>
      </c>
      <c r="F2527" s="17">
        <f t="shared" ca="1" si="1"/>
        <v>2015</v>
      </c>
      <c r="G2527" s="17">
        <f t="shared" ca="1" si="129"/>
        <v>11003</v>
      </c>
      <c r="H2527" s="3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50500000</v>
      </c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</row>
    <row r="2528" spans="1:26" ht="13.5" customHeight="1" x14ac:dyDescent="0.3">
      <c r="A2528" s="17" t="s">
        <v>652</v>
      </c>
      <c r="B2528" s="17">
        <f t="shared" si="116"/>
        <v>18</v>
      </c>
      <c r="C2528" s="17">
        <f t="shared" si="117"/>
        <v>3</v>
      </c>
      <c r="D2528" s="17"/>
      <c r="E2528" s="17">
        <f t="shared" si="128"/>
        <v>65919</v>
      </c>
      <c r="F2528" s="17">
        <f t="shared" ca="1" si="1"/>
        <v>2016</v>
      </c>
      <c r="G2528" s="17">
        <f t="shared" ca="1" si="129"/>
        <v>10982</v>
      </c>
      <c r="H2528" s="29" t="str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No</v>
      </c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</row>
    <row r="2529" spans="1:26" ht="13.5" customHeight="1" x14ac:dyDescent="0.3">
      <c r="A2529" s="17" t="s">
        <v>652</v>
      </c>
      <c r="B2529" s="17">
        <f t="shared" si="116"/>
        <v>18</v>
      </c>
      <c r="C2529" s="17">
        <f t="shared" si="117"/>
        <v>4</v>
      </c>
      <c r="D2529" s="17"/>
      <c r="E2529" s="17">
        <f t="shared" si="128"/>
        <v>65919</v>
      </c>
      <c r="F2529" s="17">
        <f t="shared" ca="1" si="1"/>
        <v>2016</v>
      </c>
      <c r="G2529" s="17">
        <f t="shared" ca="1" si="129"/>
        <v>10984</v>
      </c>
      <c r="H2529" s="29" t="str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NA</v>
      </c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</row>
    <row r="2530" spans="1:26" ht="13.5" customHeight="1" x14ac:dyDescent="0.3">
      <c r="A2530" s="17" t="s">
        <v>652</v>
      </c>
      <c r="B2530" s="17">
        <f t="shared" si="116"/>
        <v>18</v>
      </c>
      <c r="C2530" s="17">
        <f t="shared" si="117"/>
        <v>5</v>
      </c>
      <c r="D2530" s="17"/>
      <c r="E2530" s="17">
        <f t="shared" si="128"/>
        <v>65919</v>
      </c>
      <c r="F2530" s="17">
        <f t="shared" ca="1" si="1"/>
        <v>2016</v>
      </c>
      <c r="G2530" s="17">
        <f t="shared" ca="1" si="129"/>
        <v>10985</v>
      </c>
      <c r="H2530" s="29" t="str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NA</v>
      </c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</row>
    <row r="2531" spans="1:26" ht="13.5" customHeight="1" x14ac:dyDescent="0.3">
      <c r="A2531" s="17" t="s">
        <v>652</v>
      </c>
      <c r="B2531" s="17">
        <f t="shared" si="116"/>
        <v>18</v>
      </c>
      <c r="C2531" s="17">
        <f t="shared" si="117"/>
        <v>6</v>
      </c>
      <c r="D2531" s="17"/>
      <c r="E2531" s="17">
        <f t="shared" si="128"/>
        <v>65919</v>
      </c>
      <c r="F2531" s="17">
        <f t="shared" ca="1" si="1"/>
        <v>2016</v>
      </c>
      <c r="G2531" s="17">
        <f t="shared" ca="1" si="129"/>
        <v>10986</v>
      </c>
      <c r="H2531" s="2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</row>
    <row r="2532" spans="1:26" ht="13.5" customHeight="1" x14ac:dyDescent="0.3">
      <c r="A2532" s="17" t="s">
        <v>652</v>
      </c>
      <c r="B2532" s="17">
        <f t="shared" si="116"/>
        <v>18</v>
      </c>
      <c r="C2532" s="17">
        <f t="shared" si="117"/>
        <v>7</v>
      </c>
      <c r="D2532" s="17"/>
      <c r="E2532" s="17">
        <f t="shared" si="128"/>
        <v>65919</v>
      </c>
      <c r="F2532" s="17">
        <f t="shared" ca="1" si="1"/>
        <v>2016</v>
      </c>
      <c r="G2532" s="17">
        <f t="shared" ca="1" si="129"/>
        <v>10974</v>
      </c>
      <c r="H2532" s="29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Aggregate</v>
      </c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</row>
    <row r="2533" spans="1:26" ht="13.5" customHeight="1" x14ac:dyDescent="0.3">
      <c r="A2533" s="17" t="s">
        <v>652</v>
      </c>
      <c r="B2533" s="17">
        <f t="shared" si="116"/>
        <v>18</v>
      </c>
      <c r="C2533" s="17">
        <f t="shared" si="117"/>
        <v>8</v>
      </c>
      <c r="D2533" s="17"/>
      <c r="E2533" s="17">
        <f t="shared" si="128"/>
        <v>65919</v>
      </c>
      <c r="F2533" s="17">
        <f t="shared" ca="1" si="1"/>
        <v>2016</v>
      </c>
      <c r="G2533" s="17">
        <f t="shared" ca="1" si="129"/>
        <v>10987</v>
      </c>
      <c r="H2533" s="29" t="str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NA</v>
      </c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</row>
    <row r="2534" spans="1:26" ht="13.5" customHeight="1" x14ac:dyDescent="0.3">
      <c r="A2534" s="17" t="s">
        <v>652</v>
      </c>
      <c r="B2534" s="17">
        <f t="shared" si="116"/>
        <v>18</v>
      </c>
      <c r="C2534" s="17">
        <f t="shared" si="117"/>
        <v>9</v>
      </c>
      <c r="D2534" s="17"/>
      <c r="E2534" s="17">
        <f t="shared" si="128"/>
        <v>65919</v>
      </c>
      <c r="F2534" s="17">
        <f t="shared" ca="1" si="1"/>
        <v>2016</v>
      </c>
      <c r="G2534" s="17">
        <f t="shared" ca="1" si="129"/>
        <v>10885</v>
      </c>
      <c r="H2534" s="3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7618000</v>
      </c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</row>
    <row r="2535" spans="1:26" ht="13.5" customHeight="1" x14ac:dyDescent="0.3">
      <c r="A2535" s="17" t="s">
        <v>652</v>
      </c>
      <c r="B2535" s="17">
        <f t="shared" si="116"/>
        <v>18</v>
      </c>
      <c r="C2535" s="17">
        <f t="shared" si="117"/>
        <v>10</v>
      </c>
      <c r="D2535" s="17"/>
      <c r="E2535" s="17">
        <f t="shared" si="128"/>
        <v>65919</v>
      </c>
      <c r="F2535" s="17">
        <f t="shared" ca="1" si="1"/>
        <v>2016</v>
      </c>
      <c r="G2535" s="17">
        <f t="shared" ca="1" si="129"/>
        <v>10886</v>
      </c>
      <c r="H2535" s="3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7044000</v>
      </c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</row>
    <row r="2536" spans="1:26" ht="13.5" customHeight="1" x14ac:dyDescent="0.3">
      <c r="A2536" s="17" t="s">
        <v>652</v>
      </c>
      <c r="B2536" s="17">
        <f t="shared" si="116"/>
        <v>18</v>
      </c>
      <c r="C2536" s="17">
        <f t="shared" si="117"/>
        <v>11</v>
      </c>
      <c r="D2536" s="17"/>
      <c r="E2536" s="17">
        <f t="shared" si="128"/>
        <v>65919</v>
      </c>
      <c r="F2536" s="17">
        <f t="shared" ca="1" si="1"/>
        <v>2016</v>
      </c>
      <c r="G2536" s="17">
        <f t="shared" ca="1" si="129"/>
        <v>10887</v>
      </c>
      <c r="H2536" s="3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574000</v>
      </c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</row>
    <row r="2537" spans="1:26" ht="13.5" customHeight="1" x14ac:dyDescent="0.3">
      <c r="A2537" s="17" t="s">
        <v>652</v>
      </c>
      <c r="B2537" s="17">
        <f t="shared" si="116"/>
        <v>18</v>
      </c>
      <c r="C2537" s="17">
        <f t="shared" si="117"/>
        <v>12</v>
      </c>
      <c r="D2537" s="17"/>
      <c r="E2537" s="17">
        <f t="shared" si="128"/>
        <v>65919</v>
      </c>
      <c r="F2537" s="17">
        <f t="shared" ca="1" si="1"/>
        <v>2016</v>
      </c>
      <c r="G2537" s="17">
        <f t="shared" ca="1" si="129"/>
        <v>10883</v>
      </c>
      <c r="H2537" s="3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0.92465213966920456</v>
      </c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</row>
    <row r="2538" spans="1:26" ht="13.5" customHeight="1" x14ac:dyDescent="0.3">
      <c r="A2538" s="17" t="s">
        <v>652</v>
      </c>
      <c r="B2538" s="17">
        <f t="shared" si="116"/>
        <v>18</v>
      </c>
      <c r="C2538" s="17">
        <f t="shared" si="117"/>
        <v>13</v>
      </c>
      <c r="D2538" s="17"/>
      <c r="E2538" s="17">
        <f t="shared" si="128"/>
        <v>65919</v>
      </c>
      <c r="F2538" s="17">
        <f t="shared" ca="1" si="1"/>
        <v>2016</v>
      </c>
      <c r="G2538" s="17">
        <f t="shared" ca="1" si="129"/>
        <v>10989</v>
      </c>
      <c r="H2538" s="3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1084000000</v>
      </c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</row>
    <row r="2539" spans="1:26" ht="13.5" customHeight="1" x14ac:dyDescent="0.3">
      <c r="A2539" s="17" t="s">
        <v>652</v>
      </c>
      <c r="B2539" s="17">
        <f t="shared" si="116"/>
        <v>18</v>
      </c>
      <c r="C2539" s="17">
        <f t="shared" si="117"/>
        <v>14</v>
      </c>
      <c r="D2539" s="17"/>
      <c r="E2539" s="17">
        <f t="shared" si="128"/>
        <v>65919</v>
      </c>
      <c r="F2539" s="17">
        <f t="shared" ca="1" si="1"/>
        <v>2016</v>
      </c>
      <c r="G2539" s="17">
        <f t="shared" ca="1" si="129"/>
        <v>10990</v>
      </c>
      <c r="H2539" s="3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1186000000</v>
      </c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</row>
    <row r="2540" spans="1:26" ht="13.5" customHeight="1" x14ac:dyDescent="0.3">
      <c r="A2540" s="17" t="s">
        <v>652</v>
      </c>
      <c r="B2540" s="17">
        <f t="shared" si="116"/>
        <v>18</v>
      </c>
      <c r="C2540" s="17">
        <f t="shared" si="117"/>
        <v>15</v>
      </c>
      <c r="D2540" s="17"/>
      <c r="E2540" s="17">
        <f t="shared" si="128"/>
        <v>65919</v>
      </c>
      <c r="F2540" s="17">
        <f t="shared" ca="1" si="1"/>
        <v>2016</v>
      </c>
      <c r="G2540" s="17">
        <f t="shared" ca="1" si="129"/>
        <v>10991</v>
      </c>
      <c r="H2540" s="3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102000000</v>
      </c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</row>
    <row r="2541" spans="1:26" ht="13.5" customHeight="1" x14ac:dyDescent="0.3">
      <c r="A2541" s="17" t="s">
        <v>652</v>
      </c>
      <c r="B2541" s="17">
        <f t="shared" si="116"/>
        <v>18</v>
      </c>
      <c r="C2541" s="17">
        <f t="shared" si="117"/>
        <v>16</v>
      </c>
      <c r="D2541" s="17"/>
      <c r="E2541" s="17">
        <f t="shared" si="128"/>
        <v>65919</v>
      </c>
      <c r="F2541" s="17">
        <f t="shared" ca="1" si="1"/>
        <v>2016</v>
      </c>
      <c r="G2541" s="17">
        <f t="shared" ca="1" si="129"/>
        <v>10992</v>
      </c>
      <c r="H2541" s="3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0.91</v>
      </c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</row>
    <row r="2542" spans="1:26" ht="13.5" customHeight="1" x14ac:dyDescent="0.3">
      <c r="A2542" s="17" t="s">
        <v>652</v>
      </c>
      <c r="B2542" s="17">
        <f t="shared" si="116"/>
        <v>18</v>
      </c>
      <c r="C2542" s="17">
        <f t="shared" si="117"/>
        <v>17</v>
      </c>
      <c r="D2542" s="17"/>
      <c r="E2542" s="17">
        <f t="shared" si="128"/>
        <v>65919</v>
      </c>
      <c r="F2542" s="17">
        <f t="shared" ca="1" si="1"/>
        <v>2016</v>
      </c>
      <c r="G2542" s="17">
        <f t="shared" ca="1" si="129"/>
        <v>10993</v>
      </c>
      <c r="H2542" s="3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87000000</v>
      </c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</row>
    <row r="2543" spans="1:26" ht="13.5" customHeight="1" x14ac:dyDescent="0.3">
      <c r="A2543" s="17" t="s">
        <v>652</v>
      </c>
      <c r="B2543" s="17">
        <f t="shared" si="116"/>
        <v>18</v>
      </c>
      <c r="C2543" s="17">
        <f t="shared" si="117"/>
        <v>18</v>
      </c>
      <c r="D2543" s="17"/>
      <c r="E2543" s="17">
        <f t="shared" si="128"/>
        <v>65919</v>
      </c>
      <c r="F2543" s="17">
        <f t="shared" ca="1" si="1"/>
        <v>2016</v>
      </c>
      <c r="G2543" s="17">
        <f t="shared" ca="1" si="129"/>
        <v>11005</v>
      </c>
      <c r="H2543" s="31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8.7563218390804595E-2</v>
      </c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</row>
    <row r="2544" spans="1:26" ht="13.5" customHeight="1" x14ac:dyDescent="0.3">
      <c r="A2544" s="17" t="s">
        <v>652</v>
      </c>
      <c r="B2544" s="17">
        <f t="shared" si="116"/>
        <v>18</v>
      </c>
      <c r="C2544" s="17">
        <f t="shared" si="117"/>
        <v>19</v>
      </c>
      <c r="D2544" s="17"/>
      <c r="E2544" s="17">
        <f t="shared" si="128"/>
        <v>65919</v>
      </c>
      <c r="F2544" s="17">
        <f t="shared" ca="1" si="1"/>
        <v>2016</v>
      </c>
      <c r="G2544" s="17">
        <f t="shared" ca="1" si="129"/>
        <v>10988</v>
      </c>
      <c r="H2544" s="29" t="str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NA</v>
      </c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</row>
    <row r="2545" spans="1:26" ht="13.5" customHeight="1" x14ac:dyDescent="0.3">
      <c r="A2545" s="17" t="s">
        <v>652</v>
      </c>
      <c r="B2545" s="17">
        <f t="shared" si="116"/>
        <v>18</v>
      </c>
      <c r="C2545" s="17">
        <f t="shared" si="117"/>
        <v>20</v>
      </c>
      <c r="D2545" s="17"/>
      <c r="E2545" s="17">
        <f t="shared" si="128"/>
        <v>65919</v>
      </c>
      <c r="F2545" s="17">
        <f t="shared" ca="1" si="1"/>
        <v>2016</v>
      </c>
      <c r="G2545" s="17">
        <f t="shared" ca="1" si="129"/>
        <v>10996</v>
      </c>
      <c r="H2545" s="3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1098275000</v>
      </c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</row>
    <row r="2546" spans="1:26" ht="13.5" customHeight="1" x14ac:dyDescent="0.3">
      <c r="A2546" s="17" t="s">
        <v>652</v>
      </c>
      <c r="B2546" s="17">
        <f t="shared" si="116"/>
        <v>18</v>
      </c>
      <c r="C2546" s="17">
        <f t="shared" si="117"/>
        <v>21</v>
      </c>
      <c r="D2546" s="17"/>
      <c r="E2546" s="17">
        <f t="shared" si="128"/>
        <v>65919</v>
      </c>
      <c r="F2546" s="17">
        <f t="shared" ca="1" si="1"/>
        <v>2016</v>
      </c>
      <c r="G2546" s="17">
        <f t="shared" ca="1" si="129"/>
        <v>10997</v>
      </c>
      <c r="H2546" s="3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0.92603288364249581</v>
      </c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</row>
    <row r="2547" spans="1:26" ht="13.5" customHeight="1" x14ac:dyDescent="0.3">
      <c r="A2547" s="17" t="s">
        <v>652</v>
      </c>
      <c r="B2547" s="17">
        <f t="shared" si="116"/>
        <v>18</v>
      </c>
      <c r="C2547" s="17">
        <f t="shared" si="117"/>
        <v>22</v>
      </c>
      <c r="D2547" s="17"/>
      <c r="E2547" s="17">
        <f t="shared" si="128"/>
        <v>65919</v>
      </c>
      <c r="F2547" s="17">
        <f t="shared" ca="1" si="1"/>
        <v>2016</v>
      </c>
      <c r="G2547" s="17">
        <f t="shared" ca="1" si="129"/>
        <v>10980</v>
      </c>
      <c r="H2547" s="31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</row>
    <row r="2548" spans="1:26" ht="13.5" customHeight="1" x14ac:dyDescent="0.3">
      <c r="A2548" s="17" t="s">
        <v>652</v>
      </c>
      <c r="B2548" s="17">
        <f t="shared" si="116"/>
        <v>18</v>
      </c>
      <c r="C2548" s="17">
        <f t="shared" si="117"/>
        <v>23</v>
      </c>
      <c r="D2548" s="17"/>
      <c r="E2548" s="17">
        <f t="shared" si="128"/>
        <v>65919</v>
      </c>
      <c r="F2548" s="17">
        <f t="shared" ca="1" si="1"/>
        <v>2016</v>
      </c>
      <c r="G2548" s="17">
        <f t="shared" ca="1" si="129"/>
        <v>10981</v>
      </c>
      <c r="H2548" s="3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2.3400000000000001E-2</v>
      </c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</row>
    <row r="2549" spans="1:26" ht="13.5" customHeight="1" x14ac:dyDescent="0.3">
      <c r="A2549" s="17" t="s">
        <v>652</v>
      </c>
      <c r="B2549" s="17">
        <f t="shared" si="116"/>
        <v>18</v>
      </c>
      <c r="C2549" s="17">
        <f t="shared" si="117"/>
        <v>24</v>
      </c>
      <c r="D2549" s="17"/>
      <c r="E2549" s="17">
        <f t="shared" si="128"/>
        <v>65919</v>
      </c>
      <c r="F2549" s="17">
        <f t="shared" ca="1" si="1"/>
        <v>2016</v>
      </c>
      <c r="G2549" s="17">
        <f t="shared" ca="1" si="129"/>
        <v>10998</v>
      </c>
      <c r="H2549" s="30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-44000000</v>
      </c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</row>
    <row r="2550" spans="1:26" ht="13.5" customHeight="1" x14ac:dyDescent="0.3">
      <c r="A2550" s="17" t="s">
        <v>652</v>
      </c>
      <c r="B2550" s="17">
        <f t="shared" si="116"/>
        <v>18</v>
      </c>
      <c r="C2550" s="17">
        <f t="shared" si="117"/>
        <v>25</v>
      </c>
      <c r="D2550" s="17"/>
      <c r="E2550" s="17">
        <f t="shared" si="128"/>
        <v>65919</v>
      </c>
      <c r="F2550" s="17">
        <f t="shared" ca="1" si="1"/>
        <v>2016</v>
      </c>
      <c r="G2550" s="17">
        <f t="shared" ca="1" si="129"/>
        <v>10999</v>
      </c>
      <c r="H2550" s="30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53651000</v>
      </c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</row>
    <row r="2551" spans="1:26" ht="13.5" customHeight="1" x14ac:dyDescent="0.3">
      <c r="A2551" s="17" t="s">
        <v>652</v>
      </c>
      <c r="B2551" s="17">
        <f t="shared" si="116"/>
        <v>18</v>
      </c>
      <c r="C2551" s="17">
        <f t="shared" si="117"/>
        <v>26</v>
      </c>
      <c r="D2551" s="17"/>
      <c r="E2551" s="17">
        <f t="shared" si="128"/>
        <v>65919</v>
      </c>
      <c r="F2551" s="17">
        <f t="shared" ca="1" si="1"/>
        <v>2016</v>
      </c>
      <c r="G2551" s="17">
        <f t="shared" ca="1" si="129"/>
        <v>11000</v>
      </c>
      <c r="H2551" s="30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508000</v>
      </c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</row>
    <row r="2552" spans="1:26" ht="13.5" customHeight="1" x14ac:dyDescent="0.3">
      <c r="A2552" s="17" t="s">
        <v>652</v>
      </c>
      <c r="B2552" s="17">
        <f t="shared" si="116"/>
        <v>18</v>
      </c>
      <c r="C2552" s="17">
        <f t="shared" si="117"/>
        <v>27</v>
      </c>
      <c r="D2552" s="17"/>
      <c r="E2552" s="17">
        <f t="shared" si="128"/>
        <v>65919</v>
      </c>
      <c r="F2552" s="17">
        <f t="shared" ca="1" si="1"/>
        <v>2016</v>
      </c>
      <c r="G2552" s="17">
        <f t="shared" ca="1" si="129"/>
        <v>11001</v>
      </c>
      <c r="H2552" s="30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448000</v>
      </c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</row>
    <row r="2553" spans="1:26" ht="13.5" customHeight="1" x14ac:dyDescent="0.3">
      <c r="A2553" s="17" t="s">
        <v>652</v>
      </c>
      <c r="B2553" s="17">
        <f t="shared" si="116"/>
        <v>18</v>
      </c>
      <c r="C2553" s="17">
        <f t="shared" si="117"/>
        <v>28</v>
      </c>
      <c r="D2553" s="17"/>
      <c r="E2553" s="17">
        <f t="shared" si="128"/>
        <v>65919</v>
      </c>
      <c r="F2553" s="17">
        <f t="shared" ca="1" si="1"/>
        <v>2016</v>
      </c>
      <c r="G2553" s="17">
        <f t="shared" ca="1" si="129"/>
        <v>11002</v>
      </c>
      <c r="H2553" s="3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76000</v>
      </c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</row>
    <row r="2554" spans="1:26" ht="13.5" customHeight="1" x14ac:dyDescent="0.3">
      <c r="A2554" s="17" t="s">
        <v>652</v>
      </c>
      <c r="B2554" s="17">
        <f t="shared" si="116"/>
        <v>18</v>
      </c>
      <c r="C2554" s="17">
        <f t="shared" si="117"/>
        <v>29</v>
      </c>
      <c r="D2554" s="17"/>
      <c r="E2554" s="17">
        <f t="shared" si="128"/>
        <v>65919</v>
      </c>
      <c r="F2554" s="17">
        <f t="shared" ca="1" si="1"/>
        <v>2016</v>
      </c>
      <c r="G2554" s="17">
        <f t="shared" ca="1" si="129"/>
        <v>11003</v>
      </c>
      <c r="H2554" s="3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54683000</v>
      </c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</row>
    <row r="2555" spans="1:26" ht="13.5" customHeight="1" x14ac:dyDescent="0.3">
      <c r="A2555" s="17" t="s">
        <v>652</v>
      </c>
      <c r="B2555" s="17">
        <f t="shared" si="116"/>
        <v>19</v>
      </c>
      <c r="C2555" s="17">
        <f t="shared" si="117"/>
        <v>3</v>
      </c>
      <c r="D2555" s="17"/>
      <c r="E2555" s="17">
        <f t="shared" si="128"/>
        <v>65919</v>
      </c>
      <c r="F2555" s="17">
        <f t="shared" ca="1" si="1"/>
        <v>2017</v>
      </c>
      <c r="G2555" s="17">
        <f t="shared" ca="1" si="129"/>
        <v>10982</v>
      </c>
      <c r="H2555" s="29" t="str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No</v>
      </c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</row>
    <row r="2556" spans="1:26" ht="13.5" customHeight="1" x14ac:dyDescent="0.3">
      <c r="A2556" s="17" t="s">
        <v>652</v>
      </c>
      <c r="B2556" s="17">
        <f t="shared" si="116"/>
        <v>19</v>
      </c>
      <c r="C2556" s="17">
        <f t="shared" si="117"/>
        <v>4</v>
      </c>
      <c r="D2556" s="17"/>
      <c r="E2556" s="17">
        <f t="shared" si="128"/>
        <v>65919</v>
      </c>
      <c r="F2556" s="17">
        <f t="shared" ca="1" si="1"/>
        <v>2017</v>
      </c>
      <c r="G2556" s="17">
        <f t="shared" ca="1" si="129"/>
        <v>10984</v>
      </c>
      <c r="H2556" s="29" t="str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NA</v>
      </c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</row>
    <row r="2557" spans="1:26" ht="13.5" customHeight="1" x14ac:dyDescent="0.3">
      <c r="A2557" s="17" t="s">
        <v>652</v>
      </c>
      <c r="B2557" s="17">
        <f t="shared" si="116"/>
        <v>19</v>
      </c>
      <c r="C2557" s="17">
        <f t="shared" si="117"/>
        <v>5</v>
      </c>
      <c r="D2557" s="17"/>
      <c r="E2557" s="17">
        <f t="shared" si="128"/>
        <v>65919</v>
      </c>
      <c r="F2557" s="17">
        <f t="shared" ca="1" si="1"/>
        <v>2017</v>
      </c>
      <c r="G2557" s="17">
        <f t="shared" ca="1" si="129"/>
        <v>10985</v>
      </c>
      <c r="H2557" s="29" t="str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NA</v>
      </c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</row>
    <row r="2558" spans="1:26" ht="13.5" customHeight="1" x14ac:dyDescent="0.3">
      <c r="A2558" s="17" t="s">
        <v>652</v>
      </c>
      <c r="B2558" s="17">
        <f t="shared" si="116"/>
        <v>19</v>
      </c>
      <c r="C2558" s="17">
        <f t="shared" si="117"/>
        <v>6</v>
      </c>
      <c r="D2558" s="17"/>
      <c r="E2558" s="17">
        <f t="shared" si="128"/>
        <v>65919</v>
      </c>
      <c r="F2558" s="17">
        <f t="shared" ca="1" si="1"/>
        <v>2017</v>
      </c>
      <c r="G2558" s="17">
        <f t="shared" ca="1" si="129"/>
        <v>10986</v>
      </c>
      <c r="H2558" s="2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</row>
    <row r="2559" spans="1:26" ht="13.5" customHeight="1" x14ac:dyDescent="0.3">
      <c r="A2559" s="17" t="s">
        <v>652</v>
      </c>
      <c r="B2559" s="17">
        <f t="shared" si="116"/>
        <v>19</v>
      </c>
      <c r="C2559" s="17">
        <f t="shared" si="117"/>
        <v>7</v>
      </c>
      <c r="D2559" s="17"/>
      <c r="E2559" s="17">
        <f t="shared" si="128"/>
        <v>65919</v>
      </c>
      <c r="F2559" s="17">
        <f t="shared" ca="1" si="1"/>
        <v>2017</v>
      </c>
      <c r="G2559" s="17">
        <f t="shared" ca="1" si="129"/>
        <v>10974</v>
      </c>
      <c r="H2559" s="29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Aggregate</v>
      </c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</row>
    <row r="2560" spans="1:26" ht="13.5" customHeight="1" x14ac:dyDescent="0.3">
      <c r="A2560" s="17" t="s">
        <v>652</v>
      </c>
      <c r="B2560" s="17">
        <f t="shared" si="116"/>
        <v>19</v>
      </c>
      <c r="C2560" s="17">
        <f t="shared" si="117"/>
        <v>8</v>
      </c>
      <c r="D2560" s="17"/>
      <c r="E2560" s="17">
        <f t="shared" si="128"/>
        <v>65919</v>
      </c>
      <c r="F2560" s="17">
        <f t="shared" ca="1" si="1"/>
        <v>2017</v>
      </c>
      <c r="G2560" s="17">
        <f t="shared" ca="1" si="129"/>
        <v>10987</v>
      </c>
      <c r="H2560" s="29" t="str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NA</v>
      </c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</row>
    <row r="2561" spans="1:26" ht="13.5" customHeight="1" x14ac:dyDescent="0.3">
      <c r="A2561" s="17" t="s">
        <v>652</v>
      </c>
      <c r="B2561" s="17">
        <f t="shared" si="116"/>
        <v>19</v>
      </c>
      <c r="C2561" s="17">
        <f t="shared" si="117"/>
        <v>9</v>
      </c>
      <c r="D2561" s="17"/>
      <c r="E2561" s="17">
        <f t="shared" si="128"/>
        <v>65919</v>
      </c>
      <c r="F2561" s="17">
        <f t="shared" ca="1" si="1"/>
        <v>2017</v>
      </c>
      <c r="G2561" s="17">
        <f t="shared" ca="1" si="129"/>
        <v>10885</v>
      </c>
      <c r="H2561" s="3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8179000</v>
      </c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</row>
    <row r="2562" spans="1:26" ht="13.5" customHeight="1" x14ac:dyDescent="0.3">
      <c r="A2562" s="17" t="s">
        <v>652</v>
      </c>
      <c r="B2562" s="17">
        <f t="shared" si="116"/>
        <v>19</v>
      </c>
      <c r="C2562" s="17">
        <f t="shared" si="117"/>
        <v>10</v>
      </c>
      <c r="D2562" s="17"/>
      <c r="E2562" s="17">
        <f t="shared" si="128"/>
        <v>65919</v>
      </c>
      <c r="F2562" s="17">
        <f t="shared" ca="1" si="1"/>
        <v>2017</v>
      </c>
      <c r="G2562" s="17">
        <f t="shared" ca="1" si="129"/>
        <v>10886</v>
      </c>
      <c r="H2562" s="3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7587000</v>
      </c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</row>
    <row r="2563" spans="1:26" ht="13.5" customHeight="1" x14ac:dyDescent="0.3">
      <c r="A2563" s="17" t="s">
        <v>652</v>
      </c>
      <c r="B2563" s="17">
        <f t="shared" si="116"/>
        <v>19</v>
      </c>
      <c r="C2563" s="17">
        <f t="shared" si="117"/>
        <v>11</v>
      </c>
      <c r="D2563" s="17"/>
      <c r="E2563" s="17">
        <f t="shared" si="128"/>
        <v>65919</v>
      </c>
      <c r="F2563" s="17">
        <f t="shared" ca="1" si="1"/>
        <v>2017</v>
      </c>
      <c r="G2563" s="17">
        <f t="shared" ca="1" si="129"/>
        <v>10887</v>
      </c>
      <c r="H2563" s="3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592000</v>
      </c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</row>
    <row r="2564" spans="1:26" ht="13.5" customHeight="1" x14ac:dyDescent="0.3">
      <c r="A2564" s="17" t="s">
        <v>652</v>
      </c>
      <c r="B2564" s="17">
        <f t="shared" si="116"/>
        <v>19</v>
      </c>
      <c r="C2564" s="17">
        <f t="shared" si="117"/>
        <v>12</v>
      </c>
      <c r="D2564" s="17"/>
      <c r="E2564" s="17">
        <f t="shared" ref="E2564:E2627" si="130">plan_id</f>
        <v>65919</v>
      </c>
      <c r="F2564" s="17">
        <f t="shared" ca="1" si="1"/>
        <v>2017</v>
      </c>
      <c r="G2564" s="17">
        <f t="shared" ref="G2564:G2627" ca="1" si="131">VLOOKUP(INDIRECT(CHAR(39)&amp;$A2564&amp;CHAR(39)&amp;"!r2c"&amp;$C2564,0),variables,2,0)</f>
        <v>10883</v>
      </c>
      <c r="H2564" s="3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0.92761951338794468</v>
      </c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</row>
    <row r="2565" spans="1:26" ht="13.5" customHeight="1" x14ac:dyDescent="0.3">
      <c r="A2565" s="17" t="s">
        <v>652</v>
      </c>
      <c r="B2565" s="17">
        <f t="shared" si="116"/>
        <v>19</v>
      </c>
      <c r="C2565" s="17">
        <f t="shared" si="117"/>
        <v>13</v>
      </c>
      <c r="D2565" s="17"/>
      <c r="E2565" s="17">
        <f t="shared" si="130"/>
        <v>65919</v>
      </c>
      <c r="F2565" s="17">
        <f t="shared" ca="1" si="1"/>
        <v>2017</v>
      </c>
      <c r="G2565" s="17">
        <f t="shared" ca="1" si="131"/>
        <v>10989</v>
      </c>
      <c r="H2565" s="3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1144000000</v>
      </c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</row>
    <row r="2566" spans="1:26" ht="13.5" customHeight="1" x14ac:dyDescent="0.3">
      <c r="A2566" s="17" t="s">
        <v>652</v>
      </c>
      <c r="B2566" s="17">
        <f t="shared" si="116"/>
        <v>19</v>
      </c>
      <c r="C2566" s="17">
        <f t="shared" si="117"/>
        <v>14</v>
      </c>
      <c r="D2566" s="17"/>
      <c r="E2566" s="17">
        <f t="shared" si="130"/>
        <v>65919</v>
      </c>
      <c r="F2566" s="17">
        <f t="shared" ca="1" si="1"/>
        <v>2017</v>
      </c>
      <c r="G2566" s="17">
        <f t="shared" ca="1" si="131"/>
        <v>10990</v>
      </c>
      <c r="H2566" s="3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1244000000</v>
      </c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</row>
    <row r="2567" spans="1:26" ht="13.5" customHeight="1" x14ac:dyDescent="0.3">
      <c r="A2567" s="17" t="s">
        <v>652</v>
      </c>
      <c r="B2567" s="17">
        <f t="shared" si="116"/>
        <v>19</v>
      </c>
      <c r="C2567" s="17">
        <f t="shared" si="117"/>
        <v>15</v>
      </c>
      <c r="D2567" s="17"/>
      <c r="E2567" s="17">
        <f t="shared" si="130"/>
        <v>65919</v>
      </c>
      <c r="F2567" s="17">
        <f t="shared" ca="1" si="1"/>
        <v>2017</v>
      </c>
      <c r="G2567" s="17">
        <f t="shared" ca="1" si="131"/>
        <v>10991</v>
      </c>
      <c r="H2567" s="3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100000000</v>
      </c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</row>
    <row r="2568" spans="1:26" ht="13.5" customHeight="1" x14ac:dyDescent="0.3">
      <c r="A2568" s="17" t="s">
        <v>652</v>
      </c>
      <c r="B2568" s="17">
        <f t="shared" si="116"/>
        <v>19</v>
      </c>
      <c r="C2568" s="17">
        <f t="shared" si="117"/>
        <v>16</v>
      </c>
      <c r="D2568" s="17"/>
      <c r="E2568" s="17">
        <f t="shared" si="130"/>
        <v>65919</v>
      </c>
      <c r="F2568" s="17">
        <f t="shared" ca="1" si="1"/>
        <v>2017</v>
      </c>
      <c r="G2568" s="17">
        <f t="shared" ca="1" si="131"/>
        <v>10992</v>
      </c>
      <c r="H2568" s="3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0.92</v>
      </c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</row>
    <row r="2569" spans="1:26" ht="13.5" customHeight="1" x14ac:dyDescent="0.3">
      <c r="A2569" s="17" t="s">
        <v>652</v>
      </c>
      <c r="B2569" s="17">
        <f t="shared" si="116"/>
        <v>19</v>
      </c>
      <c r="C2569" s="17">
        <f t="shared" si="117"/>
        <v>17</v>
      </c>
      <c r="D2569" s="17"/>
      <c r="E2569" s="17">
        <f t="shared" si="130"/>
        <v>65919</v>
      </c>
      <c r="F2569" s="17">
        <f t="shared" ca="1" si="1"/>
        <v>2017</v>
      </c>
      <c r="G2569" s="17">
        <f t="shared" ca="1" si="131"/>
        <v>10993</v>
      </c>
      <c r="H2569" s="3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93000000</v>
      </c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</row>
    <row r="2570" spans="1:26" ht="13.5" customHeight="1" x14ac:dyDescent="0.3">
      <c r="A2570" s="17" t="s">
        <v>652</v>
      </c>
      <c r="B2570" s="17">
        <f t="shared" si="116"/>
        <v>19</v>
      </c>
      <c r="C2570" s="17">
        <f t="shared" si="117"/>
        <v>18</v>
      </c>
      <c r="D2570" s="17"/>
      <c r="E2570" s="17">
        <f t="shared" si="130"/>
        <v>65919</v>
      </c>
      <c r="F2570" s="17">
        <f t="shared" ca="1" si="1"/>
        <v>2017</v>
      </c>
      <c r="G2570" s="17">
        <f t="shared" ca="1" si="131"/>
        <v>11005</v>
      </c>
      <c r="H2570" s="31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8.7946236559139787E-2</v>
      </c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</row>
    <row r="2571" spans="1:26" ht="13.5" customHeight="1" x14ac:dyDescent="0.3">
      <c r="A2571" s="17" t="s">
        <v>652</v>
      </c>
      <c r="B2571" s="17">
        <f t="shared" si="116"/>
        <v>19</v>
      </c>
      <c r="C2571" s="17">
        <f t="shared" si="117"/>
        <v>19</v>
      </c>
      <c r="D2571" s="17"/>
      <c r="E2571" s="17">
        <f t="shared" si="130"/>
        <v>65919</v>
      </c>
      <c r="F2571" s="17">
        <f t="shared" ca="1" si="1"/>
        <v>2017</v>
      </c>
      <c r="G2571" s="17">
        <f t="shared" ca="1" si="131"/>
        <v>10988</v>
      </c>
      <c r="H2571" s="29" t="str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NA</v>
      </c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</row>
    <row r="2572" spans="1:26" ht="13.5" customHeight="1" x14ac:dyDescent="0.3">
      <c r="A2572" s="17" t="s">
        <v>652</v>
      </c>
      <c r="B2572" s="17">
        <f t="shared" si="116"/>
        <v>19</v>
      </c>
      <c r="C2572" s="17">
        <f t="shared" si="117"/>
        <v>20</v>
      </c>
      <c r="D2572" s="17"/>
      <c r="E2572" s="17">
        <f t="shared" si="130"/>
        <v>65919</v>
      </c>
      <c r="F2572" s="17">
        <f t="shared" ca="1" si="1"/>
        <v>2017</v>
      </c>
      <c r="G2572" s="17">
        <f t="shared" ca="1" si="131"/>
        <v>10996</v>
      </c>
      <c r="H2572" s="3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1210917000</v>
      </c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</row>
    <row r="2573" spans="1:26" ht="13.5" customHeight="1" x14ac:dyDescent="0.3">
      <c r="A2573" s="17" t="s">
        <v>652</v>
      </c>
      <c r="B2573" s="17">
        <f t="shared" si="116"/>
        <v>19</v>
      </c>
      <c r="C2573" s="17">
        <f t="shared" si="117"/>
        <v>21</v>
      </c>
      <c r="D2573" s="17"/>
      <c r="E2573" s="17">
        <f t="shared" si="130"/>
        <v>65919</v>
      </c>
      <c r="F2573" s="17">
        <f t="shared" ca="1" si="1"/>
        <v>2017</v>
      </c>
      <c r="G2573" s="17">
        <f t="shared" ca="1" si="131"/>
        <v>10997</v>
      </c>
      <c r="H2573" s="3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0.97340594855305462</v>
      </c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</row>
    <row r="2574" spans="1:26" ht="13.5" customHeight="1" x14ac:dyDescent="0.3">
      <c r="A2574" s="17" t="s">
        <v>652</v>
      </c>
      <c r="B2574" s="17">
        <f t="shared" si="116"/>
        <v>19</v>
      </c>
      <c r="C2574" s="17">
        <f t="shared" si="117"/>
        <v>22</v>
      </c>
      <c r="D2574" s="17"/>
      <c r="E2574" s="17">
        <f t="shared" si="130"/>
        <v>65919</v>
      </c>
      <c r="F2574" s="17">
        <f t="shared" ca="1" si="1"/>
        <v>2017</v>
      </c>
      <c r="G2574" s="17">
        <f t="shared" ca="1" si="131"/>
        <v>10980</v>
      </c>
      <c r="H2574" s="31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</row>
    <row r="2575" spans="1:26" ht="13.5" customHeight="1" x14ac:dyDescent="0.3">
      <c r="A2575" s="17" t="s">
        <v>652</v>
      </c>
      <c r="B2575" s="17">
        <f t="shared" si="116"/>
        <v>19</v>
      </c>
      <c r="C2575" s="17">
        <f t="shared" si="117"/>
        <v>23</v>
      </c>
      <c r="D2575" s="17"/>
      <c r="E2575" s="17">
        <f t="shared" si="130"/>
        <v>65919</v>
      </c>
      <c r="F2575" s="17">
        <f t="shared" ca="1" si="1"/>
        <v>2017</v>
      </c>
      <c r="G2575" s="17">
        <f t="shared" ca="1" si="131"/>
        <v>10981</v>
      </c>
      <c r="H2575" s="3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0.14030000000000001</v>
      </c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</row>
    <row r="2576" spans="1:26" ht="13.5" customHeight="1" x14ac:dyDescent="0.3">
      <c r="A2576" s="17" t="s">
        <v>652</v>
      </c>
      <c r="B2576" s="17">
        <f t="shared" si="116"/>
        <v>19</v>
      </c>
      <c r="C2576" s="17">
        <f t="shared" si="117"/>
        <v>24</v>
      </c>
      <c r="D2576" s="17"/>
      <c r="E2576" s="17">
        <f t="shared" si="130"/>
        <v>65919</v>
      </c>
      <c r="F2576" s="17">
        <f t="shared" ca="1" si="1"/>
        <v>2017</v>
      </c>
      <c r="G2576" s="17">
        <f t="shared" ca="1" si="131"/>
        <v>10998</v>
      </c>
      <c r="H2576" s="30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-15600000</v>
      </c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</row>
    <row r="2577" spans="1:26" ht="13.5" customHeight="1" x14ac:dyDescent="0.3">
      <c r="A2577" s="17" t="s">
        <v>652</v>
      </c>
      <c r="B2577" s="17">
        <f t="shared" si="116"/>
        <v>19</v>
      </c>
      <c r="C2577" s="17">
        <f t="shared" si="117"/>
        <v>25</v>
      </c>
      <c r="D2577" s="17"/>
      <c r="E2577" s="17">
        <f t="shared" si="130"/>
        <v>65919</v>
      </c>
      <c r="F2577" s="17">
        <f t="shared" ca="1" si="1"/>
        <v>2017</v>
      </c>
      <c r="G2577" s="17">
        <f t="shared" ca="1" si="131"/>
        <v>10999</v>
      </c>
      <c r="H2577" s="30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56666000</v>
      </c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</row>
    <row r="2578" spans="1:26" ht="13.5" customHeight="1" x14ac:dyDescent="0.3">
      <c r="A2578" s="17" t="s">
        <v>652</v>
      </c>
      <c r="B2578" s="17">
        <f t="shared" si="116"/>
        <v>19</v>
      </c>
      <c r="C2578" s="17">
        <f t="shared" si="117"/>
        <v>26</v>
      </c>
      <c r="D2578" s="17"/>
      <c r="E2578" s="17">
        <f t="shared" si="130"/>
        <v>65919</v>
      </c>
      <c r="F2578" s="17">
        <f t="shared" ca="1" si="1"/>
        <v>2017</v>
      </c>
      <c r="G2578" s="17">
        <f t="shared" ca="1" si="131"/>
        <v>11000</v>
      </c>
      <c r="H2578" s="30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155000</v>
      </c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</row>
    <row r="2579" spans="1:26" ht="13.5" customHeight="1" x14ac:dyDescent="0.3">
      <c r="A2579" s="17" t="s">
        <v>652</v>
      </c>
      <c r="B2579" s="17">
        <f t="shared" si="116"/>
        <v>19</v>
      </c>
      <c r="C2579" s="17">
        <f t="shared" si="117"/>
        <v>27</v>
      </c>
      <c r="D2579" s="17"/>
      <c r="E2579" s="17">
        <f t="shared" si="130"/>
        <v>65919</v>
      </c>
      <c r="F2579" s="17">
        <f t="shared" ca="1" si="1"/>
        <v>2017</v>
      </c>
      <c r="G2579" s="17">
        <f t="shared" ca="1" si="131"/>
        <v>11001</v>
      </c>
      <c r="H2579" s="30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551000</v>
      </c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</row>
    <row r="2580" spans="1:26" ht="13.5" customHeight="1" x14ac:dyDescent="0.3">
      <c r="A2580" s="17" t="s">
        <v>652</v>
      </c>
      <c r="B2580" s="17">
        <f t="shared" si="116"/>
        <v>19</v>
      </c>
      <c r="C2580" s="17">
        <f t="shared" si="117"/>
        <v>28</v>
      </c>
      <c r="D2580" s="17"/>
      <c r="E2580" s="17">
        <f t="shared" si="130"/>
        <v>65919</v>
      </c>
      <c r="F2580" s="17">
        <f t="shared" ca="1" si="1"/>
        <v>2017</v>
      </c>
      <c r="G2580" s="17">
        <f t="shared" ca="1" si="131"/>
        <v>11002</v>
      </c>
      <c r="H2580" s="3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86000</v>
      </c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</row>
    <row r="2581" spans="1:26" ht="13.5" customHeight="1" x14ac:dyDescent="0.3">
      <c r="A2581" s="17" t="s">
        <v>652</v>
      </c>
      <c r="B2581" s="17">
        <f t="shared" si="116"/>
        <v>19</v>
      </c>
      <c r="C2581" s="17">
        <f t="shared" si="117"/>
        <v>29</v>
      </c>
      <c r="D2581" s="17"/>
      <c r="E2581" s="17">
        <f t="shared" si="130"/>
        <v>65919</v>
      </c>
      <c r="F2581" s="17">
        <f t="shared" ca="1" si="1"/>
        <v>2017</v>
      </c>
      <c r="G2581" s="17">
        <f t="shared" ca="1" si="131"/>
        <v>11003</v>
      </c>
      <c r="H2581" s="3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57458000</v>
      </c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</row>
    <row r="2582" spans="1:26" ht="13.5" customHeight="1" x14ac:dyDescent="0.3">
      <c r="A2582" s="17" t="s">
        <v>652</v>
      </c>
      <c r="B2582" s="17">
        <f t="shared" si="116"/>
        <v>20</v>
      </c>
      <c r="C2582" s="17">
        <f t="shared" si="117"/>
        <v>3</v>
      </c>
      <c r="D2582" s="17"/>
      <c r="E2582" s="17">
        <f t="shared" si="130"/>
        <v>65919</v>
      </c>
      <c r="F2582" s="17">
        <f t="shared" ca="1" si="1"/>
        <v>2018</v>
      </c>
      <c r="G2582" s="17">
        <f t="shared" ca="1" si="131"/>
        <v>10982</v>
      </c>
      <c r="H2582" s="29" t="str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No</v>
      </c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</row>
    <row r="2583" spans="1:26" ht="13.5" customHeight="1" x14ac:dyDescent="0.3">
      <c r="A2583" s="17" t="s">
        <v>652</v>
      </c>
      <c r="B2583" s="17">
        <f t="shared" si="116"/>
        <v>20</v>
      </c>
      <c r="C2583" s="17">
        <f t="shared" si="117"/>
        <v>4</v>
      </c>
      <c r="D2583" s="17"/>
      <c r="E2583" s="17">
        <f t="shared" si="130"/>
        <v>65919</v>
      </c>
      <c r="F2583" s="17">
        <f t="shared" ca="1" si="1"/>
        <v>2018</v>
      </c>
      <c r="G2583" s="17">
        <f t="shared" ca="1" si="131"/>
        <v>10984</v>
      </c>
      <c r="H2583" s="29" t="str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NA</v>
      </c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</row>
    <row r="2584" spans="1:26" ht="13.5" customHeight="1" x14ac:dyDescent="0.3">
      <c r="A2584" s="17" t="s">
        <v>652</v>
      </c>
      <c r="B2584" s="17">
        <f t="shared" si="116"/>
        <v>20</v>
      </c>
      <c r="C2584" s="17">
        <f t="shared" si="117"/>
        <v>5</v>
      </c>
      <c r="D2584" s="17"/>
      <c r="E2584" s="17">
        <f t="shared" si="130"/>
        <v>65919</v>
      </c>
      <c r="F2584" s="17">
        <f t="shared" ca="1" si="1"/>
        <v>2018</v>
      </c>
      <c r="G2584" s="17">
        <f t="shared" ca="1" si="131"/>
        <v>10985</v>
      </c>
      <c r="H2584" s="29" t="str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NA</v>
      </c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</row>
    <row r="2585" spans="1:26" ht="13.5" customHeight="1" x14ac:dyDescent="0.3">
      <c r="A2585" s="17" t="s">
        <v>652</v>
      </c>
      <c r="B2585" s="17">
        <f t="shared" si="116"/>
        <v>20</v>
      </c>
      <c r="C2585" s="17">
        <f t="shared" si="117"/>
        <v>6</v>
      </c>
      <c r="D2585" s="17"/>
      <c r="E2585" s="17">
        <f t="shared" si="130"/>
        <v>65919</v>
      </c>
      <c r="F2585" s="17">
        <f t="shared" ca="1" si="1"/>
        <v>2018</v>
      </c>
      <c r="G2585" s="17">
        <f t="shared" ca="1" si="131"/>
        <v>10986</v>
      </c>
      <c r="H2585" s="2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</row>
    <row r="2586" spans="1:26" ht="13.5" customHeight="1" x14ac:dyDescent="0.3">
      <c r="A2586" s="17" t="s">
        <v>652</v>
      </c>
      <c r="B2586" s="17">
        <f t="shared" si="116"/>
        <v>20</v>
      </c>
      <c r="C2586" s="17">
        <f t="shared" si="117"/>
        <v>7</v>
      </c>
      <c r="D2586" s="17"/>
      <c r="E2586" s="17">
        <f t="shared" si="130"/>
        <v>65919</v>
      </c>
      <c r="F2586" s="17">
        <f t="shared" ca="1" si="1"/>
        <v>2018</v>
      </c>
      <c r="G2586" s="17">
        <f t="shared" ca="1" si="131"/>
        <v>10974</v>
      </c>
      <c r="H2586" s="29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Aggregate</v>
      </c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</row>
    <row r="2587" spans="1:26" ht="13.5" customHeight="1" x14ac:dyDescent="0.3">
      <c r="A2587" s="17" t="s">
        <v>652</v>
      </c>
      <c r="B2587" s="17">
        <f t="shared" si="116"/>
        <v>20</v>
      </c>
      <c r="C2587" s="17">
        <f t="shared" si="117"/>
        <v>8</v>
      </c>
      <c r="D2587" s="17"/>
      <c r="E2587" s="17">
        <f t="shared" si="130"/>
        <v>65919</v>
      </c>
      <c r="F2587" s="17">
        <f t="shared" ca="1" si="1"/>
        <v>2018</v>
      </c>
      <c r="G2587" s="17">
        <f t="shared" ca="1" si="131"/>
        <v>10987</v>
      </c>
      <c r="H2587" s="29" t="str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NA</v>
      </c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</row>
    <row r="2588" spans="1:26" ht="13.5" customHeight="1" x14ac:dyDescent="0.3">
      <c r="A2588" s="17" t="s">
        <v>652</v>
      </c>
      <c r="B2588" s="17">
        <f t="shared" si="116"/>
        <v>20</v>
      </c>
      <c r="C2588" s="17">
        <f t="shared" si="117"/>
        <v>9</v>
      </c>
      <c r="D2588" s="17"/>
      <c r="E2588" s="17">
        <f t="shared" si="130"/>
        <v>65919</v>
      </c>
      <c r="F2588" s="17">
        <f t="shared" ca="1" si="1"/>
        <v>2018</v>
      </c>
      <c r="G2588" s="17">
        <f t="shared" ca="1" si="131"/>
        <v>10885</v>
      </c>
      <c r="H2588" s="3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16648000</v>
      </c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</row>
    <row r="2589" spans="1:26" ht="13.5" customHeight="1" x14ac:dyDescent="0.3">
      <c r="A2589" s="17" t="s">
        <v>652</v>
      </c>
      <c r="B2589" s="17">
        <f t="shared" si="116"/>
        <v>20</v>
      </c>
      <c r="C2589" s="17">
        <f t="shared" si="117"/>
        <v>10</v>
      </c>
      <c r="D2589" s="17"/>
      <c r="E2589" s="17">
        <f t="shared" si="130"/>
        <v>65919</v>
      </c>
      <c r="F2589" s="17">
        <f t="shared" ca="1" si="1"/>
        <v>2018</v>
      </c>
      <c r="G2589" s="17">
        <f t="shared" ca="1" si="131"/>
        <v>10886</v>
      </c>
      <c r="H2589" s="3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14203000</v>
      </c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</row>
    <row r="2590" spans="1:26" ht="13.5" customHeight="1" x14ac:dyDescent="0.3">
      <c r="A2590" s="17" t="s">
        <v>652</v>
      </c>
      <c r="B2590" s="17">
        <f t="shared" si="116"/>
        <v>20</v>
      </c>
      <c r="C2590" s="17">
        <f t="shared" si="117"/>
        <v>11</v>
      </c>
      <c r="D2590" s="17"/>
      <c r="E2590" s="17">
        <f t="shared" si="130"/>
        <v>65919</v>
      </c>
      <c r="F2590" s="17">
        <f t="shared" ca="1" si="1"/>
        <v>2018</v>
      </c>
      <c r="G2590" s="17">
        <f t="shared" ca="1" si="131"/>
        <v>10887</v>
      </c>
      <c r="H2590" s="3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2445000</v>
      </c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</row>
    <row r="2591" spans="1:26" ht="13.5" customHeight="1" x14ac:dyDescent="0.3">
      <c r="A2591" s="17" t="s">
        <v>652</v>
      </c>
      <c r="B2591" s="17">
        <f t="shared" si="116"/>
        <v>20</v>
      </c>
      <c r="C2591" s="17">
        <f t="shared" si="117"/>
        <v>12</v>
      </c>
      <c r="D2591" s="17"/>
      <c r="E2591" s="17">
        <f t="shared" si="130"/>
        <v>65919</v>
      </c>
      <c r="F2591" s="17">
        <f t="shared" ca="1" si="1"/>
        <v>2018</v>
      </c>
      <c r="G2591" s="17">
        <f t="shared" ca="1" si="131"/>
        <v>10883</v>
      </c>
      <c r="H2591" s="3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0.85313551177318592</v>
      </c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</row>
    <row r="2592" spans="1:26" ht="13.5" customHeight="1" x14ac:dyDescent="0.3">
      <c r="A2592" s="17" t="s">
        <v>652</v>
      </c>
      <c r="B2592" s="17">
        <f t="shared" si="116"/>
        <v>20</v>
      </c>
      <c r="C2592" s="17">
        <f t="shared" si="117"/>
        <v>13</v>
      </c>
      <c r="D2592" s="17"/>
      <c r="E2592" s="17">
        <f t="shared" si="130"/>
        <v>65919</v>
      </c>
      <c r="F2592" s="17">
        <f t="shared" ca="1" si="1"/>
        <v>2018</v>
      </c>
      <c r="G2592" s="17">
        <f t="shared" ca="1" si="131"/>
        <v>10989</v>
      </c>
      <c r="H2592" s="3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1215000000</v>
      </c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</row>
    <row r="2593" spans="1:26" ht="13.5" customHeight="1" x14ac:dyDescent="0.3">
      <c r="A2593" s="17" t="s">
        <v>652</v>
      </c>
      <c r="B2593" s="17">
        <f t="shared" si="116"/>
        <v>20</v>
      </c>
      <c r="C2593" s="17">
        <f t="shared" si="117"/>
        <v>14</v>
      </c>
      <c r="D2593" s="17"/>
      <c r="E2593" s="17">
        <f t="shared" si="130"/>
        <v>65919</v>
      </c>
      <c r="F2593" s="17">
        <f t="shared" ca="1" si="1"/>
        <v>2018</v>
      </c>
      <c r="G2593" s="17">
        <f t="shared" ca="1" si="131"/>
        <v>10990</v>
      </c>
      <c r="H2593" s="3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1302000000</v>
      </c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</row>
    <row r="2594" spans="1:26" ht="13.5" customHeight="1" x14ac:dyDescent="0.3">
      <c r="A2594" s="17" t="s">
        <v>652</v>
      </c>
      <c r="B2594" s="17">
        <f t="shared" si="116"/>
        <v>20</v>
      </c>
      <c r="C2594" s="17">
        <f t="shared" si="117"/>
        <v>15</v>
      </c>
      <c r="D2594" s="17"/>
      <c r="E2594" s="17">
        <f t="shared" si="130"/>
        <v>65919</v>
      </c>
      <c r="F2594" s="17">
        <f t="shared" ca="1" si="1"/>
        <v>2018</v>
      </c>
      <c r="G2594" s="17">
        <f t="shared" ca="1" si="131"/>
        <v>10991</v>
      </c>
      <c r="H2594" s="3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87000000</v>
      </c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</row>
    <row r="2595" spans="1:26" ht="13.5" customHeight="1" x14ac:dyDescent="0.3">
      <c r="A2595" s="17" t="s">
        <v>652</v>
      </c>
      <c r="B2595" s="17">
        <f t="shared" si="116"/>
        <v>20</v>
      </c>
      <c r="C2595" s="17">
        <f t="shared" si="117"/>
        <v>16</v>
      </c>
      <c r="D2595" s="17"/>
      <c r="E2595" s="17">
        <f t="shared" si="130"/>
        <v>65919</v>
      </c>
      <c r="F2595" s="17">
        <f t="shared" ca="1" si="1"/>
        <v>2018</v>
      </c>
      <c r="G2595" s="17">
        <f t="shared" ca="1" si="131"/>
        <v>10992</v>
      </c>
      <c r="H2595" s="3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0.93</v>
      </c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</row>
    <row r="2596" spans="1:26" ht="13.5" customHeight="1" x14ac:dyDescent="0.3">
      <c r="A2596" s="17" t="s">
        <v>652</v>
      </c>
      <c r="B2596" s="17">
        <f t="shared" si="116"/>
        <v>20</v>
      </c>
      <c r="C2596" s="17">
        <f t="shared" si="117"/>
        <v>17</v>
      </c>
      <c r="D2596" s="17"/>
      <c r="E2596" s="17">
        <f t="shared" si="130"/>
        <v>65919</v>
      </c>
      <c r="F2596" s="17">
        <f t="shared" ca="1" si="1"/>
        <v>2018</v>
      </c>
      <c r="G2596" s="17">
        <f t="shared" ca="1" si="131"/>
        <v>10993</v>
      </c>
      <c r="H2596" s="3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109000000</v>
      </c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</row>
    <row r="2597" spans="1:26" ht="13.5" customHeight="1" x14ac:dyDescent="0.3">
      <c r="A2597" s="17" t="s">
        <v>652</v>
      </c>
      <c r="B2597" s="17">
        <f t="shared" si="116"/>
        <v>20</v>
      </c>
      <c r="C2597" s="17">
        <f t="shared" si="117"/>
        <v>18</v>
      </c>
      <c r="D2597" s="17"/>
      <c r="E2597" s="17">
        <f t="shared" si="130"/>
        <v>65919</v>
      </c>
      <c r="F2597" s="17">
        <f t="shared" ca="1" si="1"/>
        <v>2018</v>
      </c>
      <c r="G2597" s="17">
        <f t="shared" ca="1" si="131"/>
        <v>11005</v>
      </c>
      <c r="H2597" s="31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0.15273394495412845</v>
      </c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</row>
    <row r="2598" spans="1:26" ht="13.5" customHeight="1" x14ac:dyDescent="0.3">
      <c r="A2598" s="17" t="s">
        <v>652</v>
      </c>
      <c r="B2598" s="17">
        <f t="shared" si="116"/>
        <v>20</v>
      </c>
      <c r="C2598" s="17">
        <f t="shared" si="117"/>
        <v>19</v>
      </c>
      <c r="D2598" s="17"/>
      <c r="E2598" s="17">
        <f t="shared" si="130"/>
        <v>65919</v>
      </c>
      <c r="F2598" s="17">
        <f t="shared" ca="1" si="1"/>
        <v>2018</v>
      </c>
      <c r="G2598" s="17">
        <f t="shared" ca="1" si="131"/>
        <v>10988</v>
      </c>
      <c r="H2598" s="29" t="str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NA</v>
      </c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</row>
    <row r="2599" spans="1:26" ht="13.5" customHeight="1" x14ac:dyDescent="0.3">
      <c r="A2599" s="17" t="s">
        <v>652</v>
      </c>
      <c r="B2599" s="17">
        <f t="shared" si="116"/>
        <v>20</v>
      </c>
      <c r="C2599" s="17">
        <f t="shared" si="117"/>
        <v>20</v>
      </c>
      <c r="D2599" s="17"/>
      <c r="E2599" s="17">
        <f t="shared" si="130"/>
        <v>65919</v>
      </c>
      <c r="F2599" s="17">
        <f t="shared" ca="1" si="1"/>
        <v>2018</v>
      </c>
      <c r="G2599" s="17">
        <f t="shared" ca="1" si="131"/>
        <v>10996</v>
      </c>
      <c r="H2599" s="3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1289598000</v>
      </c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</row>
    <row r="2600" spans="1:26" ht="13.5" customHeight="1" x14ac:dyDescent="0.3">
      <c r="A2600" s="17" t="s">
        <v>652</v>
      </c>
      <c r="B2600" s="17">
        <f t="shared" si="116"/>
        <v>20</v>
      </c>
      <c r="C2600" s="17">
        <f t="shared" si="117"/>
        <v>21</v>
      </c>
      <c r="D2600" s="17"/>
      <c r="E2600" s="17">
        <f t="shared" si="130"/>
        <v>65919</v>
      </c>
      <c r="F2600" s="17">
        <f t="shared" ca="1" si="1"/>
        <v>2018</v>
      </c>
      <c r="G2600" s="17">
        <f t="shared" ca="1" si="131"/>
        <v>10997</v>
      </c>
      <c r="H2600" s="3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0.99047465437788018</v>
      </c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</row>
    <row r="2601" spans="1:26" ht="13.5" customHeight="1" x14ac:dyDescent="0.3">
      <c r="A2601" s="17" t="s">
        <v>652</v>
      </c>
      <c r="B2601" s="17">
        <f t="shared" si="116"/>
        <v>20</v>
      </c>
      <c r="C2601" s="17">
        <f t="shared" si="117"/>
        <v>22</v>
      </c>
      <c r="D2601" s="17"/>
      <c r="E2601" s="17">
        <f t="shared" si="130"/>
        <v>65919</v>
      </c>
      <c r="F2601" s="17">
        <f t="shared" ca="1" si="1"/>
        <v>2018</v>
      </c>
      <c r="G2601" s="17">
        <f t="shared" ca="1" si="131"/>
        <v>10980</v>
      </c>
      <c r="H2601" s="31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</row>
    <row r="2602" spans="1:26" ht="13.5" customHeight="1" x14ac:dyDescent="0.3">
      <c r="A2602" s="17" t="s">
        <v>652</v>
      </c>
      <c r="B2602" s="17">
        <f t="shared" si="116"/>
        <v>20</v>
      </c>
      <c r="C2602" s="17">
        <f t="shared" si="117"/>
        <v>23</v>
      </c>
      <c r="D2602" s="17"/>
      <c r="E2602" s="17">
        <f t="shared" si="130"/>
        <v>65919</v>
      </c>
      <c r="F2602" s="17">
        <f t="shared" ca="1" si="1"/>
        <v>2018</v>
      </c>
      <c r="G2602" s="17">
        <f t="shared" ca="1" si="131"/>
        <v>10981</v>
      </c>
      <c r="H2602" s="3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9.5500000000000002E-2</v>
      </c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</row>
    <row r="2603" spans="1:26" ht="13.5" customHeight="1" x14ac:dyDescent="0.3">
      <c r="A2603" s="17" t="s">
        <v>652</v>
      </c>
      <c r="B2603" s="17">
        <f t="shared" si="116"/>
        <v>20</v>
      </c>
      <c r="C2603" s="17">
        <f t="shared" si="117"/>
        <v>24</v>
      </c>
      <c r="D2603" s="17"/>
      <c r="E2603" s="17">
        <f t="shared" si="130"/>
        <v>65919</v>
      </c>
      <c r="F2603" s="17">
        <f t="shared" ca="1" si="1"/>
        <v>2018</v>
      </c>
      <c r="G2603" s="17">
        <f t="shared" ca="1" si="131"/>
        <v>10998</v>
      </c>
      <c r="H2603" s="30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16300000</v>
      </c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</row>
    <row r="2604" spans="1:26" ht="13.5" customHeight="1" x14ac:dyDescent="0.3">
      <c r="A2604" s="17" t="s">
        <v>652</v>
      </c>
      <c r="B2604" s="17">
        <f t="shared" si="116"/>
        <v>20</v>
      </c>
      <c r="C2604" s="17">
        <f t="shared" si="117"/>
        <v>25</v>
      </c>
      <c r="D2604" s="17"/>
      <c r="E2604" s="17">
        <f t="shared" si="130"/>
        <v>65919</v>
      </c>
      <c r="F2604" s="17">
        <f t="shared" ca="1" si="1"/>
        <v>2018</v>
      </c>
      <c r="G2604" s="17">
        <f t="shared" ca="1" si="131"/>
        <v>10999</v>
      </c>
      <c r="H2604" s="30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59508000</v>
      </c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</row>
    <row r="2605" spans="1:26" ht="13.5" customHeight="1" x14ac:dyDescent="0.3">
      <c r="A2605" s="17" t="s">
        <v>652</v>
      </c>
      <c r="B2605" s="17">
        <f t="shared" si="116"/>
        <v>20</v>
      </c>
      <c r="C2605" s="17">
        <f t="shared" si="117"/>
        <v>26</v>
      </c>
      <c r="D2605" s="17"/>
      <c r="E2605" s="17">
        <f t="shared" si="130"/>
        <v>65919</v>
      </c>
      <c r="F2605" s="17">
        <f t="shared" ca="1" si="1"/>
        <v>2018</v>
      </c>
      <c r="G2605" s="17">
        <f t="shared" ca="1" si="131"/>
        <v>11000</v>
      </c>
      <c r="H2605" s="30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126000</v>
      </c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</row>
    <row r="2606" spans="1:26" ht="13.5" customHeight="1" x14ac:dyDescent="0.3">
      <c r="A2606" s="17" t="s">
        <v>652</v>
      </c>
      <c r="B2606" s="17">
        <f t="shared" si="116"/>
        <v>20</v>
      </c>
      <c r="C2606" s="17">
        <f t="shared" si="117"/>
        <v>27</v>
      </c>
      <c r="D2606" s="17"/>
      <c r="E2606" s="17">
        <f t="shared" si="130"/>
        <v>65919</v>
      </c>
      <c r="F2606" s="17">
        <f t="shared" ca="1" si="1"/>
        <v>2018</v>
      </c>
      <c r="G2606" s="17">
        <f t="shared" ca="1" si="131"/>
        <v>11001</v>
      </c>
      <c r="H2606" s="30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592000</v>
      </c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</row>
    <row r="2607" spans="1:26" ht="13.5" customHeight="1" x14ac:dyDescent="0.3">
      <c r="A2607" s="17" t="s">
        <v>652</v>
      </c>
      <c r="B2607" s="17">
        <f t="shared" si="116"/>
        <v>20</v>
      </c>
      <c r="C2607" s="17">
        <f t="shared" si="117"/>
        <v>28</v>
      </c>
      <c r="D2607" s="17"/>
      <c r="E2607" s="17">
        <f t="shared" si="130"/>
        <v>65919</v>
      </c>
      <c r="F2607" s="17">
        <f t="shared" ca="1" si="1"/>
        <v>2018</v>
      </c>
      <c r="G2607" s="17">
        <f t="shared" ca="1" si="131"/>
        <v>11002</v>
      </c>
      <c r="H2607" s="3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261000</v>
      </c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</row>
    <row r="2608" spans="1:26" ht="13.5" customHeight="1" x14ac:dyDescent="0.3">
      <c r="A2608" s="17" t="s">
        <v>652</v>
      </c>
      <c r="B2608" s="17">
        <f t="shared" si="116"/>
        <v>20</v>
      </c>
      <c r="C2608" s="17">
        <f t="shared" si="117"/>
        <v>29</v>
      </c>
      <c r="D2608" s="17"/>
      <c r="E2608" s="17">
        <f t="shared" si="130"/>
        <v>65919</v>
      </c>
      <c r="F2608" s="17">
        <f t="shared" ca="1" si="1"/>
        <v>2018</v>
      </c>
      <c r="G2608" s="17">
        <f t="shared" ca="1" si="131"/>
        <v>11003</v>
      </c>
      <c r="H2608" s="3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60487000</v>
      </c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</row>
    <row r="2609" spans="1:26" ht="13.5" customHeight="1" x14ac:dyDescent="0.3">
      <c r="A2609" s="17" t="s">
        <v>652</v>
      </c>
      <c r="B2609" s="17">
        <f t="shared" si="116"/>
        <v>21</v>
      </c>
      <c r="C2609" s="17">
        <f t="shared" si="117"/>
        <v>3</v>
      </c>
      <c r="D2609" s="17"/>
      <c r="E2609" s="17">
        <f t="shared" si="130"/>
        <v>65919</v>
      </c>
      <c r="F2609" s="17">
        <f t="shared" ca="1" si="1"/>
        <v>2019</v>
      </c>
      <c r="G2609" s="17">
        <f t="shared" ca="1" si="131"/>
        <v>10982</v>
      </c>
      <c r="H2609" s="29" t="str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No</v>
      </c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</row>
    <row r="2610" spans="1:26" ht="13.5" customHeight="1" x14ac:dyDescent="0.3">
      <c r="A2610" s="17" t="s">
        <v>652</v>
      </c>
      <c r="B2610" s="17">
        <f t="shared" si="116"/>
        <v>21</v>
      </c>
      <c r="C2610" s="17">
        <f t="shared" si="117"/>
        <v>4</v>
      </c>
      <c r="D2610" s="17"/>
      <c r="E2610" s="17">
        <f t="shared" si="130"/>
        <v>65919</v>
      </c>
      <c r="F2610" s="17">
        <f t="shared" ca="1" si="1"/>
        <v>2019</v>
      </c>
      <c r="G2610" s="17">
        <f t="shared" ca="1" si="131"/>
        <v>10984</v>
      </c>
      <c r="H2610" s="29" t="str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NA</v>
      </c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</row>
    <row r="2611" spans="1:26" ht="13.5" customHeight="1" x14ac:dyDescent="0.3">
      <c r="A2611" s="17" t="s">
        <v>652</v>
      </c>
      <c r="B2611" s="17">
        <f t="shared" si="116"/>
        <v>21</v>
      </c>
      <c r="C2611" s="17">
        <f t="shared" si="117"/>
        <v>5</v>
      </c>
      <c r="D2611" s="17"/>
      <c r="E2611" s="17">
        <f t="shared" si="130"/>
        <v>65919</v>
      </c>
      <c r="F2611" s="17">
        <f t="shared" ca="1" si="1"/>
        <v>2019</v>
      </c>
      <c r="G2611" s="17">
        <f t="shared" ca="1" si="131"/>
        <v>10985</v>
      </c>
      <c r="H2611" s="29" t="str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NA</v>
      </c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</row>
    <row r="2612" spans="1:26" ht="13.5" customHeight="1" x14ac:dyDescent="0.3">
      <c r="A2612" s="17" t="s">
        <v>652</v>
      </c>
      <c r="B2612" s="17">
        <f t="shared" si="116"/>
        <v>21</v>
      </c>
      <c r="C2612" s="17">
        <f t="shared" si="117"/>
        <v>6</v>
      </c>
      <c r="D2612" s="17"/>
      <c r="E2612" s="17">
        <f t="shared" si="130"/>
        <v>65919</v>
      </c>
      <c r="F2612" s="17">
        <f t="shared" ca="1" si="1"/>
        <v>2019</v>
      </c>
      <c r="G2612" s="17">
        <f t="shared" ca="1" si="131"/>
        <v>10986</v>
      </c>
      <c r="H2612" s="2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</row>
    <row r="2613" spans="1:26" ht="13.5" customHeight="1" x14ac:dyDescent="0.3">
      <c r="A2613" s="17" t="s">
        <v>652</v>
      </c>
      <c r="B2613" s="17">
        <f t="shared" si="116"/>
        <v>21</v>
      </c>
      <c r="C2613" s="17">
        <f t="shared" si="117"/>
        <v>7</v>
      </c>
      <c r="D2613" s="17"/>
      <c r="E2613" s="17">
        <f t="shared" si="130"/>
        <v>65919</v>
      </c>
      <c r="F2613" s="17">
        <f t="shared" ca="1" si="1"/>
        <v>2019</v>
      </c>
      <c r="G2613" s="17">
        <f t="shared" ca="1" si="131"/>
        <v>10974</v>
      </c>
      <c r="H2613" s="29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Aggregate</v>
      </c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</row>
    <row r="2614" spans="1:26" ht="13.5" customHeight="1" x14ac:dyDescent="0.3">
      <c r="A2614" s="17" t="s">
        <v>652</v>
      </c>
      <c r="B2614" s="17">
        <f t="shared" si="116"/>
        <v>21</v>
      </c>
      <c r="C2614" s="17">
        <f t="shared" si="117"/>
        <v>8</v>
      </c>
      <c r="D2614" s="17"/>
      <c r="E2614" s="17">
        <f t="shared" si="130"/>
        <v>65919</v>
      </c>
      <c r="F2614" s="17">
        <f t="shared" ca="1" si="1"/>
        <v>2019</v>
      </c>
      <c r="G2614" s="17">
        <f t="shared" ca="1" si="131"/>
        <v>10987</v>
      </c>
      <c r="H2614" s="29" t="str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NA</v>
      </c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</row>
    <row r="2615" spans="1:26" ht="13.5" customHeight="1" x14ac:dyDescent="0.3">
      <c r="A2615" s="17" t="s">
        <v>652</v>
      </c>
      <c r="B2615" s="17">
        <f t="shared" si="116"/>
        <v>21</v>
      </c>
      <c r="C2615" s="17">
        <f t="shared" si="117"/>
        <v>9</v>
      </c>
      <c r="D2615" s="17"/>
      <c r="E2615" s="17">
        <f t="shared" si="130"/>
        <v>65919</v>
      </c>
      <c r="F2615" s="17">
        <f t="shared" ca="1" si="1"/>
        <v>2019</v>
      </c>
      <c r="G2615" s="17">
        <f t="shared" ca="1" si="131"/>
        <v>10885</v>
      </c>
      <c r="H2615" s="3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17020000</v>
      </c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</row>
    <row r="2616" spans="1:26" ht="13.5" customHeight="1" x14ac:dyDescent="0.3">
      <c r="A2616" s="17" t="s">
        <v>652</v>
      </c>
      <c r="B2616" s="17">
        <f t="shared" si="116"/>
        <v>21</v>
      </c>
      <c r="C2616" s="17">
        <f t="shared" si="117"/>
        <v>10</v>
      </c>
      <c r="D2616" s="17"/>
      <c r="E2616" s="17">
        <f t="shared" si="130"/>
        <v>65919</v>
      </c>
      <c r="F2616" s="17">
        <f t="shared" ca="1" si="1"/>
        <v>2019</v>
      </c>
      <c r="G2616" s="17">
        <f t="shared" ca="1" si="131"/>
        <v>10886</v>
      </c>
      <c r="H2616" s="3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14700000</v>
      </c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</row>
    <row r="2617" spans="1:26" ht="13.5" customHeight="1" x14ac:dyDescent="0.3">
      <c r="A2617" s="17" t="s">
        <v>652</v>
      </c>
      <c r="B2617" s="17">
        <f t="shared" si="116"/>
        <v>21</v>
      </c>
      <c r="C2617" s="17">
        <f t="shared" si="117"/>
        <v>11</v>
      </c>
      <c r="D2617" s="17"/>
      <c r="E2617" s="17">
        <f t="shared" si="130"/>
        <v>65919</v>
      </c>
      <c r="F2617" s="17">
        <f t="shared" ca="1" si="1"/>
        <v>2019</v>
      </c>
      <c r="G2617" s="17">
        <f t="shared" ca="1" si="131"/>
        <v>10887</v>
      </c>
      <c r="H2617" s="3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2320000</v>
      </c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</row>
    <row r="2618" spans="1:26" ht="13.5" customHeight="1" x14ac:dyDescent="0.3">
      <c r="A2618" s="17" t="s">
        <v>652</v>
      </c>
      <c r="B2618" s="17">
        <f t="shared" si="116"/>
        <v>21</v>
      </c>
      <c r="C2618" s="17">
        <f t="shared" si="117"/>
        <v>12</v>
      </c>
      <c r="D2618" s="17"/>
      <c r="E2618" s="17">
        <f t="shared" si="130"/>
        <v>65919</v>
      </c>
      <c r="F2618" s="17">
        <f t="shared" ca="1" si="1"/>
        <v>2019</v>
      </c>
      <c r="G2618" s="17">
        <f t="shared" ca="1" si="131"/>
        <v>10883</v>
      </c>
      <c r="H2618" s="3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0.86368977673325498</v>
      </c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</row>
    <row r="2619" spans="1:26" ht="13.5" customHeight="1" x14ac:dyDescent="0.3">
      <c r="A2619" s="17" t="s">
        <v>652</v>
      </c>
      <c r="B2619" s="17">
        <f t="shared" si="116"/>
        <v>21</v>
      </c>
      <c r="C2619" s="17">
        <f t="shared" si="117"/>
        <v>13</v>
      </c>
      <c r="D2619" s="17"/>
      <c r="E2619" s="17">
        <f t="shared" si="130"/>
        <v>65919</v>
      </c>
      <c r="F2619" s="17">
        <f t="shared" ca="1" si="1"/>
        <v>2019</v>
      </c>
      <c r="G2619" s="17">
        <f t="shared" ca="1" si="131"/>
        <v>10989</v>
      </c>
      <c r="H2619" s="3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</row>
    <row r="2620" spans="1:26" ht="13.5" customHeight="1" x14ac:dyDescent="0.3">
      <c r="A2620" s="17" t="s">
        <v>652</v>
      </c>
      <c r="B2620" s="17">
        <f t="shared" si="116"/>
        <v>21</v>
      </c>
      <c r="C2620" s="17">
        <f t="shared" si="117"/>
        <v>14</v>
      </c>
      <c r="D2620" s="17"/>
      <c r="E2620" s="17">
        <f t="shared" si="130"/>
        <v>65919</v>
      </c>
      <c r="F2620" s="17">
        <f t="shared" ca="1" si="1"/>
        <v>2019</v>
      </c>
      <c r="G2620" s="17">
        <f t="shared" ca="1" si="131"/>
        <v>10990</v>
      </c>
      <c r="H2620" s="3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</row>
    <row r="2621" spans="1:26" ht="13.5" customHeight="1" x14ac:dyDescent="0.3">
      <c r="A2621" s="17" t="s">
        <v>652</v>
      </c>
      <c r="B2621" s="17">
        <f t="shared" si="116"/>
        <v>21</v>
      </c>
      <c r="C2621" s="17">
        <f t="shared" si="117"/>
        <v>15</v>
      </c>
      <c r="D2621" s="17"/>
      <c r="E2621" s="17">
        <f t="shared" si="130"/>
        <v>65919</v>
      </c>
      <c r="F2621" s="17">
        <f t="shared" ca="1" si="1"/>
        <v>2019</v>
      </c>
      <c r="G2621" s="17">
        <f t="shared" ca="1" si="131"/>
        <v>10991</v>
      </c>
      <c r="H2621" s="3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</row>
    <row r="2622" spans="1:26" ht="13.5" customHeight="1" x14ac:dyDescent="0.3">
      <c r="A2622" s="17" t="s">
        <v>652</v>
      </c>
      <c r="B2622" s="17">
        <f t="shared" si="116"/>
        <v>21</v>
      </c>
      <c r="C2622" s="17">
        <f t="shared" si="117"/>
        <v>16</v>
      </c>
      <c r="D2622" s="17"/>
      <c r="E2622" s="17">
        <f t="shared" si="130"/>
        <v>65919</v>
      </c>
      <c r="F2622" s="17">
        <f t="shared" ca="1" si="1"/>
        <v>2019</v>
      </c>
      <c r="G2622" s="17">
        <f t="shared" ca="1" si="131"/>
        <v>10992</v>
      </c>
      <c r="H2622" s="3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</row>
    <row r="2623" spans="1:26" ht="13.5" customHeight="1" x14ac:dyDescent="0.3">
      <c r="A2623" s="17" t="s">
        <v>652</v>
      </c>
      <c r="B2623" s="17">
        <f t="shared" si="116"/>
        <v>21</v>
      </c>
      <c r="C2623" s="17">
        <f t="shared" si="117"/>
        <v>17</v>
      </c>
      <c r="D2623" s="17"/>
      <c r="E2623" s="17">
        <f t="shared" si="130"/>
        <v>65919</v>
      </c>
      <c r="F2623" s="17">
        <f t="shared" ca="1" si="1"/>
        <v>2019</v>
      </c>
      <c r="G2623" s="17">
        <f t="shared" ca="1" si="131"/>
        <v>10993</v>
      </c>
      <c r="H2623" s="3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</row>
    <row r="2624" spans="1:26" ht="13.5" customHeight="1" x14ac:dyDescent="0.3">
      <c r="A2624" s="17" t="s">
        <v>652</v>
      </c>
      <c r="B2624" s="17">
        <f t="shared" si="116"/>
        <v>21</v>
      </c>
      <c r="C2624" s="17">
        <f t="shared" si="117"/>
        <v>18</v>
      </c>
      <c r="D2624" s="17"/>
      <c r="E2624" s="17">
        <f t="shared" si="130"/>
        <v>65919</v>
      </c>
      <c r="F2624" s="17">
        <f t="shared" ca="1" si="1"/>
        <v>2019</v>
      </c>
      <c r="G2624" s="17">
        <f t="shared" ca="1" si="131"/>
        <v>11005</v>
      </c>
      <c r="H2624" s="3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 xml:space="preserve"> </v>
      </c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</row>
    <row r="2625" spans="1:26" ht="13.5" customHeight="1" x14ac:dyDescent="0.3">
      <c r="A2625" s="17" t="s">
        <v>652</v>
      </c>
      <c r="B2625" s="17">
        <f t="shared" si="116"/>
        <v>21</v>
      </c>
      <c r="C2625" s="17">
        <f t="shared" si="117"/>
        <v>19</v>
      </c>
      <c r="D2625" s="17"/>
      <c r="E2625" s="17">
        <f t="shared" si="130"/>
        <v>65919</v>
      </c>
      <c r="F2625" s="17">
        <f t="shared" ca="1" si="1"/>
        <v>2019</v>
      </c>
      <c r="G2625" s="17">
        <f t="shared" ca="1" si="131"/>
        <v>10988</v>
      </c>
      <c r="H2625" s="29" t="str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NA</v>
      </c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</row>
    <row r="2626" spans="1:26" ht="13.5" customHeight="1" x14ac:dyDescent="0.3">
      <c r="A2626" s="17" t="s">
        <v>652</v>
      </c>
      <c r="B2626" s="17">
        <f t="shared" si="116"/>
        <v>21</v>
      </c>
      <c r="C2626" s="17">
        <f t="shared" si="117"/>
        <v>20</v>
      </c>
      <c r="D2626" s="17"/>
      <c r="E2626" s="17">
        <f t="shared" si="130"/>
        <v>65919</v>
      </c>
      <c r="F2626" s="17">
        <f t="shared" ca="1" si="1"/>
        <v>2019</v>
      </c>
      <c r="G2626" s="17">
        <f t="shared" ca="1" si="131"/>
        <v>10996</v>
      </c>
      <c r="H2626" s="3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1362507000</v>
      </c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</row>
    <row r="2627" spans="1:26" ht="13.5" customHeight="1" x14ac:dyDescent="0.3">
      <c r="A2627" s="17" t="s">
        <v>652</v>
      </c>
      <c r="B2627" s="17">
        <f t="shared" si="116"/>
        <v>21</v>
      </c>
      <c r="C2627" s="17">
        <f t="shared" si="117"/>
        <v>21</v>
      </c>
      <c r="D2627" s="17"/>
      <c r="E2627" s="17">
        <f t="shared" si="130"/>
        <v>65919</v>
      </c>
      <c r="F2627" s="17">
        <f t="shared" ca="1" si="1"/>
        <v>2019</v>
      </c>
      <c r="G2627" s="17">
        <f t="shared" ca="1" si="131"/>
        <v>10997</v>
      </c>
      <c r="H2627" s="31" t="str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 xml:space="preserve"> </v>
      </c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</row>
    <row r="2628" spans="1:26" ht="13.5" customHeight="1" x14ac:dyDescent="0.3">
      <c r="A2628" s="17" t="s">
        <v>652</v>
      </c>
      <c r="B2628" s="17">
        <f t="shared" si="116"/>
        <v>21</v>
      </c>
      <c r="C2628" s="17">
        <f t="shared" si="117"/>
        <v>22</v>
      </c>
      <c r="D2628" s="17"/>
      <c r="E2628" s="17">
        <f t="shared" ref="E2628:E2635" si="132">plan_id</f>
        <v>65919</v>
      </c>
      <c r="F2628" s="17">
        <f t="shared" ca="1" si="1"/>
        <v>2019</v>
      </c>
      <c r="G2628" s="17">
        <f t="shared" ref="G2628:G2635" ca="1" si="133">VLOOKUP(INDIRECT(CHAR(39)&amp;$A2628&amp;CHAR(39)&amp;"!r2c"&amp;$C2628,0),variables,2,0)</f>
        <v>10980</v>
      </c>
      <c r="H2628" s="31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</row>
    <row r="2629" spans="1:26" ht="13.5" customHeight="1" x14ac:dyDescent="0.3">
      <c r="A2629" s="17" t="s">
        <v>652</v>
      </c>
      <c r="B2629" s="17">
        <f t="shared" si="116"/>
        <v>21</v>
      </c>
      <c r="C2629" s="17">
        <f t="shared" si="117"/>
        <v>23</v>
      </c>
      <c r="D2629" s="17"/>
      <c r="E2629" s="17">
        <f t="shared" si="132"/>
        <v>65919</v>
      </c>
      <c r="F2629" s="17">
        <f t="shared" ca="1" si="1"/>
        <v>2019</v>
      </c>
      <c r="G2629" s="17">
        <f t="shared" ca="1" si="133"/>
        <v>10981</v>
      </c>
      <c r="H2629" s="3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8.7800000000000003E-2</v>
      </c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</row>
    <row r="2630" spans="1:26" ht="13.5" customHeight="1" x14ac:dyDescent="0.3">
      <c r="A2630" s="17" t="s">
        <v>652</v>
      </c>
      <c r="B2630" s="17">
        <f t="shared" si="116"/>
        <v>21</v>
      </c>
      <c r="C2630" s="17">
        <f t="shared" si="117"/>
        <v>24</v>
      </c>
      <c r="D2630" s="17"/>
      <c r="E2630" s="17">
        <f t="shared" si="132"/>
        <v>65919</v>
      </c>
      <c r="F2630" s="17">
        <f t="shared" ca="1" si="1"/>
        <v>2019</v>
      </c>
      <c r="G2630" s="17">
        <f t="shared" ca="1" si="133"/>
        <v>10998</v>
      </c>
      <c r="H2630" s="30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0</v>
      </c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</row>
    <row r="2631" spans="1:26" ht="13.5" customHeight="1" x14ac:dyDescent="0.3">
      <c r="A2631" s="17" t="s">
        <v>652</v>
      </c>
      <c r="B2631" s="17">
        <f t="shared" si="116"/>
        <v>21</v>
      </c>
      <c r="C2631" s="17">
        <f t="shared" si="117"/>
        <v>25</v>
      </c>
      <c r="D2631" s="17"/>
      <c r="E2631" s="17">
        <f t="shared" si="132"/>
        <v>65919</v>
      </c>
      <c r="F2631" s="17">
        <f t="shared" ca="1" si="1"/>
        <v>2019</v>
      </c>
      <c r="G2631" s="17">
        <f t="shared" ca="1" si="133"/>
        <v>10999</v>
      </c>
      <c r="H2631" s="30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64253000</v>
      </c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</row>
    <row r="2632" spans="1:26" ht="13.5" customHeight="1" x14ac:dyDescent="0.3">
      <c r="A2632" s="17" t="s">
        <v>652</v>
      </c>
      <c r="B2632" s="17">
        <f t="shared" si="116"/>
        <v>21</v>
      </c>
      <c r="C2632" s="17">
        <f t="shared" si="117"/>
        <v>26</v>
      </c>
      <c r="D2632" s="17"/>
      <c r="E2632" s="17">
        <f t="shared" si="132"/>
        <v>65919</v>
      </c>
      <c r="F2632" s="17">
        <f t="shared" ca="1" si="1"/>
        <v>2019</v>
      </c>
      <c r="G2632" s="17">
        <f t="shared" ca="1" si="133"/>
        <v>11000</v>
      </c>
      <c r="H2632" s="30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117000</v>
      </c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</row>
    <row r="2633" spans="1:26" ht="13.5" customHeight="1" x14ac:dyDescent="0.3">
      <c r="A2633" s="17" t="s">
        <v>652</v>
      </c>
      <c r="B2633" s="17">
        <f t="shared" si="116"/>
        <v>21</v>
      </c>
      <c r="C2633" s="17">
        <f t="shared" si="117"/>
        <v>27</v>
      </c>
      <c r="D2633" s="17"/>
      <c r="E2633" s="17">
        <f t="shared" si="132"/>
        <v>65919</v>
      </c>
      <c r="F2633" s="17">
        <f t="shared" ca="1" si="1"/>
        <v>2019</v>
      </c>
      <c r="G2633" s="17">
        <f t="shared" ca="1" si="133"/>
        <v>11001</v>
      </c>
      <c r="H2633" s="30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619000</v>
      </c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</row>
    <row r="2634" spans="1:26" ht="13.5" customHeight="1" x14ac:dyDescent="0.3">
      <c r="A2634" s="17" t="s">
        <v>652</v>
      </c>
      <c r="B2634" s="17">
        <f t="shared" si="116"/>
        <v>21</v>
      </c>
      <c r="C2634" s="17">
        <f t="shared" si="117"/>
        <v>28</v>
      </c>
      <c r="D2634" s="17"/>
      <c r="E2634" s="17">
        <f t="shared" si="132"/>
        <v>65919</v>
      </c>
      <c r="F2634" s="17">
        <f t="shared" ca="1" si="1"/>
        <v>2019</v>
      </c>
      <c r="G2634" s="17">
        <f t="shared" ca="1" si="133"/>
        <v>11002</v>
      </c>
      <c r="H2634" s="3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0</v>
      </c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</row>
    <row r="2635" spans="1:26" ht="13.5" customHeight="1" x14ac:dyDescent="0.3">
      <c r="A2635" s="17" t="s">
        <v>652</v>
      </c>
      <c r="B2635" s="17">
        <f t="shared" si="116"/>
        <v>21</v>
      </c>
      <c r="C2635" s="17">
        <f t="shared" si="117"/>
        <v>29</v>
      </c>
      <c r="D2635" s="17"/>
      <c r="E2635" s="17">
        <f t="shared" si="132"/>
        <v>65919</v>
      </c>
      <c r="F2635" s="17">
        <f t="shared" ca="1" si="1"/>
        <v>2019</v>
      </c>
      <c r="G2635" s="17">
        <f t="shared" ca="1" si="133"/>
        <v>11003</v>
      </c>
      <c r="H2635" s="3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64989000</v>
      </c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GASB 68</vt:lpstr>
      <vt:lpstr>Actuarial Valuation</vt:lpstr>
      <vt:lpstr>CAFR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2021-07-23T10:59:08Z</dcterms:modified>
</cp:coreProperties>
</file>